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charts/chart7.xml" ContentType="application/vnd.openxmlformats-officedocument.drawingml.chart+xml"/>
  <Override PartName="/xl/drawings/drawing17.xml" ContentType="application/vnd.openxmlformats-officedocument.drawingml.chartshapes+xml"/>
  <Override PartName="/xl/charts/chart8.xml" ContentType="application/vnd.openxmlformats-officedocument.drawingml.chart+xml"/>
  <Override PartName="/xl/drawings/drawing18.xml" ContentType="application/vnd.openxmlformats-officedocument.drawingml.chartshapes+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charts/chart14.xml" ContentType="application/vnd.openxmlformats-officedocument.drawingml.chart+xml"/>
  <Override PartName="/xl/drawings/drawing26.xml" ContentType="application/vnd.openxmlformats-officedocument.drawingml.chartshapes+xml"/>
  <Override PartName="/xl/charts/chart15.xml" ContentType="application/vnd.openxmlformats-officedocument.drawingml.chart+xml"/>
  <Override PartName="/xl/drawings/drawing27.xml" ContentType="application/vnd.openxmlformats-officedocument.drawingml.chartshapes+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2.xml" ContentType="application/vnd.openxmlformats-officedocument.spreadsheetml.comments+xml"/>
  <Override PartName="/xl/charts/chart19.xml" ContentType="application/vnd.openxmlformats-officedocument.drawingml.chart+xml"/>
  <Override PartName="/xl/drawings/drawing34.xml" ContentType="application/vnd.openxmlformats-officedocument.drawingml.chartshapes+xml"/>
  <Override PartName="/xl/charts/chart20.xml" ContentType="application/vnd.openxmlformats-officedocument.drawingml.chart+xml"/>
  <Override PartName="/xl/drawings/drawing35.xml" ContentType="application/vnd.openxmlformats-officedocument.drawingml.chartshapes+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omments3.xml" ContentType="application/vnd.openxmlformats-officedocument.spreadsheetml.comments+xml"/>
  <Override PartName="/xl/drawings/drawing3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charts/chart41.xml" ContentType="application/vnd.openxmlformats-officedocument.drawingml.chart+xml"/>
  <Override PartName="/xl/charts/style17.xml" ContentType="application/vnd.ms-office.chartstyle+xml"/>
  <Override PartName="/xl/charts/colors17.xml" ContentType="application/vnd.ms-office.chartcolorstyle+xml"/>
  <Override PartName="/xl/charts/chart42.xml" ContentType="application/vnd.openxmlformats-officedocument.drawingml.chart+xml"/>
  <Override PartName="/xl/charts/style18.xml" ContentType="application/vnd.ms-office.chartstyle+xml"/>
  <Override PartName="/xl/charts/colors18.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drawings/drawing3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39.xml" ContentType="application/vnd.openxmlformats-officedocument.drawing+xml"/>
  <Override PartName="/xl/charts/chart54.xml" ContentType="application/vnd.openxmlformats-officedocument.drawingml.chart+xml"/>
  <Override PartName="/xl/drawings/drawing40.xml" ContentType="application/vnd.openxmlformats-officedocument.drawingml.chartshapes+xml"/>
  <Override PartName="/xl/charts/chart55.xml" ContentType="application/vnd.openxmlformats-officedocument.drawingml.chart+xml"/>
  <Override PartName="/xl/drawings/drawing41.xml" ContentType="application/vnd.openxmlformats-officedocument.drawingml.chartshapes+xml"/>
  <Override PartName="/xl/charts/chart56.xml" ContentType="application/vnd.openxmlformats-officedocument.drawingml.chart+xml"/>
  <Override PartName="/xl/drawings/drawing4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Questa_cartella_di_lavoro" defaultThemeVersion="124226"/>
  <mc:AlternateContent xmlns:mc="http://schemas.openxmlformats.org/markup-compatibility/2006">
    <mc:Choice Requires="x15">
      <x15ac:absPath xmlns:x15ac="http://schemas.microsoft.com/office/spreadsheetml/2010/11/ac" url="https://isprambiente-my.sharepoint.com/personal/andrea_gagna_isprambiente_it/Documents/Desktop/ISPRA/Inventario_emissioni_atmosfera/Restyling_SINANET_e_ISPRA/aggiornamento_pagine_Emissioni/giugno2026/Rapporto_Antonio/"/>
    </mc:Choice>
  </mc:AlternateContent>
  <xr:revisionPtr revIDLastSave="3" documentId="13_ncr:1_{166F60BB-B478-4914-B30D-A83E7387A66D}" xr6:coauthVersionLast="47" xr6:coauthVersionMax="47" xr10:uidLastSave="{0D7DEA31-0C7C-4D5E-ACDF-77C3A7016A72}"/>
  <bookViews>
    <workbookView xWindow="-110" yWindow="-110" windowWidth="19420" windowHeight="10300" tabRatio="850" xr2:uid="{00000000-000D-0000-FFFF-FFFF00000000}"/>
  </bookViews>
  <sheets>
    <sheet name="Copertina" sheetId="40" r:id="rId1"/>
    <sheet name="Indice" sheetId="21" r:id="rId2"/>
    <sheet name="Modulo" sheetId="42" r:id="rId3"/>
    <sheet name="Grafico" sheetId="43" r:id="rId4"/>
    <sheet name="0" sheetId="25" r:id="rId5"/>
    <sheet name="1" sheetId="19" r:id="rId6"/>
    <sheet name="2" sheetId="4" r:id="rId7"/>
    <sheet name="3" sheetId="1" r:id="rId8"/>
    <sheet name="4" sheetId="20" r:id="rId9"/>
    <sheet name="5" sheetId="11" r:id="rId10"/>
    <sheet name="6" sheetId="13" r:id="rId11"/>
    <sheet name="7" sheetId="15" r:id="rId12"/>
    <sheet name="8" sheetId="22" r:id="rId13"/>
    <sheet name="9" sheetId="18" r:id="rId14"/>
    <sheet name="10" sheetId="36" r:id="rId15"/>
    <sheet name="11" sheetId="2" r:id="rId16"/>
    <sheet name="12" sheetId="3" r:id="rId17"/>
    <sheet name="13" sheetId="10" r:id="rId18"/>
    <sheet name="14" sheetId="8" r:id="rId19"/>
    <sheet name="15" sheetId="14" r:id="rId20"/>
    <sheet name="16" sheetId="16" r:id="rId21"/>
    <sheet name="17" sheetId="17" r:id="rId22"/>
    <sheet name="18" sheetId="26" r:id="rId23"/>
    <sheet name="19" sheetId="33" r:id="rId24"/>
    <sheet name="20" sheetId="28" r:id="rId25"/>
    <sheet name="21" sheetId="31" r:id="rId26"/>
    <sheet name="22" sheetId="32" r:id="rId27"/>
    <sheet name="23" sheetId="27" r:id="rId28"/>
    <sheet name="24" sheetId="34" r:id="rId29"/>
    <sheet name="5-x" sheetId="6" state="hidden" r:id="rId30"/>
    <sheet name="6-x" sheetId="9" state="hidden" r:id="rId31"/>
    <sheet name="6-y" sheetId="35" state="hidden" r:id="rId32"/>
    <sheet name="25x" sheetId="24" state="hidden" r:id="rId33"/>
    <sheet name="mm" sheetId="41" state="hidden" r:id="rId34"/>
    <sheet name="lorda" sheetId="37" state="hidden" r:id="rId35"/>
    <sheet name="Other" sheetId="38" state="hidden" r:id="rId36"/>
  </sheets>
  <definedNames>
    <definedName name="solver_adj" localSheetId="29" hidden="1">'5-x'!$K$54:$K$55</definedName>
    <definedName name="solver_adj" localSheetId="30" hidden="1">'6-x'!$L$857</definedName>
    <definedName name="solver_adj" localSheetId="31" hidden="1">'6-y'!#REF!,'6-y'!#REF!</definedName>
    <definedName name="solver_cvg" localSheetId="29" hidden="1">0.0001</definedName>
    <definedName name="solver_cvg" localSheetId="30" hidden="1">0.0001</definedName>
    <definedName name="solver_cvg" localSheetId="31" hidden="1">0.0001</definedName>
    <definedName name="solver_drv" localSheetId="29" hidden="1">1</definedName>
    <definedName name="solver_drv" localSheetId="30" hidden="1">1</definedName>
    <definedName name="solver_drv" localSheetId="31" hidden="1">1</definedName>
    <definedName name="solver_est" localSheetId="29" hidden="1">1</definedName>
    <definedName name="solver_est" localSheetId="30" hidden="1">1</definedName>
    <definedName name="solver_est" localSheetId="31" hidden="1">1</definedName>
    <definedName name="solver_itr" localSheetId="29" hidden="1">100</definedName>
    <definedName name="solver_itr" localSheetId="30" hidden="1">100</definedName>
    <definedName name="solver_itr" localSheetId="31" hidden="1">100</definedName>
    <definedName name="solver_lhs1" localSheetId="30" hidden="1">'6-x'!$X$1103</definedName>
    <definedName name="solver_lhs1" localSheetId="31" hidden="1">'6-y'!#REF!</definedName>
    <definedName name="solver_lin" localSheetId="29" hidden="1">2</definedName>
    <definedName name="solver_lin" localSheetId="30" hidden="1">2</definedName>
    <definedName name="solver_lin" localSheetId="31" hidden="1">2</definedName>
    <definedName name="solver_neg" localSheetId="29" hidden="1">2</definedName>
    <definedName name="solver_neg" localSheetId="30" hidden="1">2</definedName>
    <definedName name="solver_neg" localSheetId="31" hidden="1">2</definedName>
    <definedName name="solver_num" localSheetId="29" hidden="1">0</definedName>
    <definedName name="solver_num" localSheetId="30" hidden="1">0</definedName>
    <definedName name="solver_num" localSheetId="31" hidden="1">1</definedName>
    <definedName name="solver_nwt" localSheetId="29" hidden="1">1</definedName>
    <definedName name="solver_nwt" localSheetId="30" hidden="1">1</definedName>
    <definedName name="solver_nwt" localSheetId="31" hidden="1">1</definedName>
    <definedName name="solver_opt" localSheetId="29" hidden="1">'5-x'!$J$53</definedName>
    <definedName name="solver_opt" localSheetId="30" hidden="1">'6-x'!$M$857</definedName>
    <definedName name="solver_opt" localSheetId="31" hidden="1">'6-y'!#REF!</definedName>
    <definedName name="solver_pre" localSheetId="29" hidden="1">0.000001</definedName>
    <definedName name="solver_pre" localSheetId="30" hidden="1">0.00000001</definedName>
    <definedName name="solver_pre" localSheetId="31" hidden="1">0.000001</definedName>
    <definedName name="solver_rel1" localSheetId="30" hidden="1">2</definedName>
    <definedName name="solver_rel1" localSheetId="31" hidden="1">2</definedName>
    <definedName name="solver_rhs1" localSheetId="30" hidden="1">0</definedName>
    <definedName name="solver_rhs1" localSheetId="31" hidden="1">0</definedName>
    <definedName name="solver_scl" localSheetId="29" hidden="1">2</definedName>
    <definedName name="solver_scl" localSheetId="30" hidden="1">2</definedName>
    <definedName name="solver_scl" localSheetId="31" hidden="1">2</definedName>
    <definedName name="solver_sho" localSheetId="29" hidden="1">2</definedName>
    <definedName name="solver_sho" localSheetId="30" hidden="1">2</definedName>
    <definedName name="solver_sho" localSheetId="31" hidden="1">2</definedName>
    <definedName name="solver_tim" localSheetId="29" hidden="1">100</definedName>
    <definedName name="solver_tim" localSheetId="30" hidden="1">100</definedName>
    <definedName name="solver_tim" localSheetId="31" hidden="1">100</definedName>
    <definedName name="solver_tol" localSheetId="29" hidden="1">0.05</definedName>
    <definedName name="solver_tol" localSheetId="30" hidden="1">0.05</definedName>
    <definedName name="solver_tol" localSheetId="31" hidden="1">0.05</definedName>
    <definedName name="solver_typ" localSheetId="29" hidden="1">3</definedName>
    <definedName name="solver_typ" localSheetId="30" hidden="1">3</definedName>
    <definedName name="solver_typ" localSheetId="31" hidden="1">3</definedName>
    <definedName name="solver_val" localSheetId="29" hidden="1">0</definedName>
    <definedName name="solver_val" localSheetId="30" hidden="1">0.88392924</definedName>
    <definedName name="solver_val" localSheetId="31" hidden="1">0</definedName>
    <definedName name="yearlist">'9'!$A$37:$A$41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5" i="24" l="1"/>
  <c r="AD128" i="24" l="1"/>
  <c r="AD124" i="24" l="1"/>
  <c r="AD127" i="24"/>
  <c r="A124" i="24"/>
  <c r="A127" i="24"/>
  <c r="AG122" i="24"/>
  <c r="AG123" i="24"/>
  <c r="A122" i="24"/>
  <c r="A123" i="24"/>
  <c r="A125" i="24"/>
  <c r="AD118" i="24" l="1"/>
  <c r="AF125" i="24"/>
  <c r="AG125" i="24"/>
  <c r="AG124" i="24"/>
  <c r="AF124" i="24"/>
  <c r="A105" i="24"/>
  <c r="A106" i="24"/>
  <c r="A107" i="24"/>
  <c r="A108" i="24"/>
  <c r="A109" i="24"/>
  <c r="AB138" i="24" l="1"/>
  <c r="AD31" i="24"/>
  <c r="AY53" i="24"/>
  <c r="AX53" i="24"/>
  <c r="AW53" i="24"/>
  <c r="AV53" i="24"/>
  <c r="AU53" i="24"/>
  <c r="AD141" i="24" l="1"/>
  <c r="AD142" i="24"/>
  <c r="AD138" i="24"/>
  <c r="AC138" i="24"/>
  <c r="AE116" i="24" l="1"/>
  <c r="AE125" i="24"/>
  <c r="AE113" i="24"/>
  <c r="AE122" i="24"/>
  <c r="AE124" i="24" l="1"/>
  <c r="AE115" i="24"/>
  <c r="AE114" i="24"/>
  <c r="AE123" i="24"/>
  <c r="AA158" i="24" l="1"/>
  <c r="AB158" i="24"/>
  <c r="AC158" i="24"/>
  <c r="AD158" i="24"/>
  <c r="AE158" i="24"/>
  <c r="AD159" i="24"/>
  <c r="AD160" i="24"/>
  <c r="A72" i="42" l="1"/>
  <c r="B17" i="42"/>
  <c r="AR86" i="1"/>
  <c r="AS86" i="1"/>
  <c r="AS74" i="1"/>
  <c r="AR74" i="1"/>
  <c r="AQ74" i="1"/>
  <c r="AP74" i="1"/>
  <c r="AO74" i="1"/>
  <c r="E45" i="42"/>
  <c r="E41" i="42"/>
  <c r="C46" i="42"/>
  <c r="C45" i="42"/>
  <c r="C41" i="42"/>
  <c r="A74" i="42"/>
  <c r="A76" i="42"/>
  <c r="A73" i="42"/>
  <c r="A75" i="42"/>
  <c r="AK21" i="1"/>
  <c r="AK44" i="1" s="1"/>
  <c r="AY50" i="1"/>
  <c r="A76" i="38"/>
  <c r="A75" i="38"/>
  <c r="A74" i="38"/>
  <c r="V29" i="38"/>
  <c r="U29" i="38"/>
  <c r="T29" i="38"/>
  <c r="S29" i="38"/>
  <c r="R29" i="38"/>
  <c r="Q29" i="38"/>
  <c r="K29" i="38"/>
  <c r="J29" i="38"/>
  <c r="I29" i="38"/>
  <c r="H29" i="38"/>
  <c r="G29" i="38"/>
  <c r="F29" i="38"/>
  <c r="E29" i="38"/>
  <c r="D29" i="38"/>
  <c r="C29" i="38"/>
  <c r="J20" i="36"/>
  <c r="G20" i="36"/>
  <c r="L28" i="38"/>
  <c r="J28" i="38"/>
  <c r="I28" i="38"/>
  <c r="C20" i="36"/>
  <c r="D28" i="38"/>
  <c r="M19" i="36"/>
  <c r="L19" i="36"/>
  <c r="K19" i="36"/>
  <c r="J19" i="36"/>
  <c r="I19" i="36"/>
  <c r="H19" i="36"/>
  <c r="F19" i="36"/>
  <c r="E19" i="36"/>
  <c r="D19" i="36"/>
  <c r="C19" i="36"/>
  <c r="B19" i="36"/>
  <c r="M8" i="36"/>
  <c r="L8" i="36"/>
  <c r="K8" i="36"/>
  <c r="J8" i="36"/>
  <c r="I8" i="36"/>
  <c r="H8" i="36"/>
  <c r="G8" i="36"/>
  <c r="F8" i="36"/>
  <c r="E8" i="36"/>
  <c r="D8" i="36"/>
  <c r="C8" i="36"/>
  <c r="B8" i="36"/>
  <c r="M7" i="36"/>
  <c r="L7" i="36"/>
  <c r="K7" i="36"/>
  <c r="J7" i="36"/>
  <c r="I7" i="36"/>
  <c r="H7" i="36"/>
  <c r="W7" i="36" s="1"/>
  <c r="G7" i="36"/>
  <c r="F7" i="36"/>
  <c r="E7" i="36"/>
  <c r="D7" i="36"/>
  <c r="C7" i="36"/>
  <c r="B7" i="36"/>
  <c r="M18" i="36"/>
  <c r="L18" i="36"/>
  <c r="K18" i="36"/>
  <c r="G18" i="36"/>
  <c r="F18" i="36"/>
  <c r="E18" i="36"/>
  <c r="D18" i="36"/>
  <c r="C18" i="36"/>
  <c r="B18" i="36"/>
  <c r="K17" i="36"/>
  <c r="J17" i="36"/>
  <c r="I17" i="36"/>
  <c r="H17" i="36"/>
  <c r="G17" i="36"/>
  <c r="C17" i="36"/>
  <c r="B17" i="36"/>
  <c r="M16" i="36"/>
  <c r="L16" i="36"/>
  <c r="J16" i="36"/>
  <c r="I16" i="36"/>
  <c r="G16" i="36"/>
  <c r="F16" i="36"/>
  <c r="E16" i="36"/>
  <c r="D16" i="36"/>
  <c r="C16" i="36"/>
  <c r="K15" i="36"/>
  <c r="J15" i="36"/>
  <c r="I15" i="36"/>
  <c r="H15" i="36"/>
  <c r="G15" i="36"/>
  <c r="C15" i="36"/>
  <c r="B15" i="36"/>
  <c r="AB2" i="38"/>
  <c r="AA2" i="38"/>
  <c r="Z2" i="38"/>
  <c r="Y2" i="38"/>
  <c r="X2" i="38"/>
  <c r="W2" i="38"/>
  <c r="V2" i="38"/>
  <c r="U2" i="38"/>
  <c r="R2" i="38"/>
  <c r="Q2" i="38"/>
  <c r="K2" i="38"/>
  <c r="J2" i="38"/>
  <c r="I2" i="38"/>
  <c r="H2" i="38"/>
  <c r="G2" i="38"/>
  <c r="F2" i="38"/>
  <c r="E2" i="38"/>
  <c r="D2" i="38"/>
  <c r="C2" i="38"/>
  <c r="I87" i="37"/>
  <c r="D87" i="37"/>
  <c r="C87" i="37"/>
  <c r="I86" i="37"/>
  <c r="D86" i="37"/>
  <c r="I85" i="37"/>
  <c r="D85" i="37"/>
  <c r="C85" i="37"/>
  <c r="I84" i="37"/>
  <c r="D84" i="37"/>
  <c r="I80" i="37"/>
  <c r="D80" i="37"/>
  <c r="C80" i="37"/>
  <c r="B80" i="37"/>
  <c r="I78" i="37"/>
  <c r="D78" i="37"/>
  <c r="C78" i="37"/>
  <c r="I77" i="37"/>
  <c r="D77" i="37"/>
  <c r="I76" i="37"/>
  <c r="D76" i="37"/>
  <c r="C76" i="37"/>
  <c r="I75" i="37"/>
  <c r="D75" i="37"/>
  <c r="T67" i="37"/>
  <c r="S67" i="37"/>
  <c r="R67" i="37"/>
  <c r="Q67" i="37"/>
  <c r="P67" i="37"/>
  <c r="O67" i="37"/>
  <c r="N67" i="37"/>
  <c r="M67" i="37"/>
  <c r="L67" i="37"/>
  <c r="K67" i="37"/>
  <c r="J67" i="37"/>
  <c r="I67" i="37"/>
  <c r="H67" i="37"/>
  <c r="G67" i="37"/>
  <c r="F67" i="37"/>
  <c r="E67" i="37"/>
  <c r="D67" i="37"/>
  <c r="C67" i="37"/>
  <c r="AC66" i="37"/>
  <c r="AB66" i="37"/>
  <c r="AA66" i="37"/>
  <c r="Z66" i="37"/>
  <c r="Y66" i="37"/>
  <c r="X66" i="37"/>
  <c r="T66" i="37"/>
  <c r="S66" i="37"/>
  <c r="R66" i="37"/>
  <c r="AC65" i="37"/>
  <c r="AB65" i="37"/>
  <c r="AA65" i="37"/>
  <c r="Z65" i="37"/>
  <c r="Y65" i="37"/>
  <c r="X65" i="37"/>
  <c r="U65" i="37"/>
  <c r="T65" i="37"/>
  <c r="S65" i="37"/>
  <c r="R65" i="37"/>
  <c r="Q65" i="37"/>
  <c r="P65" i="37"/>
  <c r="O65" i="37"/>
  <c r="N65" i="37"/>
  <c r="M65" i="37"/>
  <c r="L65" i="37"/>
  <c r="K65" i="37"/>
  <c r="J65" i="37"/>
  <c r="I65" i="37"/>
  <c r="H65" i="37"/>
  <c r="G65" i="37"/>
  <c r="F65" i="37"/>
  <c r="E65" i="37"/>
  <c r="D65" i="37"/>
  <c r="C65" i="37"/>
  <c r="AC64" i="37"/>
  <c r="AB64" i="37"/>
  <c r="AA64" i="37"/>
  <c r="Z64" i="37"/>
  <c r="Y64" i="37"/>
  <c r="X64" i="37"/>
  <c r="T64" i="37"/>
  <c r="S64" i="37"/>
  <c r="R64" i="37"/>
  <c r="Q64" i="37"/>
  <c r="P64" i="37"/>
  <c r="O64" i="37"/>
  <c r="N64" i="37"/>
  <c r="M64" i="37"/>
  <c r="L64" i="37"/>
  <c r="K64" i="37"/>
  <c r="J64" i="37"/>
  <c r="I64" i="37"/>
  <c r="H64" i="37"/>
  <c r="G64" i="37"/>
  <c r="F64" i="37"/>
  <c r="E64" i="37"/>
  <c r="D64" i="37"/>
  <c r="C64" i="37"/>
  <c r="AC63" i="37"/>
  <c r="AB63" i="37"/>
  <c r="AA63" i="37"/>
  <c r="Z63" i="37"/>
  <c r="Y63" i="37"/>
  <c r="X63" i="37"/>
  <c r="T63" i="37"/>
  <c r="S63" i="37"/>
  <c r="R63" i="37"/>
  <c r="Q63" i="37"/>
  <c r="P63" i="37"/>
  <c r="O63" i="37"/>
  <c r="N63" i="37"/>
  <c r="M63" i="37"/>
  <c r="L63" i="37"/>
  <c r="K63" i="37"/>
  <c r="J63" i="37"/>
  <c r="I63" i="37"/>
  <c r="H63" i="37"/>
  <c r="G63" i="37"/>
  <c r="F63" i="37"/>
  <c r="E63" i="37"/>
  <c r="D63" i="37"/>
  <c r="C63" i="37"/>
  <c r="AC62" i="37"/>
  <c r="AB62" i="37"/>
  <c r="AA62" i="37"/>
  <c r="Z62" i="37"/>
  <c r="Y62" i="37"/>
  <c r="X62" i="37"/>
  <c r="V62" i="37"/>
  <c r="T62" i="37"/>
  <c r="S62" i="37"/>
  <c r="R62" i="37"/>
  <c r="Q62" i="37"/>
  <c r="P62" i="37"/>
  <c r="O62" i="37"/>
  <c r="N62" i="37"/>
  <c r="M62" i="37"/>
  <c r="L62" i="37"/>
  <c r="K62" i="37"/>
  <c r="J62" i="37"/>
  <c r="I62" i="37"/>
  <c r="H62" i="37"/>
  <c r="G62" i="37"/>
  <c r="F62" i="37"/>
  <c r="E62" i="37"/>
  <c r="D62" i="37"/>
  <c r="C62" i="37"/>
  <c r="AC61" i="37"/>
  <c r="AB61" i="37"/>
  <c r="AA61" i="37"/>
  <c r="Z61" i="37"/>
  <c r="Y61" i="37"/>
  <c r="X61" i="37"/>
  <c r="T61" i="37"/>
  <c r="S61" i="37"/>
  <c r="R61" i="37"/>
  <c r="Q61" i="37"/>
  <c r="P61" i="37"/>
  <c r="O61" i="37"/>
  <c r="N61" i="37"/>
  <c r="M61" i="37"/>
  <c r="L61" i="37"/>
  <c r="K61" i="37"/>
  <c r="J61" i="37"/>
  <c r="I61" i="37"/>
  <c r="H61" i="37"/>
  <c r="G61" i="37"/>
  <c r="F61" i="37"/>
  <c r="E61" i="37"/>
  <c r="D61" i="37"/>
  <c r="C61" i="37"/>
  <c r="T60" i="37"/>
  <c r="S60" i="37"/>
  <c r="R60" i="37"/>
  <c r="Q60" i="37"/>
  <c r="P60" i="37"/>
  <c r="O60" i="37"/>
  <c r="N60" i="37"/>
  <c r="M60" i="37"/>
  <c r="L60" i="37"/>
  <c r="K60" i="37"/>
  <c r="J60" i="37"/>
  <c r="I60" i="37"/>
  <c r="H60" i="37"/>
  <c r="G60" i="37"/>
  <c r="F60" i="37"/>
  <c r="E60" i="37"/>
  <c r="D60" i="37"/>
  <c r="C60" i="37"/>
  <c r="AC59" i="37"/>
  <c r="AB59" i="37"/>
  <c r="AA59" i="37"/>
  <c r="Z59" i="37"/>
  <c r="Y59" i="37"/>
  <c r="X59" i="37"/>
  <c r="U59" i="37"/>
  <c r="T59" i="37"/>
  <c r="S59" i="37"/>
  <c r="R59" i="37"/>
  <c r="AC58" i="37"/>
  <c r="AB58" i="37"/>
  <c r="AA58" i="37"/>
  <c r="Z58" i="37"/>
  <c r="Y58" i="37"/>
  <c r="X58" i="37"/>
  <c r="W58" i="37"/>
  <c r="V58" i="37"/>
  <c r="U58" i="37"/>
  <c r="T58" i="37"/>
  <c r="S58" i="37"/>
  <c r="R58" i="37"/>
  <c r="Q58" i="37"/>
  <c r="P58" i="37"/>
  <c r="O58" i="37"/>
  <c r="N58" i="37"/>
  <c r="M58" i="37"/>
  <c r="L58" i="37"/>
  <c r="K58" i="37"/>
  <c r="J58" i="37"/>
  <c r="I58" i="37"/>
  <c r="H58" i="37"/>
  <c r="G58" i="37"/>
  <c r="F58" i="37"/>
  <c r="E58" i="37"/>
  <c r="D58" i="37"/>
  <c r="C58" i="37"/>
  <c r="AC57" i="37"/>
  <c r="AB57" i="37"/>
  <c r="AA57" i="37"/>
  <c r="Z57" i="37"/>
  <c r="Y57" i="37"/>
  <c r="X57" i="37"/>
  <c r="T57" i="37"/>
  <c r="S57" i="37"/>
  <c r="R57" i="37"/>
  <c r="Q57" i="37"/>
  <c r="P57" i="37"/>
  <c r="O57" i="37"/>
  <c r="N57" i="37"/>
  <c r="M57" i="37"/>
  <c r="L57" i="37"/>
  <c r="K57" i="37"/>
  <c r="J57" i="37"/>
  <c r="I57" i="37"/>
  <c r="H57" i="37"/>
  <c r="G57" i="37"/>
  <c r="F57" i="37"/>
  <c r="E57" i="37"/>
  <c r="D57" i="37"/>
  <c r="C57" i="37"/>
  <c r="AC56" i="37"/>
  <c r="AB56" i="37"/>
  <c r="AA56" i="37"/>
  <c r="Z56" i="37"/>
  <c r="Y56" i="37"/>
  <c r="X56" i="37"/>
  <c r="T56" i="37"/>
  <c r="S56" i="37"/>
  <c r="R56" i="37"/>
  <c r="Q56" i="37"/>
  <c r="P56" i="37"/>
  <c r="O56" i="37"/>
  <c r="N56" i="37"/>
  <c r="M56" i="37"/>
  <c r="L56" i="37"/>
  <c r="K56" i="37"/>
  <c r="J56" i="37"/>
  <c r="I56" i="37"/>
  <c r="H56" i="37"/>
  <c r="G56" i="37"/>
  <c r="F56" i="37"/>
  <c r="E56" i="37"/>
  <c r="D56" i="37"/>
  <c r="C56" i="37"/>
  <c r="AC55" i="37"/>
  <c r="AB55" i="37"/>
  <c r="AA55" i="37"/>
  <c r="Z55" i="37"/>
  <c r="Y55" i="37"/>
  <c r="X55" i="37"/>
  <c r="V55" i="37"/>
  <c r="T55" i="37"/>
  <c r="S55" i="37"/>
  <c r="R55" i="37"/>
  <c r="Q55" i="37"/>
  <c r="P55" i="37"/>
  <c r="O55" i="37"/>
  <c r="N55" i="37"/>
  <c r="M55" i="37"/>
  <c r="L55" i="37"/>
  <c r="K55" i="37"/>
  <c r="J55" i="37"/>
  <c r="I55" i="37"/>
  <c r="H55" i="37"/>
  <c r="G55" i="37"/>
  <c r="F55" i="37"/>
  <c r="E55" i="37"/>
  <c r="D55" i="37"/>
  <c r="C55" i="37"/>
  <c r="AC54" i="37"/>
  <c r="AB54" i="37"/>
  <c r="AA54" i="37"/>
  <c r="Z54" i="37"/>
  <c r="Y54" i="37"/>
  <c r="X54" i="37"/>
  <c r="T54" i="37"/>
  <c r="S54" i="37"/>
  <c r="R54" i="37"/>
  <c r="Q54" i="37"/>
  <c r="P54" i="37"/>
  <c r="O54" i="37"/>
  <c r="N54" i="37"/>
  <c r="M54" i="37"/>
  <c r="L54" i="37"/>
  <c r="K54" i="37"/>
  <c r="J54" i="37"/>
  <c r="I54" i="37"/>
  <c r="H54" i="37"/>
  <c r="G54" i="37"/>
  <c r="F54" i="37"/>
  <c r="E54" i="37"/>
  <c r="D54" i="37"/>
  <c r="C54" i="37"/>
  <c r="T53" i="37"/>
  <c r="S53" i="37"/>
  <c r="R53" i="37"/>
  <c r="Q53" i="37"/>
  <c r="P53" i="37"/>
  <c r="O53" i="37"/>
  <c r="N53" i="37"/>
  <c r="M53" i="37"/>
  <c r="L53" i="37"/>
  <c r="K53" i="37"/>
  <c r="J53" i="37"/>
  <c r="I53" i="37"/>
  <c r="H53" i="37"/>
  <c r="G53" i="37"/>
  <c r="F53" i="37"/>
  <c r="E53" i="37"/>
  <c r="D53" i="37"/>
  <c r="C53" i="37"/>
  <c r="T49" i="37"/>
  <c r="S49" i="37"/>
  <c r="R49" i="37"/>
  <c r="Q49" i="37"/>
  <c r="P49" i="37"/>
  <c r="O49" i="37"/>
  <c r="N49" i="37"/>
  <c r="M49" i="37"/>
  <c r="L49" i="37"/>
  <c r="K49" i="37"/>
  <c r="J49" i="37"/>
  <c r="I49" i="37"/>
  <c r="H49" i="37"/>
  <c r="G49" i="37"/>
  <c r="F49" i="37"/>
  <c r="E49" i="37"/>
  <c r="D49" i="37"/>
  <c r="C49" i="37"/>
  <c r="T47" i="37"/>
  <c r="S47" i="37"/>
  <c r="R47" i="37"/>
  <c r="Q47" i="37"/>
  <c r="P47" i="37"/>
  <c r="O47" i="37"/>
  <c r="N47" i="37"/>
  <c r="M47" i="37"/>
  <c r="L47" i="37"/>
  <c r="K47" i="37"/>
  <c r="J47" i="37"/>
  <c r="I47" i="37"/>
  <c r="H47" i="37"/>
  <c r="G47" i="37"/>
  <c r="F47" i="37"/>
  <c r="E47" i="37"/>
  <c r="W46" i="37"/>
  <c r="W66" i="37" s="1"/>
  <c r="V46" i="37"/>
  <c r="V66" i="37" s="1"/>
  <c r="U46" i="37"/>
  <c r="U66" i="37" s="1"/>
  <c r="W45" i="37"/>
  <c r="W65" i="37" s="1"/>
  <c r="V45" i="37"/>
  <c r="V65" i="37" s="1"/>
  <c r="U45" i="37"/>
  <c r="W44" i="37"/>
  <c r="W64" i="37" s="1"/>
  <c r="V44" i="37"/>
  <c r="V64" i="37" s="1"/>
  <c r="U44" i="37"/>
  <c r="U64" i="37" s="1"/>
  <c r="W43" i="37"/>
  <c r="W63" i="37" s="1"/>
  <c r="V43" i="37"/>
  <c r="V63" i="37" s="1"/>
  <c r="U43" i="37"/>
  <c r="U63" i="37" s="1"/>
  <c r="W42" i="37"/>
  <c r="W62" i="37" s="1"/>
  <c r="V42" i="37"/>
  <c r="U42" i="37"/>
  <c r="U62" i="37" s="1"/>
  <c r="W41" i="37"/>
  <c r="W61" i="37" s="1"/>
  <c r="V41" i="37"/>
  <c r="V61" i="37" s="1"/>
  <c r="U41" i="37"/>
  <c r="U61" i="37" s="1"/>
  <c r="W40" i="37"/>
  <c r="U40" i="37"/>
  <c r="T40" i="37"/>
  <c r="S40" i="37"/>
  <c r="R40" i="37"/>
  <c r="Q40" i="37"/>
  <c r="P40" i="37"/>
  <c r="O40" i="37"/>
  <c r="N40" i="37"/>
  <c r="M40" i="37"/>
  <c r="L40" i="37"/>
  <c r="K40" i="37"/>
  <c r="J40" i="37"/>
  <c r="I40" i="37"/>
  <c r="H40" i="37"/>
  <c r="G40" i="37"/>
  <c r="F40" i="37"/>
  <c r="E40" i="37"/>
  <c r="W39" i="37"/>
  <c r="V39" i="37"/>
  <c r="W38" i="37"/>
  <c r="W59" i="37" s="1"/>
  <c r="V38" i="37"/>
  <c r="V59" i="37" s="1"/>
  <c r="W36" i="37"/>
  <c r="W57" i="37" s="1"/>
  <c r="V36" i="37"/>
  <c r="V57" i="37" s="1"/>
  <c r="U36" i="37"/>
  <c r="U57" i="37" s="1"/>
  <c r="W35" i="37"/>
  <c r="W56" i="37" s="1"/>
  <c r="V35" i="37"/>
  <c r="V56" i="37" s="1"/>
  <c r="U35" i="37"/>
  <c r="U56" i="37" s="1"/>
  <c r="W34" i="37"/>
  <c r="W55" i="37" s="1"/>
  <c r="V34" i="37"/>
  <c r="U34" i="37"/>
  <c r="U55" i="37" s="1"/>
  <c r="W33" i="37"/>
  <c r="W54" i="37" s="1"/>
  <c r="V33" i="37"/>
  <c r="V32" i="37" s="1"/>
  <c r="U33" i="37"/>
  <c r="U32" i="37" s="1"/>
  <c r="W32" i="37"/>
  <c r="W53" i="37" s="1"/>
  <c r="T32" i="37"/>
  <c r="S32" i="37"/>
  <c r="R32" i="37"/>
  <c r="Q32" i="37"/>
  <c r="P32" i="37"/>
  <c r="O32" i="37"/>
  <c r="N32" i="37"/>
  <c r="M32" i="37"/>
  <c r="L32" i="37"/>
  <c r="K32" i="37"/>
  <c r="J32" i="37"/>
  <c r="I32" i="37"/>
  <c r="H32" i="37"/>
  <c r="G32" i="37"/>
  <c r="F32" i="37"/>
  <c r="E32" i="37"/>
  <c r="W30" i="37"/>
  <c r="V30" i="37"/>
  <c r="T28" i="37"/>
  <c r="S28" i="37"/>
  <c r="R28" i="37"/>
  <c r="Q28" i="37"/>
  <c r="P28" i="37"/>
  <c r="O28" i="37"/>
  <c r="N28" i="37"/>
  <c r="M28" i="37"/>
  <c r="L28" i="37"/>
  <c r="K28" i="37"/>
  <c r="J28" i="37"/>
  <c r="I28" i="37"/>
  <c r="H28" i="37"/>
  <c r="G28" i="37"/>
  <c r="F28" i="37"/>
  <c r="E28" i="37"/>
  <c r="D28" i="37"/>
  <c r="C28" i="37"/>
  <c r="W27" i="37"/>
  <c r="V27" i="37"/>
  <c r="T27" i="37"/>
  <c r="S27" i="37"/>
  <c r="R27" i="37"/>
  <c r="Q27" i="37"/>
  <c r="P27" i="37"/>
  <c r="O27" i="37"/>
  <c r="N27" i="37"/>
  <c r="M27" i="37"/>
  <c r="L27" i="37"/>
  <c r="K27" i="37"/>
  <c r="J27" i="37"/>
  <c r="I27" i="37"/>
  <c r="H27" i="37"/>
  <c r="G27" i="37"/>
  <c r="F27" i="37"/>
  <c r="E27" i="37"/>
  <c r="D27" i="37"/>
  <c r="C27" i="37"/>
  <c r="W26" i="37"/>
  <c r="V26" i="37"/>
  <c r="U26" i="37"/>
  <c r="T26" i="37"/>
  <c r="S26" i="37"/>
  <c r="R26" i="37"/>
  <c r="Q26" i="37"/>
  <c r="P26" i="37"/>
  <c r="O26" i="37"/>
  <c r="N26" i="37"/>
  <c r="M26" i="37"/>
  <c r="L26" i="37"/>
  <c r="K26" i="37"/>
  <c r="J26" i="37"/>
  <c r="I26" i="37"/>
  <c r="H26" i="37"/>
  <c r="G26" i="37"/>
  <c r="F26" i="37"/>
  <c r="E26" i="37"/>
  <c r="D26" i="37"/>
  <c r="C26" i="37"/>
  <c r="W25" i="37"/>
  <c r="V25" i="37"/>
  <c r="U25" i="37"/>
  <c r="T25" i="37"/>
  <c r="S25" i="37"/>
  <c r="R25" i="37"/>
  <c r="Q25" i="37"/>
  <c r="P25" i="37"/>
  <c r="O25" i="37"/>
  <c r="N25" i="37"/>
  <c r="M25" i="37"/>
  <c r="L25" i="37"/>
  <c r="K25" i="37"/>
  <c r="J25" i="37"/>
  <c r="I25" i="37"/>
  <c r="H25" i="37"/>
  <c r="G25" i="37"/>
  <c r="F25" i="37"/>
  <c r="E25" i="37"/>
  <c r="D25" i="37"/>
  <c r="C25" i="37"/>
  <c r="W24" i="37"/>
  <c r="V24" i="37"/>
  <c r="U24" i="37"/>
  <c r="T24" i="37"/>
  <c r="S24" i="37"/>
  <c r="R24" i="37"/>
  <c r="Q24" i="37"/>
  <c r="P24" i="37"/>
  <c r="O24" i="37"/>
  <c r="N24" i="37"/>
  <c r="M24" i="37"/>
  <c r="L24" i="37"/>
  <c r="K24" i="37"/>
  <c r="J24" i="37"/>
  <c r="I24" i="37"/>
  <c r="H24" i="37"/>
  <c r="G24" i="37"/>
  <c r="F24" i="37"/>
  <c r="E24" i="37"/>
  <c r="D24" i="37"/>
  <c r="C24" i="37"/>
  <c r="AC23" i="37"/>
  <c r="AB23" i="37"/>
  <c r="AA23" i="37"/>
  <c r="Z23" i="37"/>
  <c r="Y23" i="37"/>
  <c r="X23" i="37"/>
  <c r="W23" i="37"/>
  <c r="V23" i="37"/>
  <c r="U23" i="37"/>
  <c r="T23" i="37"/>
  <c r="S23" i="37"/>
  <c r="R23" i="37"/>
  <c r="Q23" i="37"/>
  <c r="P23" i="37"/>
  <c r="O23" i="37"/>
  <c r="N23" i="37"/>
  <c r="M23" i="37"/>
  <c r="L23" i="37"/>
  <c r="K23" i="37"/>
  <c r="V22" i="37"/>
  <c r="U22" i="37"/>
  <c r="AD19" i="37"/>
  <c r="AD16" i="37"/>
  <c r="AC16" i="37"/>
  <c r="AB16" i="37"/>
  <c r="AA16" i="37"/>
  <c r="Z16" i="37"/>
  <c r="Y16" i="37"/>
  <c r="X16" i="37"/>
  <c r="W16" i="37"/>
  <c r="V16" i="37"/>
  <c r="U16" i="37"/>
  <c r="T16" i="37"/>
  <c r="S16" i="37"/>
  <c r="R16" i="37"/>
  <c r="Q16" i="37"/>
  <c r="P16" i="37"/>
  <c r="O16" i="37"/>
  <c r="N16" i="37"/>
  <c r="M16" i="37"/>
  <c r="L16" i="37"/>
  <c r="K16" i="37"/>
  <c r="AD10" i="37"/>
  <c r="AD7" i="37"/>
  <c r="AD6" i="37"/>
  <c r="AC6" i="37"/>
  <c r="AB6" i="37"/>
  <c r="AA6" i="37"/>
  <c r="Z6" i="37"/>
  <c r="Y6" i="37"/>
  <c r="X6" i="37"/>
  <c r="W6" i="37"/>
  <c r="V6" i="37"/>
  <c r="U6" i="37"/>
  <c r="T6" i="37"/>
  <c r="S6" i="37"/>
  <c r="R6" i="37"/>
  <c r="Q6" i="37"/>
  <c r="P6" i="37"/>
  <c r="O6" i="37"/>
  <c r="N6" i="37"/>
  <c r="M6" i="37"/>
  <c r="L6" i="37"/>
  <c r="K6" i="37"/>
  <c r="AC4" i="37"/>
  <c r="AB4" i="37"/>
  <c r="AA4" i="37"/>
  <c r="Z4" i="37"/>
  <c r="Y4" i="37"/>
  <c r="X4" i="37"/>
  <c r="V2" i="37"/>
  <c r="U2" i="37"/>
  <c r="T2" i="37"/>
  <c r="S2" i="37"/>
  <c r="R2" i="37"/>
  <c r="Q2" i="37"/>
  <c r="P2" i="37"/>
  <c r="O2" i="37"/>
  <c r="N2" i="37"/>
  <c r="M2" i="37"/>
  <c r="L2" i="37"/>
  <c r="K2" i="37"/>
  <c r="J2" i="37"/>
  <c r="I2" i="37"/>
  <c r="H2" i="37"/>
  <c r="G2" i="37"/>
  <c r="F2" i="37"/>
  <c r="E2" i="37"/>
  <c r="D2" i="37"/>
  <c r="BU101" i="41"/>
  <c r="BL101" i="41"/>
  <c r="BC101" i="41"/>
  <c r="AV101" i="41"/>
  <c r="AO101" i="41"/>
  <c r="AH101" i="41"/>
  <c r="AA101" i="41"/>
  <c r="T101" i="41"/>
  <c r="M101" i="41"/>
  <c r="BU100" i="41"/>
  <c r="BL100" i="41"/>
  <c r="BC100" i="41"/>
  <c r="AV100" i="41"/>
  <c r="AO100" i="41"/>
  <c r="AH100" i="41"/>
  <c r="AA100" i="41"/>
  <c r="T100" i="41"/>
  <c r="M100" i="41"/>
  <c r="BU99" i="41"/>
  <c r="BL99" i="41"/>
  <c r="BC99" i="41"/>
  <c r="AV99" i="41"/>
  <c r="AO99" i="41"/>
  <c r="AH99" i="41"/>
  <c r="AA99" i="41"/>
  <c r="T99" i="41"/>
  <c r="M99" i="41"/>
  <c r="BU98" i="41"/>
  <c r="BL98" i="41"/>
  <c r="BC98" i="41"/>
  <c r="AV98" i="41"/>
  <c r="AO98" i="41"/>
  <c r="AH98" i="41"/>
  <c r="AA98" i="41"/>
  <c r="T98" i="41"/>
  <c r="M98" i="41"/>
  <c r="BU97" i="41"/>
  <c r="BL97" i="41"/>
  <c r="BC97" i="41"/>
  <c r="AV97" i="41"/>
  <c r="AO97" i="41"/>
  <c r="AH97" i="41"/>
  <c r="AA97" i="41"/>
  <c r="T97" i="41"/>
  <c r="M97" i="41"/>
  <c r="BU96" i="41"/>
  <c r="BL96" i="41"/>
  <c r="BC96" i="41"/>
  <c r="AV96" i="41"/>
  <c r="AO96" i="41"/>
  <c r="AH96" i="41"/>
  <c r="AA96" i="41"/>
  <c r="T96" i="41"/>
  <c r="M96" i="41"/>
  <c r="BU95" i="41"/>
  <c r="BL95" i="41"/>
  <c r="BC95" i="41"/>
  <c r="AV95" i="41"/>
  <c r="AO95" i="41"/>
  <c r="AH95" i="41"/>
  <c r="AA95" i="41"/>
  <c r="T95" i="41"/>
  <c r="M95" i="41"/>
  <c r="BU94" i="41"/>
  <c r="BL94" i="41"/>
  <c r="BC94" i="41"/>
  <c r="AV94" i="41"/>
  <c r="AO94" i="41"/>
  <c r="AH94" i="41"/>
  <c r="AA94" i="41"/>
  <c r="T94" i="41"/>
  <c r="M94" i="41"/>
  <c r="BU93" i="41"/>
  <c r="BL93" i="41"/>
  <c r="BC93" i="41"/>
  <c r="AV93" i="41"/>
  <c r="AO93" i="41"/>
  <c r="AH93" i="41"/>
  <c r="AA93" i="41"/>
  <c r="T93" i="41"/>
  <c r="M93" i="41"/>
  <c r="BU92" i="41"/>
  <c r="BL92" i="41"/>
  <c r="BC92" i="41"/>
  <c r="AV92" i="41"/>
  <c r="AO92" i="41"/>
  <c r="AH92" i="41"/>
  <c r="AA92" i="41"/>
  <c r="T92" i="41"/>
  <c r="M92" i="41"/>
  <c r="BU91" i="41"/>
  <c r="BL91" i="41"/>
  <c r="BC91" i="41"/>
  <c r="AV91" i="41"/>
  <c r="AO91" i="41"/>
  <c r="AH91" i="41"/>
  <c r="AA91" i="41"/>
  <c r="T91" i="41"/>
  <c r="M91" i="41"/>
  <c r="BU90" i="41"/>
  <c r="BL90" i="41"/>
  <c r="BC90" i="41"/>
  <c r="AV90" i="41"/>
  <c r="AO90" i="41"/>
  <c r="AH90" i="41"/>
  <c r="AA90" i="41"/>
  <c r="T90" i="41"/>
  <c r="M90" i="41"/>
  <c r="BU89" i="41"/>
  <c r="BL89" i="41"/>
  <c r="BC89" i="41"/>
  <c r="AV89" i="41"/>
  <c r="AO89" i="41"/>
  <c r="AH89" i="41"/>
  <c r="AA89" i="41"/>
  <c r="T89" i="41"/>
  <c r="M89" i="41"/>
  <c r="BU88" i="41"/>
  <c r="BL88" i="41"/>
  <c r="BC88" i="41"/>
  <c r="AV88" i="41"/>
  <c r="AO88" i="41"/>
  <c r="AH88" i="41"/>
  <c r="AA88" i="41"/>
  <c r="T88" i="41"/>
  <c r="M88" i="41"/>
  <c r="BU87" i="41"/>
  <c r="BL87" i="41"/>
  <c r="BC87" i="41"/>
  <c r="AV87" i="41"/>
  <c r="AO87" i="41"/>
  <c r="AH87" i="41"/>
  <c r="AA87" i="41"/>
  <c r="T87" i="41"/>
  <c r="M87" i="41"/>
  <c r="BU86" i="41"/>
  <c r="BL86" i="41"/>
  <c r="BC86" i="41"/>
  <c r="AV86" i="41"/>
  <c r="AO86" i="41"/>
  <c r="AH86" i="41"/>
  <c r="AA86" i="41"/>
  <c r="T86" i="41"/>
  <c r="M86" i="41"/>
  <c r="BU85" i="41"/>
  <c r="BL85" i="41"/>
  <c r="BC85" i="41"/>
  <c r="AV85" i="41"/>
  <c r="AO85" i="41"/>
  <c r="AH85" i="41"/>
  <c r="AA85" i="41"/>
  <c r="T85" i="41"/>
  <c r="M85" i="41"/>
  <c r="BU84" i="41"/>
  <c r="BL84" i="41"/>
  <c r="BC84" i="41"/>
  <c r="AV84" i="41"/>
  <c r="AO84" i="41"/>
  <c r="AH84" i="41"/>
  <c r="AA84" i="41"/>
  <c r="T84" i="41"/>
  <c r="M84" i="41"/>
  <c r="BU83" i="41"/>
  <c r="BL83" i="41"/>
  <c r="BC83" i="41"/>
  <c r="AV83" i="41"/>
  <c r="AO83" i="41"/>
  <c r="AH83" i="41"/>
  <c r="AA83" i="41"/>
  <c r="T83" i="41"/>
  <c r="M83" i="41"/>
  <c r="BU82" i="41"/>
  <c r="BL82" i="41"/>
  <c r="BC82" i="41"/>
  <c r="AV82" i="41"/>
  <c r="AO82" i="41"/>
  <c r="AH82" i="41"/>
  <c r="AA82" i="41"/>
  <c r="T82" i="41"/>
  <c r="M82" i="41"/>
  <c r="BU81" i="41"/>
  <c r="BL81" i="41"/>
  <c r="BC81" i="41"/>
  <c r="AV81" i="41"/>
  <c r="AO81" i="41"/>
  <c r="AH81" i="41"/>
  <c r="AA81" i="41"/>
  <c r="T81" i="41"/>
  <c r="M81" i="41"/>
  <c r="BU80" i="41"/>
  <c r="BL80" i="41"/>
  <c r="BC80" i="41"/>
  <c r="AV80" i="41"/>
  <c r="AO80" i="41"/>
  <c r="AH80" i="41"/>
  <c r="AA80" i="41"/>
  <c r="T80" i="41"/>
  <c r="M80" i="41"/>
  <c r="BU79" i="41"/>
  <c r="BL79" i="41"/>
  <c r="BC79" i="41"/>
  <c r="AV79" i="41"/>
  <c r="AO79" i="41"/>
  <c r="AH79" i="41"/>
  <c r="AA79" i="41"/>
  <c r="T79" i="41"/>
  <c r="M79" i="41"/>
  <c r="BU78" i="41"/>
  <c r="BL78" i="41"/>
  <c r="BC78" i="41"/>
  <c r="AV78" i="41"/>
  <c r="AO78" i="41"/>
  <c r="AH78" i="41"/>
  <c r="AA78" i="41"/>
  <c r="T78" i="41"/>
  <c r="M78" i="41"/>
  <c r="BU77" i="41"/>
  <c r="BL77" i="41"/>
  <c r="BC77" i="41"/>
  <c r="AV77" i="41"/>
  <c r="AO77" i="41"/>
  <c r="AH77" i="41"/>
  <c r="AA77" i="41"/>
  <c r="T77" i="41"/>
  <c r="M77" i="41"/>
  <c r="BU76" i="41"/>
  <c r="BL76" i="41"/>
  <c r="BC76" i="41"/>
  <c r="AV76" i="41"/>
  <c r="AO76" i="41"/>
  <c r="AH76" i="41"/>
  <c r="AA76" i="41"/>
  <c r="T76" i="41"/>
  <c r="M76" i="41"/>
  <c r="BU75" i="41"/>
  <c r="BL75" i="41"/>
  <c r="BC75" i="41"/>
  <c r="AV75" i="41"/>
  <c r="AO75" i="41"/>
  <c r="AH75" i="41"/>
  <c r="AA75" i="41"/>
  <c r="T75" i="41"/>
  <c r="M75" i="41"/>
  <c r="BU74" i="41"/>
  <c r="BL74" i="41"/>
  <c r="BC74" i="41"/>
  <c r="AV74" i="41"/>
  <c r="AO74" i="41"/>
  <c r="AH74" i="41"/>
  <c r="AA74" i="41"/>
  <c r="T74" i="41"/>
  <c r="M74" i="41"/>
  <c r="BU73" i="41"/>
  <c r="BL73" i="41"/>
  <c r="BC73" i="41"/>
  <c r="AV73" i="41"/>
  <c r="AO73" i="41"/>
  <c r="AH73" i="41"/>
  <c r="AA73" i="41"/>
  <c r="T73" i="41"/>
  <c r="M73" i="41"/>
  <c r="BU72" i="41"/>
  <c r="BL72" i="41"/>
  <c r="BC72" i="41"/>
  <c r="AV72" i="41"/>
  <c r="AO72" i="41"/>
  <c r="AH72" i="41"/>
  <c r="AA72" i="41"/>
  <c r="T72" i="41"/>
  <c r="M72" i="41"/>
  <c r="BU71" i="41"/>
  <c r="BL71" i="41"/>
  <c r="BC71" i="41"/>
  <c r="AV71" i="41"/>
  <c r="AO71" i="41"/>
  <c r="AH71" i="41"/>
  <c r="AA71" i="41"/>
  <c r="T71" i="41"/>
  <c r="M71" i="41"/>
  <c r="BU70" i="41"/>
  <c r="BL70" i="41"/>
  <c r="BC70" i="41"/>
  <c r="AV70" i="41"/>
  <c r="AO70" i="41"/>
  <c r="AH70" i="41"/>
  <c r="AA70" i="41"/>
  <c r="T70" i="41"/>
  <c r="M70" i="41"/>
  <c r="BU69" i="41"/>
  <c r="BL69" i="41"/>
  <c r="BC69" i="41"/>
  <c r="AV69" i="41"/>
  <c r="AO69" i="41"/>
  <c r="AH69" i="41"/>
  <c r="AA69" i="41"/>
  <c r="T69" i="41"/>
  <c r="M69" i="41"/>
  <c r="BU68" i="41"/>
  <c r="BL68" i="41"/>
  <c r="BC68" i="41"/>
  <c r="AV68" i="41"/>
  <c r="AO68" i="41"/>
  <c r="AH68" i="41"/>
  <c r="AA68" i="41"/>
  <c r="T68" i="41"/>
  <c r="M68" i="41"/>
  <c r="BU67" i="41"/>
  <c r="BL67" i="41"/>
  <c r="BC67" i="41"/>
  <c r="AV67" i="41"/>
  <c r="AO67" i="41"/>
  <c r="AH67" i="41"/>
  <c r="AA67" i="41"/>
  <c r="T67" i="41"/>
  <c r="M67" i="41"/>
  <c r="BV66" i="41"/>
  <c r="BU66" i="41"/>
  <c r="BL66" i="41"/>
  <c r="BD66" i="41"/>
  <c r="BC66" i="41"/>
  <c r="AW66" i="41"/>
  <c r="AV66" i="41"/>
  <c r="AP66" i="41"/>
  <c r="AO66" i="41"/>
  <c r="AI66" i="41"/>
  <c r="AH66" i="41"/>
  <c r="AB66" i="41"/>
  <c r="AA66" i="41"/>
  <c r="U66" i="41"/>
  <c r="T66" i="41"/>
  <c r="N66" i="41"/>
  <c r="M66" i="41"/>
  <c r="J66" i="41"/>
  <c r="I66" i="41"/>
  <c r="BM66" i="41" s="1"/>
  <c r="H66" i="41"/>
  <c r="G66" i="41"/>
  <c r="F66" i="41"/>
  <c r="E66" i="41"/>
  <c r="D66" i="41"/>
  <c r="C66" i="41"/>
  <c r="B66" i="41"/>
  <c r="BU38" i="41"/>
  <c r="BL38" i="41"/>
  <c r="BC38" i="41"/>
  <c r="AV38" i="41"/>
  <c r="AO38" i="41"/>
  <c r="AH38" i="41"/>
  <c r="AA38" i="41"/>
  <c r="T38" i="41"/>
  <c r="M38" i="41"/>
  <c r="BU37" i="41"/>
  <c r="BL37" i="41"/>
  <c r="BC37" i="41"/>
  <c r="AV37" i="41"/>
  <c r="AO37" i="41"/>
  <c r="AH37" i="41"/>
  <c r="AA37" i="41"/>
  <c r="T37" i="41"/>
  <c r="M37" i="41"/>
  <c r="BU36" i="41"/>
  <c r="BL36" i="41"/>
  <c r="BC36" i="41"/>
  <c r="AV36" i="41"/>
  <c r="AO36" i="41"/>
  <c r="AH36" i="41"/>
  <c r="AA36" i="41"/>
  <c r="T36" i="41"/>
  <c r="M36" i="41"/>
  <c r="BU35" i="41"/>
  <c r="BL35" i="41"/>
  <c r="BC35" i="41"/>
  <c r="AV35" i="41"/>
  <c r="AO35" i="41"/>
  <c r="AH35" i="41"/>
  <c r="AA35" i="41"/>
  <c r="T35" i="41"/>
  <c r="M35" i="41"/>
  <c r="BU34" i="41"/>
  <c r="BL34" i="41"/>
  <c r="BC34" i="41"/>
  <c r="AV34" i="41"/>
  <c r="AO34" i="41"/>
  <c r="AH34" i="41"/>
  <c r="AA34" i="41"/>
  <c r="T34" i="41"/>
  <c r="M34" i="41"/>
  <c r="BU33" i="41"/>
  <c r="BL33" i="41"/>
  <c r="BC33" i="41"/>
  <c r="AV33" i="41"/>
  <c r="AO33" i="41"/>
  <c r="AH33" i="41"/>
  <c r="AA33" i="41"/>
  <c r="T33" i="41"/>
  <c r="M33" i="41"/>
  <c r="BU32" i="41"/>
  <c r="BL32" i="41"/>
  <c r="BC32" i="41"/>
  <c r="AV32" i="41"/>
  <c r="AO32" i="41"/>
  <c r="AH32" i="41"/>
  <c r="AA32" i="41"/>
  <c r="T32" i="41"/>
  <c r="M32" i="41"/>
  <c r="BU31" i="41"/>
  <c r="BL31" i="41"/>
  <c r="BC31" i="41"/>
  <c r="AV31" i="41"/>
  <c r="AO31" i="41"/>
  <c r="AH31" i="41"/>
  <c r="AA31" i="41"/>
  <c r="T31" i="41"/>
  <c r="M31" i="41"/>
  <c r="BU30" i="41"/>
  <c r="BL30" i="41"/>
  <c r="BC30" i="41"/>
  <c r="AV30" i="41"/>
  <c r="AO30" i="41"/>
  <c r="AH30" i="41"/>
  <c r="AA30" i="41"/>
  <c r="T30" i="41"/>
  <c r="M30" i="41"/>
  <c r="BU29" i="41"/>
  <c r="BL29" i="41"/>
  <c r="BC29" i="41"/>
  <c r="AV29" i="41"/>
  <c r="AO29" i="41"/>
  <c r="AH29" i="41"/>
  <c r="AA29" i="41"/>
  <c r="T29" i="41"/>
  <c r="M29" i="41"/>
  <c r="BU28" i="41"/>
  <c r="BL28" i="41"/>
  <c r="BC28" i="41"/>
  <c r="AV28" i="41"/>
  <c r="AO28" i="41"/>
  <c r="AH28" i="41"/>
  <c r="AA28" i="41"/>
  <c r="T28" i="41"/>
  <c r="M28" i="41"/>
  <c r="BU27" i="41"/>
  <c r="BL27" i="41"/>
  <c r="BC27" i="41"/>
  <c r="AV27" i="41"/>
  <c r="AO27" i="41"/>
  <c r="AH27" i="41"/>
  <c r="AA27" i="41"/>
  <c r="T27" i="41"/>
  <c r="M27" i="41"/>
  <c r="BU26" i="41"/>
  <c r="BL26" i="41"/>
  <c r="BC26" i="41"/>
  <c r="AV26" i="41"/>
  <c r="AO26" i="41"/>
  <c r="AH26" i="41"/>
  <c r="AA26" i="41"/>
  <c r="T26" i="41"/>
  <c r="M26" i="41"/>
  <c r="BU25" i="41"/>
  <c r="BL25" i="41"/>
  <c r="BC25" i="41"/>
  <c r="AV25" i="41"/>
  <c r="AO25" i="41"/>
  <c r="AH25" i="41"/>
  <c r="AA25" i="41"/>
  <c r="T25" i="41"/>
  <c r="M25" i="41"/>
  <c r="BU24" i="41"/>
  <c r="BL24" i="41"/>
  <c r="BC24" i="41"/>
  <c r="AV24" i="41"/>
  <c r="AO24" i="41"/>
  <c r="AH24" i="41"/>
  <c r="AA24" i="41"/>
  <c r="T24" i="41"/>
  <c r="M24" i="41"/>
  <c r="BU23" i="41"/>
  <c r="BL23" i="41"/>
  <c r="BC23" i="41"/>
  <c r="AV23" i="41"/>
  <c r="AO23" i="41"/>
  <c r="AH23" i="41"/>
  <c r="AA23" i="41"/>
  <c r="T23" i="41"/>
  <c r="M23" i="41"/>
  <c r="BU22" i="41"/>
  <c r="BL22" i="41"/>
  <c r="BC22" i="41"/>
  <c r="AV22" i="41"/>
  <c r="AO22" i="41"/>
  <c r="AH22" i="41"/>
  <c r="AA22" i="41"/>
  <c r="T22" i="41"/>
  <c r="M22" i="41"/>
  <c r="BU21" i="41"/>
  <c r="BL21" i="41"/>
  <c r="BC21" i="41"/>
  <c r="AV21" i="41"/>
  <c r="AO21" i="41"/>
  <c r="AH21" i="41"/>
  <c r="AA21" i="41"/>
  <c r="T21" i="41"/>
  <c r="M21" i="41"/>
  <c r="BU20" i="41"/>
  <c r="BL20" i="41"/>
  <c r="BC20" i="41"/>
  <c r="AV20" i="41"/>
  <c r="AO20" i="41"/>
  <c r="AH20" i="41"/>
  <c r="AA20" i="41"/>
  <c r="T20" i="41"/>
  <c r="M20" i="41"/>
  <c r="BU19" i="41"/>
  <c r="BL19" i="41"/>
  <c r="BC19" i="41"/>
  <c r="AV19" i="41"/>
  <c r="AO19" i="41"/>
  <c r="AH19" i="41"/>
  <c r="AA19" i="41"/>
  <c r="T19" i="41"/>
  <c r="M19" i="41"/>
  <c r="BU18" i="41"/>
  <c r="BL18" i="41"/>
  <c r="BC18" i="41"/>
  <c r="AV18" i="41"/>
  <c r="AO18" i="41"/>
  <c r="AH18" i="41"/>
  <c r="AA18" i="41"/>
  <c r="T18" i="41"/>
  <c r="M18" i="41"/>
  <c r="BU17" i="41"/>
  <c r="BL17" i="41"/>
  <c r="BC17" i="41"/>
  <c r="AV17" i="41"/>
  <c r="AO17" i="41"/>
  <c r="AH17" i="41"/>
  <c r="AA17" i="41"/>
  <c r="T17" i="41"/>
  <c r="M17" i="41"/>
  <c r="BU16" i="41"/>
  <c r="BL16" i="41"/>
  <c r="BC16" i="41"/>
  <c r="AV16" i="41"/>
  <c r="AO16" i="41"/>
  <c r="AH16" i="41"/>
  <c r="AA16" i="41"/>
  <c r="T16" i="41"/>
  <c r="M16" i="41"/>
  <c r="BU15" i="41"/>
  <c r="BL15" i="41"/>
  <c r="BC15" i="41"/>
  <c r="AV15" i="41"/>
  <c r="AO15" i="41"/>
  <c r="AH15" i="41"/>
  <c r="AA15" i="41"/>
  <c r="T15" i="41"/>
  <c r="M15" i="41"/>
  <c r="BU14" i="41"/>
  <c r="BL14" i="41"/>
  <c r="BC14" i="41"/>
  <c r="AV14" i="41"/>
  <c r="AO14" i="41"/>
  <c r="AH14" i="41"/>
  <c r="AA14" i="41"/>
  <c r="T14" i="41"/>
  <c r="M14" i="41"/>
  <c r="BU13" i="41"/>
  <c r="BL13" i="41"/>
  <c r="BC13" i="41"/>
  <c r="AV13" i="41"/>
  <c r="AO13" i="41"/>
  <c r="AH13" i="41"/>
  <c r="AA13" i="41"/>
  <c r="T13" i="41"/>
  <c r="M13" i="41"/>
  <c r="BU12" i="41"/>
  <c r="BL12" i="41"/>
  <c r="BC12" i="41"/>
  <c r="AV12" i="41"/>
  <c r="AO12" i="41"/>
  <c r="AH12" i="41"/>
  <c r="AA12" i="41"/>
  <c r="T12" i="41"/>
  <c r="M12" i="41"/>
  <c r="BU11" i="41"/>
  <c r="BL11" i="41"/>
  <c r="BC11" i="41"/>
  <c r="AV11" i="41"/>
  <c r="AO11" i="41"/>
  <c r="AH11" i="41"/>
  <c r="AA11" i="41"/>
  <c r="T11" i="41"/>
  <c r="M11" i="41"/>
  <c r="BU10" i="41"/>
  <c r="BL10" i="41"/>
  <c r="BC10" i="41"/>
  <c r="AV10" i="41"/>
  <c r="AO10" i="41"/>
  <c r="AH10" i="41"/>
  <c r="AA10" i="41"/>
  <c r="T10" i="41"/>
  <c r="M10" i="41"/>
  <c r="BU9" i="41"/>
  <c r="BL9" i="41"/>
  <c r="BC9" i="41"/>
  <c r="AV9" i="41"/>
  <c r="AO9" i="41"/>
  <c r="AH9" i="41"/>
  <c r="AA9" i="41"/>
  <c r="T9" i="41"/>
  <c r="M9" i="41"/>
  <c r="BU8" i="41"/>
  <c r="BL8" i="41"/>
  <c r="BC8" i="41"/>
  <c r="AV8" i="41"/>
  <c r="AO8" i="41"/>
  <c r="AH8" i="41"/>
  <c r="AA8" i="41"/>
  <c r="T8" i="41"/>
  <c r="M8" i="41"/>
  <c r="BU7" i="41"/>
  <c r="BL7" i="41"/>
  <c r="BC7" i="41"/>
  <c r="AV7" i="41"/>
  <c r="AO7" i="41"/>
  <c r="AH7" i="41"/>
  <c r="AA7" i="41"/>
  <c r="T7" i="41"/>
  <c r="M7" i="41"/>
  <c r="BU6" i="41"/>
  <c r="BL6" i="41"/>
  <c r="BC6" i="41"/>
  <c r="AV6" i="41"/>
  <c r="AO6" i="41"/>
  <c r="AH6" i="41"/>
  <c r="AA6" i="41"/>
  <c r="T6" i="41"/>
  <c r="M6" i="41"/>
  <c r="BU5" i="41"/>
  <c r="BL5" i="41"/>
  <c r="BC5" i="41"/>
  <c r="AV5" i="41"/>
  <c r="AO5" i="41"/>
  <c r="AH5" i="41"/>
  <c r="AA5" i="41"/>
  <c r="T5" i="41"/>
  <c r="M5" i="41"/>
  <c r="BU4" i="41"/>
  <c r="BL4" i="41"/>
  <c r="BC4" i="41"/>
  <c r="AV4" i="41"/>
  <c r="AO4" i="41"/>
  <c r="AH4" i="41"/>
  <c r="AA4" i="41"/>
  <c r="T4" i="41"/>
  <c r="M4" i="41"/>
  <c r="BV3" i="41"/>
  <c r="BU3" i="41"/>
  <c r="BM3" i="41"/>
  <c r="BL3" i="41"/>
  <c r="BD3" i="41"/>
  <c r="BC3" i="41"/>
  <c r="AW3" i="41"/>
  <c r="AV3" i="41"/>
  <c r="AP3" i="41"/>
  <c r="AO3" i="41"/>
  <c r="AI3" i="41"/>
  <c r="AH3" i="41"/>
  <c r="AB3" i="41"/>
  <c r="AA3" i="41"/>
  <c r="U3" i="41"/>
  <c r="T3" i="41"/>
  <c r="N3" i="41"/>
  <c r="M3" i="41"/>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164"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163" i="24"/>
  <c r="Z162" i="24"/>
  <c r="Y162" i="24"/>
  <c r="X162" i="24"/>
  <c r="W162" i="24"/>
  <c r="V162" i="24"/>
  <c r="U162" i="24"/>
  <c r="T162" i="24"/>
  <c r="S162" i="24"/>
  <c r="R162" i="24"/>
  <c r="Q162" i="24"/>
  <c r="P162" i="24"/>
  <c r="O162" i="24"/>
  <c r="N162" i="24"/>
  <c r="M162" i="24"/>
  <c r="L162" i="24"/>
  <c r="K162" i="24"/>
  <c r="J162" i="24"/>
  <c r="I162" i="24"/>
  <c r="H162" i="24"/>
  <c r="G162" i="24"/>
  <c r="F162" i="24"/>
  <c r="E162" i="24"/>
  <c r="D162" i="24"/>
  <c r="C162" i="24"/>
  <c r="B162" i="24"/>
  <c r="Z161" i="24"/>
  <c r="Y161" i="24"/>
  <c r="X161" i="24"/>
  <c r="W161" i="24"/>
  <c r="V161" i="24"/>
  <c r="U161" i="24"/>
  <c r="T161" i="24"/>
  <c r="S161" i="24"/>
  <c r="R161" i="24"/>
  <c r="Q161" i="24"/>
  <c r="P161" i="24"/>
  <c r="O161" i="24"/>
  <c r="N161" i="24"/>
  <c r="M161" i="24"/>
  <c r="L161" i="24"/>
  <c r="K161" i="24"/>
  <c r="J161" i="24"/>
  <c r="I161" i="24"/>
  <c r="H161" i="24"/>
  <c r="G161" i="24"/>
  <c r="F161" i="24"/>
  <c r="E161" i="24"/>
  <c r="D161" i="24"/>
  <c r="C161" i="24"/>
  <c r="B161" i="24"/>
  <c r="Z160" i="24"/>
  <c r="Y160" i="24"/>
  <c r="X160" i="24"/>
  <c r="W160" i="24"/>
  <c r="V160" i="24"/>
  <c r="U160" i="24"/>
  <c r="T160" i="24"/>
  <c r="S160" i="24"/>
  <c r="R160" i="24"/>
  <c r="Q160" i="24"/>
  <c r="P160" i="24"/>
  <c r="O160" i="24"/>
  <c r="N160" i="24"/>
  <c r="M160" i="24"/>
  <c r="L160" i="24"/>
  <c r="K160" i="24"/>
  <c r="J160" i="24"/>
  <c r="I160" i="24"/>
  <c r="H160" i="24"/>
  <c r="G160" i="24"/>
  <c r="F160" i="24"/>
  <c r="E160" i="24"/>
  <c r="D160" i="24"/>
  <c r="C160" i="24"/>
  <c r="B160" i="24"/>
  <c r="A160" i="24"/>
  <c r="Z159" i="24"/>
  <c r="Y159" i="24"/>
  <c r="X159" i="24"/>
  <c r="W159" i="24"/>
  <c r="V159" i="24"/>
  <c r="U159" i="24"/>
  <c r="T159" i="24"/>
  <c r="S159" i="24"/>
  <c r="R159" i="24"/>
  <c r="Q159" i="24"/>
  <c r="P159" i="24"/>
  <c r="O159" i="24"/>
  <c r="N159" i="24"/>
  <c r="M159" i="24"/>
  <c r="L159" i="24"/>
  <c r="K159" i="24"/>
  <c r="J159" i="24"/>
  <c r="I159" i="24"/>
  <c r="H159" i="24"/>
  <c r="G159" i="24"/>
  <c r="F159" i="24"/>
  <c r="E159" i="24"/>
  <c r="D159" i="24"/>
  <c r="C159" i="24"/>
  <c r="B159" i="24"/>
  <c r="A159" i="24"/>
  <c r="Z158" i="24"/>
  <c r="Y158" i="24"/>
  <c r="X158" i="24"/>
  <c r="W158" i="24"/>
  <c r="V158" i="24"/>
  <c r="U158" i="24"/>
  <c r="T158" i="24"/>
  <c r="S158" i="24"/>
  <c r="R158" i="24"/>
  <c r="Q158" i="24"/>
  <c r="P158" i="24"/>
  <c r="O158" i="24"/>
  <c r="N158" i="24"/>
  <c r="M158" i="24"/>
  <c r="L158" i="24"/>
  <c r="K158" i="24"/>
  <c r="J158" i="24"/>
  <c r="I158" i="24"/>
  <c r="H158" i="24"/>
  <c r="G158" i="24"/>
  <c r="F158" i="24"/>
  <c r="E158" i="24"/>
  <c r="D158" i="24"/>
  <c r="C158" i="24"/>
  <c r="B158" i="24"/>
  <c r="Z143" i="24"/>
  <c r="Y143" i="24"/>
  <c r="X143" i="24"/>
  <c r="W143" i="24"/>
  <c r="V143" i="24"/>
  <c r="U143" i="24"/>
  <c r="T143" i="24"/>
  <c r="S143" i="24"/>
  <c r="R143" i="24"/>
  <c r="Q143" i="24"/>
  <c r="P143" i="24"/>
  <c r="O143" i="24"/>
  <c r="N143" i="24"/>
  <c r="M143" i="24"/>
  <c r="L143" i="24"/>
  <c r="K143" i="24"/>
  <c r="J143" i="24"/>
  <c r="I143" i="24"/>
  <c r="H143" i="24"/>
  <c r="G143" i="24"/>
  <c r="F143" i="24"/>
  <c r="Y142" i="24"/>
  <c r="X142" i="24"/>
  <c r="W142" i="24"/>
  <c r="V142" i="24"/>
  <c r="U142" i="24"/>
  <c r="T142" i="24"/>
  <c r="S142" i="24"/>
  <c r="R142" i="24"/>
  <c r="Q142" i="24"/>
  <c r="P142" i="24"/>
  <c r="O142" i="24"/>
  <c r="N142" i="24"/>
  <c r="M142" i="24"/>
  <c r="L142" i="24"/>
  <c r="K142" i="24"/>
  <c r="J142" i="24"/>
  <c r="I142" i="24"/>
  <c r="H142" i="24"/>
  <c r="G142" i="24"/>
  <c r="F142" i="24"/>
  <c r="Z141" i="24"/>
  <c r="Y141" i="24"/>
  <c r="X141" i="24"/>
  <c r="W141" i="24"/>
  <c r="V141" i="24"/>
  <c r="T141" i="24"/>
  <c r="S141" i="24"/>
  <c r="R141" i="24"/>
  <c r="Q141" i="24"/>
  <c r="P141" i="24"/>
  <c r="O141" i="24"/>
  <c r="N141" i="24"/>
  <c r="M141" i="24"/>
  <c r="L141" i="24"/>
  <c r="K141" i="24"/>
  <c r="J141" i="24"/>
  <c r="I141" i="24"/>
  <c r="H141" i="24"/>
  <c r="G141" i="24"/>
  <c r="F141"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Z86" i="24"/>
  <c r="X86" i="24"/>
  <c r="W86" i="24"/>
  <c r="V86" i="24"/>
  <c r="U86" i="24"/>
  <c r="T86" i="24"/>
  <c r="S86" i="24"/>
  <c r="R86" i="24"/>
  <c r="Q86" i="24"/>
  <c r="P86" i="24"/>
  <c r="O86" i="24"/>
  <c r="N86" i="24"/>
  <c r="M86" i="24"/>
  <c r="L86" i="24"/>
  <c r="K86" i="24"/>
  <c r="J86" i="24"/>
  <c r="I86" i="24"/>
  <c r="H86" i="24"/>
  <c r="G86" i="24"/>
  <c r="F86" i="24"/>
  <c r="Z85" i="24"/>
  <c r="X85" i="24"/>
  <c r="W85" i="24"/>
  <c r="V85" i="24"/>
  <c r="U85" i="24"/>
  <c r="T85" i="24"/>
  <c r="S85" i="24"/>
  <c r="R85" i="24"/>
  <c r="Q85" i="24"/>
  <c r="P85" i="24"/>
  <c r="O85" i="24"/>
  <c r="N85" i="24"/>
  <c r="M85" i="24"/>
  <c r="L85" i="24"/>
  <c r="K85" i="24"/>
  <c r="J85" i="24"/>
  <c r="I85" i="24"/>
  <c r="H85" i="24"/>
  <c r="G85" i="24"/>
  <c r="F85" i="24"/>
  <c r="W84" i="24"/>
  <c r="V84" i="24"/>
  <c r="U84" i="24"/>
  <c r="T84" i="24"/>
  <c r="S84" i="24"/>
  <c r="R84" i="24"/>
  <c r="Q84" i="24"/>
  <c r="P84" i="24"/>
  <c r="O84" i="24"/>
  <c r="N84" i="24"/>
  <c r="M84" i="24"/>
  <c r="L84" i="24"/>
  <c r="K84" i="24"/>
  <c r="J84" i="24"/>
  <c r="I84" i="24"/>
  <c r="H84" i="24"/>
  <c r="G84" i="24"/>
  <c r="F84" i="24"/>
  <c r="AD67" i="24"/>
  <c r="AC67" i="24"/>
  <c r="AB67" i="24"/>
  <c r="A59" i="24"/>
  <c r="BC58" i="24"/>
  <c r="BD57" i="24"/>
  <c r="A57" i="24"/>
  <c r="BD56" i="24"/>
  <c r="BD55" i="24"/>
  <c r="AK56" i="24"/>
  <c r="AK55" i="24"/>
  <c r="A55" i="24"/>
  <c r="BD54" i="24"/>
  <c r="AK54" i="24"/>
  <c r="A54" i="24"/>
  <c r="BD53"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AD48" i="24"/>
  <c r="AC48" i="24"/>
  <c r="AB48" i="24"/>
  <c r="AA48" i="24"/>
  <c r="Z48" i="24"/>
  <c r="Y48" i="24"/>
  <c r="X48" i="24"/>
  <c r="W48" i="24"/>
  <c r="V48" i="24"/>
  <c r="U48" i="24"/>
  <c r="T48" i="24"/>
  <c r="R48" i="24"/>
  <c r="Q48" i="24"/>
  <c r="P48" i="24"/>
  <c r="O48" i="24"/>
  <c r="N48" i="24"/>
  <c r="M48" i="24"/>
  <c r="L48" i="24"/>
  <c r="K48" i="24"/>
  <c r="J48" i="24"/>
  <c r="I48" i="24"/>
  <c r="H48" i="24"/>
  <c r="G48" i="24"/>
  <c r="F48"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AB46" i="24"/>
  <c r="AA46" i="24"/>
  <c r="Y46" i="24"/>
  <c r="X46" i="24"/>
  <c r="W46" i="24"/>
  <c r="T46" i="24"/>
  <c r="S46" i="24"/>
  <c r="Q46" i="24"/>
  <c r="P46" i="24"/>
  <c r="O46" i="24"/>
  <c r="L46" i="24"/>
  <c r="K46" i="24"/>
  <c r="I46" i="24"/>
  <c r="H46" i="24"/>
  <c r="G46" i="24"/>
  <c r="AC31" i="24"/>
  <c r="AB31" i="24"/>
  <c r="AA31" i="24"/>
  <c r="Z31" i="24"/>
  <c r="Z32" i="24" s="1"/>
  <c r="Z42" i="24" s="1"/>
  <c r="Z43" i="24" s="1"/>
  <c r="Y31" i="24"/>
  <c r="X31" i="24"/>
  <c r="W31" i="24"/>
  <c r="V31" i="24"/>
  <c r="V32" i="24" s="1"/>
  <c r="V42" i="24" s="1"/>
  <c r="V43" i="24" s="1"/>
  <c r="U31" i="24"/>
  <c r="U32" i="24" s="1"/>
  <c r="U42" i="24" s="1"/>
  <c r="U43" i="24" s="1"/>
  <c r="T31" i="24"/>
  <c r="S31" i="24"/>
  <c r="R31" i="24"/>
  <c r="R32" i="24" s="1"/>
  <c r="R42" i="24" s="1"/>
  <c r="R43" i="24" s="1"/>
  <c r="Q31" i="24"/>
  <c r="P31" i="24"/>
  <c r="O31" i="24"/>
  <c r="N31" i="24"/>
  <c r="N32" i="24" s="1"/>
  <c r="N42" i="24" s="1"/>
  <c r="N43" i="24" s="1"/>
  <c r="M31" i="24"/>
  <c r="M32" i="24" s="1"/>
  <c r="M42" i="24" s="1"/>
  <c r="M43" i="24" s="1"/>
  <c r="L31" i="24"/>
  <c r="K31" i="24"/>
  <c r="J31" i="24"/>
  <c r="J32" i="24" s="1"/>
  <c r="J42" i="24" s="1"/>
  <c r="J43" i="24" s="1"/>
  <c r="I31" i="24"/>
  <c r="H31" i="24"/>
  <c r="H27" i="24" s="1"/>
  <c r="G31" i="24"/>
  <c r="F31" i="24"/>
  <c r="F32" i="24" s="1"/>
  <c r="F42" i="24" s="1"/>
  <c r="F43" i="24" s="1"/>
  <c r="A25" i="24"/>
  <c r="A24" i="24"/>
  <c r="A23" i="24"/>
  <c r="A22" i="24"/>
  <c r="A21"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Y11" i="24"/>
  <c r="AM10" i="24"/>
  <c r="AL10" i="24"/>
  <c r="AK10" i="24"/>
  <c r="Z10" i="24"/>
  <c r="Y10" i="24"/>
  <c r="X10" i="24"/>
  <c r="W10" i="24"/>
  <c r="V10" i="24"/>
  <c r="U10" i="24"/>
  <c r="T10" i="24"/>
  <c r="S10" i="24"/>
  <c r="R10" i="24"/>
  <c r="Q10" i="24"/>
  <c r="P10" i="24"/>
  <c r="O10" i="24"/>
  <c r="N10" i="24"/>
  <c r="M10" i="24"/>
  <c r="L10" i="24"/>
  <c r="K10" i="24"/>
  <c r="J10" i="24"/>
  <c r="I10" i="24"/>
  <c r="H10" i="24"/>
  <c r="G10" i="24"/>
  <c r="F10" i="24"/>
  <c r="E10" i="24"/>
  <c r="D10" i="24"/>
  <c r="C10" i="24"/>
  <c r="B10" i="24"/>
  <c r="AM9" i="24"/>
  <c r="AL9" i="24"/>
  <c r="AK9" i="24"/>
  <c r="AM8" i="24"/>
  <c r="AL8" i="24"/>
  <c r="AK8" i="24"/>
  <c r="AM7" i="24"/>
  <c r="AL7" i="24"/>
  <c r="AK7" i="24"/>
  <c r="AM6" i="24"/>
  <c r="AL6" i="24"/>
  <c r="AK6" i="24"/>
  <c r="AM5" i="24"/>
  <c r="AL5" i="24"/>
  <c r="AK5" i="24"/>
  <c r="AJ3" i="24"/>
  <c r="AI3" i="24"/>
  <c r="AH3" i="24"/>
  <c r="AG3" i="24"/>
  <c r="AF3" i="24"/>
  <c r="AE3" i="24"/>
  <c r="AD3" i="24"/>
  <c r="AC3" i="24"/>
  <c r="Y79" i="35"/>
  <c r="X79" i="35"/>
  <c r="W79" i="35"/>
  <c r="V79" i="35"/>
  <c r="U79" i="35"/>
  <c r="T79" i="35"/>
  <c r="S79" i="35"/>
  <c r="R79" i="35"/>
  <c r="Q79" i="35"/>
  <c r="P79" i="35"/>
  <c r="O79" i="35"/>
  <c r="N79" i="35"/>
  <c r="M79" i="35"/>
  <c r="L79" i="35"/>
  <c r="K79" i="35"/>
  <c r="J79" i="35"/>
  <c r="E79" i="35"/>
  <c r="Y76" i="35"/>
  <c r="X76" i="35"/>
  <c r="W76" i="35"/>
  <c r="V76" i="35"/>
  <c r="U76" i="35"/>
  <c r="T76" i="35"/>
  <c r="S76" i="35"/>
  <c r="R76" i="35"/>
  <c r="Q76" i="35"/>
  <c r="P76" i="35"/>
  <c r="O76" i="35"/>
  <c r="N76" i="35"/>
  <c r="M76" i="35"/>
  <c r="L76" i="35"/>
  <c r="K76" i="35"/>
  <c r="J76" i="35"/>
  <c r="E76" i="35"/>
  <c r="Y75" i="35"/>
  <c r="X75" i="35"/>
  <c r="W75" i="35"/>
  <c r="V75" i="35"/>
  <c r="U75" i="35"/>
  <c r="T75" i="35"/>
  <c r="S75" i="35"/>
  <c r="R75" i="35"/>
  <c r="Q75" i="35"/>
  <c r="P75" i="35"/>
  <c r="O75" i="35"/>
  <c r="N75" i="35"/>
  <c r="M75" i="35"/>
  <c r="L75" i="35"/>
  <c r="K75" i="35"/>
  <c r="J75" i="35"/>
  <c r="E75" i="35"/>
  <c r="AO74" i="35"/>
  <c r="AN74" i="35"/>
  <c r="Y74" i="35"/>
  <c r="X74" i="35"/>
  <c r="W74" i="35"/>
  <c r="V74" i="35"/>
  <c r="U74" i="35"/>
  <c r="T74" i="35"/>
  <c r="S74" i="35"/>
  <c r="R74" i="35"/>
  <c r="Q74" i="35"/>
  <c r="P74" i="35"/>
  <c r="O74" i="35"/>
  <c r="N74" i="35"/>
  <c r="M74" i="35"/>
  <c r="L74" i="35"/>
  <c r="K74" i="35"/>
  <c r="J74" i="35"/>
  <c r="E74" i="35"/>
  <c r="Y72" i="35"/>
  <c r="X72" i="35"/>
  <c r="W72" i="35"/>
  <c r="V72" i="35"/>
  <c r="U72" i="35"/>
  <c r="T72" i="35"/>
  <c r="S72" i="35"/>
  <c r="R72" i="35"/>
  <c r="Q72" i="35"/>
  <c r="P72" i="35"/>
  <c r="O72" i="35"/>
  <c r="N72" i="35"/>
  <c r="M72" i="35"/>
  <c r="L72" i="35"/>
  <c r="K72" i="35"/>
  <c r="J72" i="35"/>
  <c r="E72" i="35"/>
  <c r="Y71" i="35"/>
  <c r="X71" i="35"/>
  <c r="W71" i="35"/>
  <c r="V71" i="35"/>
  <c r="U71" i="35"/>
  <c r="T71" i="35"/>
  <c r="S71" i="35"/>
  <c r="R71" i="35"/>
  <c r="Q71" i="35"/>
  <c r="P71" i="35"/>
  <c r="O71" i="35"/>
  <c r="N71" i="35"/>
  <c r="M71" i="35"/>
  <c r="L71" i="35"/>
  <c r="K71" i="35"/>
  <c r="J71" i="35"/>
  <c r="E71" i="35"/>
  <c r="Y70" i="35"/>
  <c r="X70" i="35"/>
  <c r="W70" i="35"/>
  <c r="V70" i="35"/>
  <c r="U70" i="35"/>
  <c r="T70" i="35"/>
  <c r="S70" i="35"/>
  <c r="R70" i="35"/>
  <c r="Q70" i="35"/>
  <c r="P70" i="35"/>
  <c r="O70" i="35"/>
  <c r="N70" i="35"/>
  <c r="M70" i="35"/>
  <c r="L70" i="35"/>
  <c r="K70" i="35"/>
  <c r="J70" i="35"/>
  <c r="E70" i="35"/>
  <c r="Y68" i="35"/>
  <c r="X68" i="35"/>
  <c r="W68" i="35"/>
  <c r="V68" i="35"/>
  <c r="U68" i="35"/>
  <c r="T68" i="35"/>
  <c r="Q68" i="35"/>
  <c r="O68" i="35"/>
  <c r="J68" i="35"/>
  <c r="E68" i="35"/>
  <c r="AL67" i="35"/>
  <c r="Y67" i="35"/>
  <c r="X67" i="35"/>
  <c r="W67" i="35"/>
  <c r="V67" i="35"/>
  <c r="U67" i="35"/>
  <c r="T67" i="35"/>
  <c r="Q67" i="35"/>
  <c r="O67" i="35"/>
  <c r="J67" i="35"/>
  <c r="E67" i="35"/>
  <c r="AP65" i="35"/>
  <c r="AO65" i="35"/>
  <c r="AN65" i="35"/>
  <c r="AM65" i="35"/>
  <c r="AL65" i="35"/>
  <c r="AI65" i="35"/>
  <c r="AH65" i="35"/>
  <c r="AG65" i="35"/>
  <c r="AF65" i="35"/>
  <c r="AE65" i="35"/>
  <c r="AD65" i="35"/>
  <c r="Y65" i="35"/>
  <c r="X65" i="35"/>
  <c r="W65" i="35"/>
  <c r="V65" i="35"/>
  <c r="U65" i="35"/>
  <c r="T65" i="35"/>
  <c r="S65" i="35"/>
  <c r="R65" i="35"/>
  <c r="Q65" i="35"/>
  <c r="AC64" i="35"/>
  <c r="AB64" i="35"/>
  <c r="AA64" i="35"/>
  <c r="Z64" i="35"/>
  <c r="AN63" i="35"/>
  <c r="AM63" i="35"/>
  <c r="AL63" i="35"/>
  <c r="AC63" i="35"/>
  <c r="AB63" i="35"/>
  <c r="AA63" i="35"/>
  <c r="Z63" i="35"/>
  <c r="AN62" i="35"/>
  <c r="AM62" i="35"/>
  <c r="AL62" i="35"/>
  <c r="AC62" i="35"/>
  <c r="AB62" i="35"/>
  <c r="AA62" i="35"/>
  <c r="Z62" i="35"/>
  <c r="AN61" i="35"/>
  <c r="AM61" i="35"/>
  <c r="AL61" i="35"/>
  <c r="AC61" i="35"/>
  <c r="AB61" i="35"/>
  <c r="AA61" i="35"/>
  <c r="Z61" i="35"/>
  <c r="AN60" i="35"/>
  <c r="AM60" i="35"/>
  <c r="AL60" i="35"/>
  <c r="AC60" i="35"/>
  <c r="AB60" i="35"/>
  <c r="AB58" i="35" s="1"/>
  <c r="AA60" i="35"/>
  <c r="Z60" i="35"/>
  <c r="AN59" i="35"/>
  <c r="AM59" i="35"/>
  <c r="AL59" i="35"/>
  <c r="AC59" i="35"/>
  <c r="AB59" i="35"/>
  <c r="AA59" i="35"/>
  <c r="AA58" i="35" s="1"/>
  <c r="Z59" i="35"/>
  <c r="Z58" i="35" s="1"/>
  <c r="Z71" i="35" s="1"/>
  <c r="Z75" i="35" s="1"/>
  <c r="AN58" i="35"/>
  <c r="AM58" i="35"/>
  <c r="AL58" i="35"/>
  <c r="AI58" i="35"/>
  <c r="AH58" i="35"/>
  <c r="AG58" i="35"/>
  <c r="AF58" i="35"/>
  <c r="AE58" i="35"/>
  <c r="AD58" i="35"/>
  <c r="AC58" i="35"/>
  <c r="Y58" i="35"/>
  <c r="X58" i="35"/>
  <c r="W58" i="35"/>
  <c r="V58" i="35"/>
  <c r="U58" i="35"/>
  <c r="T58" i="35"/>
  <c r="S58" i="35"/>
  <c r="R58" i="35"/>
  <c r="Q58" i="35"/>
  <c r="AC57" i="35"/>
  <c r="AC56" i="35"/>
  <c r="AB56" i="35"/>
  <c r="AA56" i="35"/>
  <c r="Z56" i="35"/>
  <c r="AC55" i="35"/>
  <c r="AB55" i="35"/>
  <c r="AA55" i="35"/>
  <c r="Z55" i="35"/>
  <c r="AC54" i="35"/>
  <c r="AB54" i="35"/>
  <c r="AA54" i="35"/>
  <c r="Z54" i="35"/>
  <c r="AN53" i="35"/>
  <c r="AM53" i="35"/>
  <c r="AL53" i="35"/>
  <c r="AC53" i="35"/>
  <c r="AB53" i="35"/>
  <c r="AA53" i="35"/>
  <c r="Z53" i="35"/>
  <c r="AN52" i="35"/>
  <c r="AM52" i="35"/>
  <c r="AL52" i="35"/>
  <c r="AC52" i="35"/>
  <c r="AB52" i="35"/>
  <c r="AB67" i="35" s="1"/>
  <c r="AA52" i="35"/>
  <c r="AA67" i="35" s="1"/>
  <c r="Z52" i="35"/>
  <c r="Z67" i="35" s="1"/>
  <c r="AN51" i="35"/>
  <c r="AM51" i="35"/>
  <c r="AL51" i="35"/>
  <c r="AC51" i="35"/>
  <c r="AB51" i="35"/>
  <c r="AA51" i="35"/>
  <c r="Z51" i="35"/>
  <c r="AN50" i="35"/>
  <c r="AM50" i="35"/>
  <c r="AL50" i="35"/>
  <c r="AC50" i="35"/>
  <c r="AB50" i="35"/>
  <c r="AB68" i="35" s="1"/>
  <c r="AA50" i="35"/>
  <c r="AA68" i="35" s="1"/>
  <c r="Z50" i="35"/>
  <c r="Z68" i="35" s="1"/>
  <c r="AN49" i="35"/>
  <c r="AM49" i="35"/>
  <c r="AL49" i="35"/>
  <c r="AC49" i="35"/>
  <c r="AC48" i="35" s="1"/>
  <c r="AB49" i="35"/>
  <c r="AA49" i="35"/>
  <c r="Z49" i="35"/>
  <c r="Z48" i="35" s="1"/>
  <c r="AN48" i="35"/>
  <c r="AM48" i="35"/>
  <c r="AL48" i="35"/>
  <c r="AI48" i="35"/>
  <c r="AH48" i="35"/>
  <c r="AG48" i="35"/>
  <c r="AF48" i="35"/>
  <c r="AE48" i="35"/>
  <c r="AD48" i="35"/>
  <c r="AB48" i="35"/>
  <c r="Y48" i="35"/>
  <c r="X48" i="35"/>
  <c r="W48" i="35"/>
  <c r="V48" i="35"/>
  <c r="U48" i="35"/>
  <c r="T48" i="35"/>
  <c r="S48" i="35"/>
  <c r="R48" i="35"/>
  <c r="Q48" i="35"/>
  <c r="AI46" i="35"/>
  <c r="AH46" i="35"/>
  <c r="AG46" i="35"/>
  <c r="AF46" i="35"/>
  <c r="AE46" i="35"/>
  <c r="AD46" i="35"/>
  <c r="AC46" i="35"/>
  <c r="AC42" i="35"/>
  <c r="AB42" i="35"/>
  <c r="AA42" i="35"/>
  <c r="Z42" i="35"/>
  <c r="Y42" i="35"/>
  <c r="X42" i="35"/>
  <c r="W42" i="35"/>
  <c r="V42" i="35"/>
  <c r="U42" i="35"/>
  <c r="T42" i="35"/>
  <c r="S42" i="35"/>
  <c r="R42" i="35"/>
  <c r="Q42" i="35"/>
  <c r="P42" i="35"/>
  <c r="O42" i="35"/>
  <c r="N42" i="35"/>
  <c r="M42" i="35"/>
  <c r="L42" i="35"/>
  <c r="K42" i="35"/>
  <c r="J42" i="35"/>
  <c r="I42" i="35"/>
  <c r="H42" i="35"/>
  <c r="G42" i="35"/>
  <c r="F42" i="35"/>
  <c r="E42" i="35"/>
  <c r="D42" i="35"/>
  <c r="C42" i="35"/>
  <c r="B42" i="35"/>
  <c r="AB41"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D35" i="35"/>
  <c r="C35" i="35"/>
  <c r="B35"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I25" i="35"/>
  <c r="AH25" i="35"/>
  <c r="AG25" i="35"/>
  <c r="AF25" i="35"/>
  <c r="AE25" i="35"/>
  <c r="AD25" i="35"/>
  <c r="AC25" i="35"/>
  <c r="Z23" i="35"/>
  <c r="Y23" i="35"/>
  <c r="X23" i="35"/>
  <c r="W23" i="35"/>
  <c r="V23" i="35"/>
  <c r="U23" i="35"/>
  <c r="T23" i="35"/>
  <c r="S23" i="35"/>
  <c r="R23" i="35"/>
  <c r="Q23" i="35"/>
  <c r="P23" i="35"/>
  <c r="O23" i="35"/>
  <c r="N23" i="35"/>
  <c r="M23" i="35"/>
  <c r="L23" i="35"/>
  <c r="K23" i="35"/>
  <c r="J23" i="35"/>
  <c r="E23"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21" i="35"/>
  <c r="AB20" i="35"/>
  <c r="AN19" i="35"/>
  <c r="AM19" i="35"/>
  <c r="AL19" i="35"/>
  <c r="AK19" i="35"/>
  <c r="AJ19" i="35"/>
  <c r="AN18" i="35"/>
  <c r="AM18" i="35"/>
  <c r="AL18" i="35"/>
  <c r="AK18" i="35"/>
  <c r="AJ18" i="35"/>
  <c r="AN17" i="35"/>
  <c r="AM17" i="35"/>
  <c r="AL17" i="35"/>
  <c r="AK17" i="35"/>
  <c r="AJ17" i="35"/>
  <c r="AN16" i="35"/>
  <c r="AM16" i="35"/>
  <c r="AL16" i="35"/>
  <c r="AK16" i="35"/>
  <c r="AJ16" i="35"/>
  <c r="AN15" i="35"/>
  <c r="AM15" i="35"/>
  <c r="AL15" i="35"/>
  <c r="AK15" i="35"/>
  <c r="AJ15"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B14" i="35"/>
  <c r="AB12" i="35"/>
  <c r="AN11" i="35"/>
  <c r="AM11" i="35"/>
  <c r="AL11" i="35"/>
  <c r="AK11" i="35"/>
  <c r="AJ11" i="35"/>
  <c r="AN10" i="35"/>
  <c r="AM10" i="35"/>
  <c r="AL10" i="35"/>
  <c r="AK10" i="35"/>
  <c r="AJ10" i="35"/>
  <c r="AN9" i="35"/>
  <c r="AM9" i="35"/>
  <c r="AL9" i="35"/>
  <c r="AK9" i="35"/>
  <c r="AJ9" i="35"/>
  <c r="AN8" i="35"/>
  <c r="AM8" i="35"/>
  <c r="AL8" i="35"/>
  <c r="AK8" i="35"/>
  <c r="AJ8" i="35"/>
  <c r="AN7" i="35"/>
  <c r="AM7" i="35"/>
  <c r="AL7" i="35"/>
  <c r="AK7" i="35"/>
  <c r="AJ7" i="35"/>
  <c r="AN6" i="35"/>
  <c r="AM6" i="35"/>
  <c r="AL6" i="35"/>
  <c r="AK6" i="35"/>
  <c r="AJ6" i="35"/>
  <c r="AC6" i="35"/>
  <c r="AB6" i="35"/>
  <c r="AA6" i="35"/>
  <c r="Z6" i="35"/>
  <c r="Y6" i="35"/>
  <c r="X6" i="35"/>
  <c r="W6" i="35"/>
  <c r="V6" i="35"/>
  <c r="U6" i="35"/>
  <c r="T6" i="35"/>
  <c r="S6" i="35"/>
  <c r="R6" i="35"/>
  <c r="Q6" i="35"/>
  <c r="P6" i="35"/>
  <c r="O6" i="35"/>
  <c r="N6" i="35"/>
  <c r="M6" i="35"/>
  <c r="L6" i="35"/>
  <c r="K6" i="35"/>
  <c r="J6" i="35"/>
  <c r="I6" i="35"/>
  <c r="H6" i="35"/>
  <c r="G6" i="35"/>
  <c r="F6" i="35"/>
  <c r="E6" i="35"/>
  <c r="D6" i="35"/>
  <c r="C6" i="35"/>
  <c r="B6" i="35"/>
  <c r="P1147" i="9"/>
  <c r="N1147" i="9"/>
  <c r="M1147" i="9"/>
  <c r="L1147" i="9"/>
  <c r="K1147" i="9"/>
  <c r="J1147" i="9"/>
  <c r="P1145" i="9"/>
  <c r="N1145" i="9"/>
  <c r="K1145" i="9"/>
  <c r="P1144" i="9"/>
  <c r="N1144" i="9"/>
  <c r="K1144" i="9"/>
  <c r="P1143" i="9"/>
  <c r="N1143" i="9"/>
  <c r="K1143" i="9"/>
  <c r="P1142" i="9"/>
  <c r="P1141" i="9"/>
  <c r="P1140" i="9"/>
  <c r="N1140" i="9"/>
  <c r="M1140" i="9"/>
  <c r="L1140" i="9"/>
  <c r="K1140" i="9"/>
  <c r="J1140" i="9"/>
  <c r="P1138" i="9"/>
  <c r="P1137" i="9"/>
  <c r="K1137" i="9"/>
  <c r="P1136" i="9"/>
  <c r="P1135" i="9"/>
  <c r="P1134" i="9"/>
  <c r="N1134" i="9"/>
  <c r="M1134" i="9"/>
  <c r="L1134" i="9"/>
  <c r="K1134" i="9"/>
  <c r="J1134" i="9"/>
  <c r="X1125" i="9"/>
  <c r="V1125" i="9"/>
  <c r="U1125" i="9"/>
  <c r="T1125" i="9"/>
  <c r="S1125" i="9"/>
  <c r="R1125" i="9"/>
  <c r="X1123" i="9"/>
  <c r="V1123" i="9"/>
  <c r="U1123" i="9"/>
  <c r="T1123" i="9"/>
  <c r="S1123" i="9"/>
  <c r="R1123" i="9"/>
  <c r="Z1122" i="9"/>
  <c r="X1122" i="9"/>
  <c r="V1122" i="9"/>
  <c r="U1122" i="9"/>
  <c r="T1122" i="9"/>
  <c r="S1122" i="9"/>
  <c r="R1122" i="9"/>
  <c r="Z1121" i="9"/>
  <c r="X1121" i="9"/>
  <c r="V1121" i="9"/>
  <c r="U1121" i="9"/>
  <c r="T1121" i="9"/>
  <c r="S1121" i="9"/>
  <c r="R1121" i="9"/>
  <c r="Z1120" i="9"/>
  <c r="X1120" i="9"/>
  <c r="V1120" i="9"/>
  <c r="U1120" i="9"/>
  <c r="T1120" i="9"/>
  <c r="S1120" i="9"/>
  <c r="R1120" i="9"/>
  <c r="Z1119" i="9"/>
  <c r="X1119" i="9"/>
  <c r="V1119" i="9"/>
  <c r="U1119" i="9"/>
  <c r="T1119" i="9"/>
  <c r="S1119" i="9"/>
  <c r="R1119" i="9"/>
  <c r="Z1118" i="9"/>
  <c r="X1118" i="9"/>
  <c r="V1118" i="9"/>
  <c r="U1118" i="9"/>
  <c r="T1118" i="9"/>
  <c r="S1118" i="9"/>
  <c r="R1118" i="9"/>
  <c r="Z1117" i="9"/>
  <c r="X1117" i="9"/>
  <c r="V1117" i="9"/>
  <c r="U1117" i="9"/>
  <c r="T1117" i="9"/>
  <c r="S1117" i="9"/>
  <c r="R1117" i="9"/>
  <c r="Z1116" i="9"/>
  <c r="X1116" i="9"/>
  <c r="V1116" i="9"/>
  <c r="U1116" i="9"/>
  <c r="T1116" i="9"/>
  <c r="S1116" i="9"/>
  <c r="R1116" i="9"/>
  <c r="Z1115" i="9"/>
  <c r="X1115" i="9"/>
  <c r="V1115" i="9"/>
  <c r="U1115" i="9"/>
  <c r="T1115" i="9"/>
  <c r="S1115" i="9"/>
  <c r="R1115" i="9"/>
  <c r="Z1114" i="9"/>
  <c r="X1114" i="9"/>
  <c r="V1114" i="9"/>
  <c r="U1114" i="9"/>
  <c r="T1114" i="9"/>
  <c r="S1114" i="9"/>
  <c r="R1114" i="9"/>
  <c r="Z1113" i="9"/>
  <c r="X1113" i="9"/>
  <c r="V1113" i="9"/>
  <c r="U1113" i="9"/>
  <c r="T1113" i="9"/>
  <c r="S1113" i="9"/>
  <c r="R1113" i="9"/>
  <c r="Z1112" i="9"/>
  <c r="X1112" i="9"/>
  <c r="V1112" i="9"/>
  <c r="U1112" i="9"/>
  <c r="T1112" i="9"/>
  <c r="S1112" i="9"/>
  <c r="R1112" i="9"/>
  <c r="Z1110" i="9"/>
  <c r="Z1109" i="9"/>
  <c r="Z1108" i="9"/>
  <c r="Z1107" i="9"/>
  <c r="P1107" i="9"/>
  <c r="N1107" i="9"/>
  <c r="M1107" i="9"/>
  <c r="L1107" i="9"/>
  <c r="K1107" i="9"/>
  <c r="J1107" i="9"/>
  <c r="Z1106" i="9"/>
  <c r="P1106" i="9"/>
  <c r="N1106" i="9"/>
  <c r="M1106" i="9"/>
  <c r="L1106" i="9"/>
  <c r="K1106" i="9"/>
  <c r="J1106" i="9"/>
  <c r="Z1105" i="9"/>
  <c r="Z1104" i="9"/>
  <c r="N1104" i="9"/>
  <c r="M1104" i="9"/>
  <c r="L1104" i="9"/>
  <c r="K1104" i="9"/>
  <c r="J1104" i="9"/>
  <c r="Z1103" i="9"/>
  <c r="Z1102" i="9"/>
  <c r="P1102" i="9"/>
  <c r="N1102" i="9"/>
  <c r="M1102" i="9"/>
  <c r="L1102" i="9"/>
  <c r="K1102" i="9"/>
  <c r="J1102" i="9"/>
  <c r="Z1101" i="9"/>
  <c r="X1101" i="9"/>
  <c r="V1101" i="9"/>
  <c r="U1101" i="9"/>
  <c r="T1101" i="9"/>
  <c r="S1101" i="9"/>
  <c r="R1101" i="9"/>
  <c r="P1101" i="9"/>
  <c r="N1101" i="9"/>
  <c r="M1101" i="9"/>
  <c r="L1101" i="9"/>
  <c r="K1101" i="9"/>
  <c r="J1101" i="9"/>
  <c r="Z1100" i="9"/>
  <c r="X1100" i="9"/>
  <c r="V1100" i="9"/>
  <c r="U1100" i="9"/>
  <c r="T1100" i="9"/>
  <c r="S1100" i="9"/>
  <c r="R1100" i="9"/>
  <c r="P1100" i="9"/>
  <c r="N1100" i="9"/>
  <c r="M1100" i="9"/>
  <c r="L1100" i="9"/>
  <c r="K1100" i="9"/>
  <c r="J1100" i="9"/>
  <c r="Z1099" i="9"/>
  <c r="X1099" i="9"/>
  <c r="V1099" i="9"/>
  <c r="U1099" i="9"/>
  <c r="T1099" i="9"/>
  <c r="S1099" i="9"/>
  <c r="R1099" i="9"/>
  <c r="P1099" i="9"/>
  <c r="N1099" i="9"/>
  <c r="M1099" i="9"/>
  <c r="L1099" i="9"/>
  <c r="K1099" i="9"/>
  <c r="J1099" i="9"/>
  <c r="Z1098" i="9"/>
  <c r="X1098" i="9"/>
  <c r="V1098" i="9"/>
  <c r="U1098" i="9"/>
  <c r="T1098" i="9"/>
  <c r="S1098" i="9"/>
  <c r="R1098" i="9"/>
  <c r="P1098" i="9"/>
  <c r="N1098" i="9"/>
  <c r="M1098" i="9"/>
  <c r="L1098" i="9"/>
  <c r="K1098" i="9"/>
  <c r="J1098" i="9"/>
  <c r="Z1097" i="9"/>
  <c r="X1097" i="9"/>
  <c r="V1097" i="9"/>
  <c r="U1097" i="9"/>
  <c r="T1097" i="9"/>
  <c r="S1097" i="9"/>
  <c r="R1097" i="9"/>
  <c r="P1097" i="9"/>
  <c r="N1097" i="9"/>
  <c r="M1097" i="9"/>
  <c r="L1097" i="9"/>
  <c r="K1097" i="9"/>
  <c r="J1097" i="9"/>
  <c r="Z1096" i="9"/>
  <c r="X1096" i="9"/>
  <c r="V1096" i="9"/>
  <c r="U1096" i="9"/>
  <c r="T1096" i="9"/>
  <c r="S1096" i="9"/>
  <c r="R1096" i="9"/>
  <c r="P1096" i="9"/>
  <c r="N1096" i="9"/>
  <c r="M1096" i="9"/>
  <c r="L1096" i="9"/>
  <c r="K1096" i="9"/>
  <c r="J1096" i="9"/>
  <c r="Z1095" i="9"/>
  <c r="X1095" i="9"/>
  <c r="V1095" i="9"/>
  <c r="U1095" i="9"/>
  <c r="T1095" i="9"/>
  <c r="S1095" i="9"/>
  <c r="R1095" i="9"/>
  <c r="P1095" i="9"/>
  <c r="N1095" i="9"/>
  <c r="M1095" i="9"/>
  <c r="L1095" i="9"/>
  <c r="K1095" i="9"/>
  <c r="J1095" i="9"/>
  <c r="Z1094" i="9"/>
  <c r="X1094" i="9"/>
  <c r="V1094" i="9"/>
  <c r="U1094" i="9"/>
  <c r="T1094" i="9"/>
  <c r="S1094" i="9"/>
  <c r="R1094" i="9"/>
  <c r="N1094" i="9"/>
  <c r="M1094" i="9"/>
  <c r="L1094" i="9"/>
  <c r="K1094" i="9"/>
  <c r="J1094" i="9"/>
  <c r="X1093" i="9"/>
  <c r="V1093" i="9"/>
  <c r="U1093" i="9"/>
  <c r="T1093" i="9"/>
  <c r="S1093" i="9"/>
  <c r="R1093" i="9"/>
  <c r="P1093" i="9"/>
  <c r="N1093" i="9"/>
  <c r="M1093" i="9"/>
  <c r="L1093" i="9"/>
  <c r="K1093" i="9"/>
  <c r="J1093" i="9"/>
  <c r="Z1092" i="9"/>
  <c r="X1092" i="9"/>
  <c r="V1092" i="9"/>
  <c r="U1092" i="9"/>
  <c r="T1092" i="9"/>
  <c r="S1092" i="9"/>
  <c r="R1092" i="9"/>
  <c r="P1092" i="9"/>
  <c r="N1092" i="9"/>
  <c r="M1092" i="9"/>
  <c r="L1092" i="9"/>
  <c r="K1092" i="9"/>
  <c r="J1092" i="9"/>
  <c r="Z1091" i="9"/>
  <c r="X1091" i="9"/>
  <c r="V1091" i="9"/>
  <c r="U1091" i="9"/>
  <c r="T1091" i="9"/>
  <c r="S1091" i="9"/>
  <c r="R1091" i="9"/>
  <c r="P1091" i="9"/>
  <c r="N1091" i="9"/>
  <c r="M1091" i="9"/>
  <c r="L1091" i="9"/>
  <c r="K1091" i="9"/>
  <c r="J1091" i="9"/>
  <c r="Z1090" i="9"/>
  <c r="X1090" i="9"/>
  <c r="V1090" i="9"/>
  <c r="U1090" i="9"/>
  <c r="T1090" i="9"/>
  <c r="S1090" i="9"/>
  <c r="R1090" i="9"/>
  <c r="P1090" i="9"/>
  <c r="N1090" i="9"/>
  <c r="M1090" i="9"/>
  <c r="L1090" i="9"/>
  <c r="K1090" i="9"/>
  <c r="J1090" i="9"/>
  <c r="Z1089" i="9"/>
  <c r="X1089" i="9"/>
  <c r="V1089" i="9"/>
  <c r="U1089" i="9"/>
  <c r="T1089" i="9"/>
  <c r="S1089" i="9"/>
  <c r="R1089" i="9"/>
  <c r="P1089" i="9"/>
  <c r="N1089" i="9"/>
  <c r="M1089" i="9"/>
  <c r="L1089" i="9"/>
  <c r="K1089" i="9"/>
  <c r="J1089" i="9"/>
  <c r="Z1088" i="9"/>
  <c r="Z1087" i="9"/>
  <c r="Z1086" i="9"/>
  <c r="P1086" i="9"/>
  <c r="Z1085" i="9"/>
  <c r="P1085" i="9"/>
  <c r="N1085" i="9"/>
  <c r="M1085" i="9"/>
  <c r="L1085" i="9"/>
  <c r="K1085" i="9"/>
  <c r="J1085" i="9"/>
  <c r="Z1084" i="9"/>
  <c r="V1083" i="9"/>
  <c r="U1083" i="9"/>
  <c r="T1083" i="9"/>
  <c r="S1083" i="9"/>
  <c r="P1083" i="9"/>
  <c r="N1083" i="9"/>
  <c r="M1083" i="9"/>
  <c r="L1083" i="9"/>
  <c r="K1083" i="9"/>
  <c r="Z1082" i="9"/>
  <c r="V1082" i="9"/>
  <c r="U1082" i="9"/>
  <c r="S1082" i="9"/>
  <c r="R1082" i="9"/>
  <c r="P1082" i="9"/>
  <c r="N1082" i="9"/>
  <c r="M1082" i="9"/>
  <c r="K1082" i="9"/>
  <c r="J1082" i="9"/>
  <c r="Z1081" i="9"/>
  <c r="V1081" i="9"/>
  <c r="U1081" i="9"/>
  <c r="T1081" i="9"/>
  <c r="S1081" i="9"/>
  <c r="P1081" i="9"/>
  <c r="N1081" i="9"/>
  <c r="M1081" i="9"/>
  <c r="L1081" i="9"/>
  <c r="K1081" i="9"/>
  <c r="Z1080" i="9"/>
  <c r="V1080" i="9"/>
  <c r="U1080" i="9"/>
  <c r="S1080" i="9"/>
  <c r="P1080" i="9"/>
  <c r="N1080" i="9"/>
  <c r="M1080" i="9"/>
  <c r="K1080" i="9"/>
  <c r="Z1079" i="9"/>
  <c r="V1079" i="9"/>
  <c r="U1079" i="9"/>
  <c r="T1079" i="9"/>
  <c r="S1079" i="9"/>
  <c r="P1079" i="9"/>
  <c r="N1079" i="9"/>
  <c r="M1079" i="9"/>
  <c r="L1079" i="9"/>
  <c r="K1079" i="9"/>
  <c r="P1078" i="9"/>
  <c r="N1078" i="9"/>
  <c r="M1078" i="9"/>
  <c r="L1078" i="9"/>
  <c r="K1078" i="9"/>
  <c r="J1078" i="9"/>
  <c r="S1076" i="9"/>
  <c r="P1076" i="9"/>
  <c r="K1076" i="9"/>
  <c r="Z1075" i="9"/>
  <c r="V1075" i="9"/>
  <c r="U1075" i="9"/>
  <c r="T1075" i="9"/>
  <c r="S1075" i="9"/>
  <c r="R1075" i="9"/>
  <c r="P1075" i="9"/>
  <c r="N1075" i="9"/>
  <c r="M1075" i="9"/>
  <c r="L1075" i="9"/>
  <c r="K1075" i="9"/>
  <c r="J1075" i="9"/>
  <c r="Z1074" i="9"/>
  <c r="V1074" i="9"/>
  <c r="U1074" i="9"/>
  <c r="T1074" i="9"/>
  <c r="S1074" i="9"/>
  <c r="P1074" i="9"/>
  <c r="N1074" i="9"/>
  <c r="M1074" i="9"/>
  <c r="L1074" i="9"/>
  <c r="K1074" i="9"/>
  <c r="Z1073" i="9"/>
  <c r="V1073" i="9"/>
  <c r="U1073" i="9"/>
  <c r="S1073" i="9"/>
  <c r="P1073" i="9"/>
  <c r="N1073" i="9"/>
  <c r="M1073" i="9"/>
  <c r="K1073" i="9"/>
  <c r="Z1072" i="9"/>
  <c r="P1072" i="9"/>
  <c r="N1072" i="9"/>
  <c r="M1072" i="9"/>
  <c r="L1072" i="9"/>
  <c r="K1072" i="9"/>
  <c r="J1072" i="9"/>
  <c r="O1050" i="9"/>
  <c r="O1060" i="9" s="1"/>
  <c r="W1060" i="9" s="1"/>
  <c r="N1050" i="9"/>
  <c r="N1059" i="9" s="1"/>
  <c r="L1052" i="9"/>
  <c r="L1053" i="9" s="1"/>
  <c r="K1052" i="9"/>
  <c r="K1053" i="9" s="1"/>
  <c r="J1050" i="9"/>
  <c r="B157" i="33" s="1"/>
  <c r="A1048" i="9"/>
  <c r="O1047" i="9"/>
  <c r="N1047" i="9"/>
  <c r="M1047" i="9"/>
  <c r="L1047" i="9"/>
  <c r="K1047" i="9"/>
  <c r="J1047" i="9"/>
  <c r="O1046" i="9"/>
  <c r="N1046" i="9"/>
  <c r="M1046" i="9"/>
  <c r="L1046" i="9"/>
  <c r="K1046" i="9"/>
  <c r="J1046" i="9"/>
  <c r="O1045" i="9"/>
  <c r="N1045" i="9"/>
  <c r="M1045" i="9"/>
  <c r="L1045" i="9"/>
  <c r="K1045" i="9"/>
  <c r="J1045" i="9"/>
  <c r="O1044" i="9"/>
  <c r="N1044" i="9"/>
  <c r="M1044" i="9"/>
  <c r="L1044" i="9"/>
  <c r="K1044" i="9"/>
  <c r="J1044" i="9"/>
  <c r="O1043" i="9"/>
  <c r="N1043" i="9"/>
  <c r="M1043" i="9"/>
  <c r="L1043" i="9"/>
  <c r="K1043" i="9"/>
  <c r="J1043" i="9"/>
  <c r="O1042" i="9"/>
  <c r="N1042" i="9"/>
  <c r="M1042" i="9"/>
  <c r="L1042" i="9"/>
  <c r="K1042" i="9"/>
  <c r="J1042" i="9"/>
  <c r="W1041" i="9"/>
  <c r="V1041" i="9"/>
  <c r="U1041" i="9"/>
  <c r="T1041" i="9"/>
  <c r="S1041" i="9"/>
  <c r="R1041" i="9"/>
  <c r="X1040" i="9"/>
  <c r="W1040" i="9"/>
  <c r="V1040" i="9"/>
  <c r="U1040" i="9"/>
  <c r="T1040" i="9"/>
  <c r="S1040" i="9"/>
  <c r="R1040" i="9"/>
  <c r="P1040" i="9"/>
  <c r="Z1039" i="9"/>
  <c r="X1039" i="9"/>
  <c r="W1039" i="9"/>
  <c r="V1039" i="9"/>
  <c r="U1039" i="9"/>
  <c r="T1039" i="9"/>
  <c r="S1039" i="9"/>
  <c r="R1039" i="9"/>
  <c r="P1039" i="9"/>
  <c r="Z1038" i="9"/>
  <c r="X1038" i="9"/>
  <c r="W1038" i="9"/>
  <c r="V1038" i="9"/>
  <c r="U1038" i="9"/>
  <c r="T1038" i="9"/>
  <c r="S1038" i="9"/>
  <c r="R1038" i="9"/>
  <c r="P1038" i="9"/>
  <c r="Z1037" i="9"/>
  <c r="X1037" i="9"/>
  <c r="W1037" i="9"/>
  <c r="V1037" i="9"/>
  <c r="U1037" i="9"/>
  <c r="T1037" i="9"/>
  <c r="S1037" i="9"/>
  <c r="R1037" i="9"/>
  <c r="P1037" i="9"/>
  <c r="Z1036" i="9"/>
  <c r="X1036" i="9"/>
  <c r="W1036" i="9"/>
  <c r="V1036" i="9"/>
  <c r="U1036" i="9"/>
  <c r="T1036" i="9"/>
  <c r="S1036" i="9"/>
  <c r="R1036" i="9"/>
  <c r="P1036" i="9"/>
  <c r="Z1035" i="9"/>
  <c r="X1035" i="9"/>
  <c r="W1035" i="9"/>
  <c r="V1035" i="9"/>
  <c r="U1035" i="9"/>
  <c r="T1035" i="9"/>
  <c r="S1035" i="9"/>
  <c r="R1035" i="9"/>
  <c r="P1035" i="9"/>
  <c r="O1035" i="9"/>
  <c r="N1035" i="9"/>
  <c r="M1035" i="9"/>
  <c r="L1035" i="9"/>
  <c r="K1035" i="9"/>
  <c r="J1035" i="9"/>
  <c r="Z1034" i="9"/>
  <c r="X1034" i="9"/>
  <c r="W1034" i="9"/>
  <c r="V1034" i="9"/>
  <c r="U1034" i="9"/>
  <c r="T1034" i="9"/>
  <c r="S1034" i="9"/>
  <c r="R1034" i="9"/>
  <c r="P1034" i="9"/>
  <c r="Z1033" i="9"/>
  <c r="X1033" i="9"/>
  <c r="W1033" i="9"/>
  <c r="V1033" i="9"/>
  <c r="U1033" i="9"/>
  <c r="T1033" i="9"/>
  <c r="S1033" i="9"/>
  <c r="R1033" i="9"/>
  <c r="P1033" i="9"/>
  <c r="Z1032" i="9"/>
  <c r="X1032" i="9"/>
  <c r="W1032" i="9"/>
  <c r="V1032" i="9"/>
  <c r="U1032" i="9"/>
  <c r="T1032" i="9"/>
  <c r="S1032" i="9"/>
  <c r="R1032" i="9"/>
  <c r="P1032" i="9"/>
  <c r="Z1031" i="9"/>
  <c r="X1031" i="9"/>
  <c r="W1031" i="9"/>
  <c r="V1031" i="9"/>
  <c r="U1031" i="9"/>
  <c r="T1031" i="9"/>
  <c r="S1031" i="9"/>
  <c r="R1031" i="9"/>
  <c r="P1031" i="9"/>
  <c r="Z1030" i="9"/>
  <c r="X1030" i="9"/>
  <c r="W1030" i="9"/>
  <c r="V1030" i="9"/>
  <c r="U1030" i="9"/>
  <c r="T1030" i="9"/>
  <c r="S1030" i="9"/>
  <c r="R1030" i="9"/>
  <c r="P1030" i="9"/>
  <c r="AQ1029" i="9"/>
  <c r="AP1029" i="9"/>
  <c r="AO1029" i="9"/>
  <c r="AN1029" i="9"/>
  <c r="AM1029" i="9"/>
  <c r="AL1029" i="9"/>
  <c r="AK1029" i="9"/>
  <c r="Z1029" i="9"/>
  <c r="X1029" i="9"/>
  <c r="W1029" i="9"/>
  <c r="V1029" i="9"/>
  <c r="U1029" i="9"/>
  <c r="T1029" i="9"/>
  <c r="S1029" i="9"/>
  <c r="R1029" i="9"/>
  <c r="P1029" i="9"/>
  <c r="O1029" i="9"/>
  <c r="N1029" i="9"/>
  <c r="M1029" i="9"/>
  <c r="L1029" i="9"/>
  <c r="K1029" i="9"/>
  <c r="J1029" i="9"/>
  <c r="AQ1028" i="9"/>
  <c r="AP1028" i="9"/>
  <c r="AO1028" i="9"/>
  <c r="AN1028" i="9"/>
  <c r="AM1028" i="9"/>
  <c r="AL1028" i="9"/>
  <c r="AK1028" i="9"/>
  <c r="A1028" i="9"/>
  <c r="AQ1027" i="9"/>
  <c r="AP1027" i="9"/>
  <c r="AO1027" i="9"/>
  <c r="AN1027" i="9"/>
  <c r="AM1027" i="9"/>
  <c r="AL1027" i="9"/>
  <c r="AK1027" i="9"/>
  <c r="Z1027" i="9"/>
  <c r="AQ1026" i="9"/>
  <c r="AP1026" i="9"/>
  <c r="AO1026" i="9"/>
  <c r="AN1026" i="9"/>
  <c r="AM1026" i="9"/>
  <c r="AL1026" i="9"/>
  <c r="AK1026" i="9"/>
  <c r="Z1026" i="9"/>
  <c r="P1026" i="9"/>
  <c r="O1026" i="9"/>
  <c r="N1026" i="9"/>
  <c r="M1026" i="9"/>
  <c r="L1026" i="9"/>
  <c r="K1026" i="9"/>
  <c r="J1026" i="9"/>
  <c r="AQ1025" i="9"/>
  <c r="AP1025" i="9"/>
  <c r="AO1025" i="9"/>
  <c r="AN1025" i="9"/>
  <c r="AM1025" i="9"/>
  <c r="AL1025" i="9"/>
  <c r="AK1025" i="9"/>
  <c r="Z1025" i="9"/>
  <c r="AQ1024" i="9"/>
  <c r="AP1024" i="9"/>
  <c r="AO1024" i="9"/>
  <c r="AN1024" i="9"/>
  <c r="AM1024" i="9"/>
  <c r="AL1024" i="9"/>
  <c r="AK1024" i="9"/>
  <c r="Z1024" i="9"/>
  <c r="Z1023" i="9"/>
  <c r="P1023" i="9"/>
  <c r="Z1022" i="9"/>
  <c r="P1022" i="9"/>
  <c r="Z1021" i="9"/>
  <c r="P1021" i="9"/>
  <c r="O1021" i="9"/>
  <c r="N1021" i="9"/>
  <c r="M1021" i="9"/>
  <c r="L1021" i="9"/>
  <c r="K1021" i="9"/>
  <c r="J1021" i="9"/>
  <c r="Z1020" i="9"/>
  <c r="Z1019" i="9"/>
  <c r="X1022" i="9"/>
  <c r="W1022" i="9"/>
  <c r="V1022" i="9"/>
  <c r="U1022" i="9"/>
  <c r="S1022" i="9"/>
  <c r="R1022" i="9"/>
  <c r="P1019" i="9"/>
  <c r="O1019" i="9"/>
  <c r="N1019" i="9"/>
  <c r="M1019" i="9"/>
  <c r="L1019" i="9"/>
  <c r="K1019" i="9"/>
  <c r="J1019" i="9"/>
  <c r="AP1018" i="9"/>
  <c r="AO1018" i="9"/>
  <c r="AN1018" i="9"/>
  <c r="AM1018" i="9"/>
  <c r="AL1018" i="9"/>
  <c r="AK1018" i="9"/>
  <c r="Z1018" i="9"/>
  <c r="X1018" i="9"/>
  <c r="W1018" i="9"/>
  <c r="V1018" i="9"/>
  <c r="U1018" i="9"/>
  <c r="T1018" i="9"/>
  <c r="S1018" i="9"/>
  <c r="R1018" i="9"/>
  <c r="P1018" i="9"/>
  <c r="O1018" i="9"/>
  <c r="N1018" i="9"/>
  <c r="M1018" i="9"/>
  <c r="L1018" i="9"/>
  <c r="K1018" i="9"/>
  <c r="J1018" i="9"/>
  <c r="AQ1017" i="9"/>
  <c r="AP1017" i="9"/>
  <c r="AO1017" i="9"/>
  <c r="AN1017" i="9"/>
  <c r="AM1017" i="9"/>
  <c r="AL1017" i="9"/>
  <c r="AK1017" i="9"/>
  <c r="Z1017" i="9"/>
  <c r="X1017" i="9"/>
  <c r="W1017" i="9"/>
  <c r="V1017" i="9"/>
  <c r="U1017" i="9"/>
  <c r="T1017" i="9"/>
  <c r="S1017" i="9"/>
  <c r="R1017" i="9"/>
  <c r="P1017" i="9"/>
  <c r="O1017" i="9"/>
  <c r="N1017" i="9"/>
  <c r="M1017" i="9"/>
  <c r="L1017" i="9"/>
  <c r="K1017" i="9"/>
  <c r="J1017" i="9"/>
  <c r="AQ1016" i="9"/>
  <c r="AP1016" i="9"/>
  <c r="AO1016" i="9"/>
  <c r="AN1016" i="9"/>
  <c r="AM1016" i="9"/>
  <c r="AL1016" i="9"/>
  <c r="AK1016" i="9"/>
  <c r="Z1016" i="9"/>
  <c r="X1016" i="9"/>
  <c r="W1016" i="9"/>
  <c r="V1016" i="9"/>
  <c r="U1016" i="9"/>
  <c r="T1016" i="9"/>
  <c r="S1016" i="9"/>
  <c r="R1016" i="9"/>
  <c r="P1016" i="9"/>
  <c r="O1016" i="9"/>
  <c r="N1016" i="9"/>
  <c r="M1016" i="9"/>
  <c r="L1016" i="9"/>
  <c r="K1016" i="9"/>
  <c r="J1016" i="9"/>
  <c r="AQ1015" i="9"/>
  <c r="AP1015" i="9"/>
  <c r="AO1015" i="9"/>
  <c r="AN1015" i="9"/>
  <c r="AM1015" i="9"/>
  <c r="AL1015" i="9"/>
  <c r="AK1015" i="9"/>
  <c r="Z1015" i="9"/>
  <c r="X1015" i="9"/>
  <c r="W1015" i="9"/>
  <c r="V1015" i="9"/>
  <c r="U1015" i="9"/>
  <c r="T1015" i="9"/>
  <c r="S1015" i="9"/>
  <c r="R1015" i="9"/>
  <c r="P1015" i="9"/>
  <c r="O1015" i="9"/>
  <c r="N1015" i="9"/>
  <c r="M1015" i="9"/>
  <c r="L1015" i="9"/>
  <c r="K1015" i="9"/>
  <c r="J1015" i="9"/>
  <c r="AQ1014" i="9"/>
  <c r="AP1014" i="9"/>
  <c r="AO1014" i="9"/>
  <c r="AN1014" i="9"/>
  <c r="AM1014" i="9"/>
  <c r="AL1014" i="9"/>
  <c r="AK1014" i="9"/>
  <c r="Z1014" i="9"/>
  <c r="X1014" i="9"/>
  <c r="W1014" i="9"/>
  <c r="V1014" i="9"/>
  <c r="U1014" i="9"/>
  <c r="T1014" i="9"/>
  <c r="S1014" i="9"/>
  <c r="R1014" i="9"/>
  <c r="P1014" i="9"/>
  <c r="O1014" i="9"/>
  <c r="N1014" i="9"/>
  <c r="M1014" i="9"/>
  <c r="L1014" i="9"/>
  <c r="K1014" i="9"/>
  <c r="J1014" i="9"/>
  <c r="AQ1013" i="9"/>
  <c r="AP1013" i="9"/>
  <c r="AO1013" i="9"/>
  <c r="AN1013" i="9"/>
  <c r="AM1013" i="9"/>
  <c r="AL1013" i="9"/>
  <c r="AK1013" i="9"/>
  <c r="Z1013" i="9"/>
  <c r="X1013" i="9"/>
  <c r="W1013" i="9"/>
  <c r="V1013" i="9"/>
  <c r="U1013" i="9"/>
  <c r="T1013" i="9"/>
  <c r="S1013" i="9"/>
  <c r="R1013" i="9"/>
  <c r="P1013" i="9"/>
  <c r="O1013" i="9"/>
  <c r="N1013" i="9"/>
  <c r="M1013" i="9"/>
  <c r="L1013" i="9"/>
  <c r="K1013" i="9"/>
  <c r="J1013" i="9"/>
  <c r="AQ1012" i="9"/>
  <c r="AP1012" i="9"/>
  <c r="AO1012" i="9"/>
  <c r="AN1012" i="9"/>
  <c r="AM1012" i="9"/>
  <c r="AL1012" i="9"/>
  <c r="AK1012" i="9"/>
  <c r="Z1012" i="9"/>
  <c r="X1012" i="9"/>
  <c r="W1012" i="9"/>
  <c r="V1012" i="9"/>
  <c r="U1012" i="9"/>
  <c r="T1012" i="9"/>
  <c r="S1012" i="9"/>
  <c r="R1012" i="9"/>
  <c r="P1012" i="9"/>
  <c r="O1012" i="9"/>
  <c r="N1012" i="9"/>
  <c r="M1012" i="9"/>
  <c r="L1012" i="9"/>
  <c r="K1012" i="9"/>
  <c r="J1012" i="9"/>
  <c r="Z1011" i="9"/>
  <c r="X1011" i="9"/>
  <c r="W1011" i="9"/>
  <c r="V1011" i="9"/>
  <c r="U1011" i="9"/>
  <c r="T1011" i="9"/>
  <c r="S1011" i="9"/>
  <c r="R1011" i="9"/>
  <c r="P1011" i="9"/>
  <c r="O1011" i="9"/>
  <c r="N1011" i="9"/>
  <c r="M1011" i="9"/>
  <c r="L1011" i="9"/>
  <c r="K1011" i="9"/>
  <c r="J1011" i="9"/>
  <c r="X1010" i="9"/>
  <c r="W1010" i="9"/>
  <c r="V1010" i="9"/>
  <c r="U1010" i="9"/>
  <c r="T1010" i="9"/>
  <c r="S1010" i="9"/>
  <c r="R1010" i="9"/>
  <c r="P1010" i="9"/>
  <c r="O1010" i="9"/>
  <c r="N1010" i="9"/>
  <c r="M1010" i="9"/>
  <c r="L1010" i="9"/>
  <c r="K1010" i="9"/>
  <c r="J1010" i="9"/>
  <c r="Z1009" i="9"/>
  <c r="X1009" i="9"/>
  <c r="W1009" i="9"/>
  <c r="V1009" i="9"/>
  <c r="U1009" i="9"/>
  <c r="T1009" i="9"/>
  <c r="S1009" i="9"/>
  <c r="R1009" i="9"/>
  <c r="P1009" i="9"/>
  <c r="O1009" i="9"/>
  <c r="N1009" i="9"/>
  <c r="M1009" i="9"/>
  <c r="L1009" i="9"/>
  <c r="K1009" i="9"/>
  <c r="J1009" i="9"/>
  <c r="Z1008" i="9"/>
  <c r="X1008" i="9"/>
  <c r="W1008" i="9"/>
  <c r="V1008" i="9"/>
  <c r="U1008" i="9"/>
  <c r="T1008" i="9"/>
  <c r="S1008" i="9"/>
  <c r="R1008" i="9"/>
  <c r="P1008" i="9"/>
  <c r="O1008" i="9"/>
  <c r="N1008" i="9"/>
  <c r="M1008" i="9"/>
  <c r="L1008" i="9"/>
  <c r="K1008" i="9"/>
  <c r="J1008" i="9"/>
  <c r="Z1007" i="9"/>
  <c r="X1007" i="9"/>
  <c r="W1007" i="9"/>
  <c r="V1007" i="9"/>
  <c r="U1007" i="9"/>
  <c r="T1007" i="9"/>
  <c r="S1007" i="9"/>
  <c r="R1007" i="9"/>
  <c r="P1007" i="9"/>
  <c r="O1007" i="9"/>
  <c r="N1007" i="9"/>
  <c r="M1007" i="9"/>
  <c r="L1007" i="9"/>
  <c r="K1007" i="9"/>
  <c r="J1007" i="9"/>
  <c r="Z1006" i="9"/>
  <c r="X1006" i="9"/>
  <c r="W1006" i="9"/>
  <c r="V1006" i="9"/>
  <c r="U1006" i="9"/>
  <c r="T1006" i="9"/>
  <c r="S1006" i="9"/>
  <c r="R1006" i="9"/>
  <c r="P1006" i="9"/>
  <c r="O1006" i="9"/>
  <c r="N1006" i="9"/>
  <c r="M1006" i="9"/>
  <c r="L1006" i="9"/>
  <c r="K1006" i="9"/>
  <c r="J1006" i="9"/>
  <c r="Z1005" i="9"/>
  <c r="A1005" i="9"/>
  <c r="Z1004" i="9"/>
  <c r="Z1003" i="9"/>
  <c r="Z1002" i="9"/>
  <c r="AP1001" i="9"/>
  <c r="AO1001" i="9"/>
  <c r="AN1001" i="9"/>
  <c r="AM1001" i="9"/>
  <c r="AL1001" i="9"/>
  <c r="AK1001" i="9"/>
  <c r="Z1001" i="9"/>
  <c r="O1001" i="9"/>
  <c r="N1001" i="9"/>
  <c r="M1001" i="9"/>
  <c r="L1001" i="9"/>
  <c r="K1001" i="9"/>
  <c r="J1001" i="9"/>
  <c r="AQ1000" i="9"/>
  <c r="AP1000" i="9"/>
  <c r="AO1000" i="9"/>
  <c r="AN1000" i="9"/>
  <c r="AM1000" i="9"/>
  <c r="AL1000" i="9"/>
  <c r="AK1000" i="9"/>
  <c r="P1000" i="9"/>
  <c r="AQ999" i="9"/>
  <c r="AP999" i="9"/>
  <c r="AO999" i="9"/>
  <c r="AN999" i="9"/>
  <c r="AM999" i="9"/>
  <c r="AL999" i="9"/>
  <c r="AK999" i="9"/>
  <c r="Z999" i="9"/>
  <c r="P999" i="9"/>
  <c r="AQ998" i="9"/>
  <c r="AP998" i="9"/>
  <c r="AO998" i="9"/>
  <c r="AN998" i="9"/>
  <c r="AM998" i="9"/>
  <c r="AL998" i="9"/>
  <c r="AK998" i="9"/>
  <c r="Z998" i="9"/>
  <c r="P998" i="9"/>
  <c r="AQ997" i="9"/>
  <c r="AP997" i="9"/>
  <c r="AO997" i="9"/>
  <c r="AN997" i="9"/>
  <c r="AM997" i="9"/>
  <c r="AL997" i="9"/>
  <c r="AK997" i="9"/>
  <c r="Z997" i="9"/>
  <c r="P997" i="9"/>
  <c r="AQ996" i="9"/>
  <c r="AP996" i="9"/>
  <c r="AO996" i="9"/>
  <c r="AN996" i="9"/>
  <c r="AM996" i="9"/>
  <c r="AL996" i="9"/>
  <c r="AK996" i="9"/>
  <c r="Z996" i="9"/>
  <c r="P996" i="9"/>
  <c r="AQ995" i="9"/>
  <c r="AP995" i="9"/>
  <c r="AO995" i="9"/>
  <c r="AN995" i="9"/>
  <c r="AM995" i="9"/>
  <c r="AL995" i="9"/>
  <c r="AK995" i="9"/>
  <c r="P995" i="9"/>
  <c r="O995" i="9"/>
  <c r="N995" i="9"/>
  <c r="M995" i="9"/>
  <c r="L995" i="9"/>
  <c r="K995" i="9"/>
  <c r="J995" i="9"/>
  <c r="AQ994" i="9"/>
  <c r="AP994" i="9"/>
  <c r="AO994" i="9"/>
  <c r="AN994" i="9"/>
  <c r="AM994" i="9"/>
  <c r="AL994" i="9"/>
  <c r="AK994" i="9"/>
  <c r="P994" i="9"/>
  <c r="AQ993" i="9"/>
  <c r="AP993" i="9"/>
  <c r="AO993" i="9"/>
  <c r="AN993" i="9"/>
  <c r="AM993" i="9"/>
  <c r="AL993" i="9"/>
  <c r="AK993" i="9"/>
  <c r="P993" i="9"/>
  <c r="AQ992" i="9"/>
  <c r="AP992" i="9"/>
  <c r="AO992" i="9"/>
  <c r="AN992" i="9"/>
  <c r="AM992" i="9"/>
  <c r="AL992" i="9"/>
  <c r="AK992" i="9"/>
  <c r="Z992" i="9"/>
  <c r="P992" i="9"/>
  <c r="AQ991" i="9"/>
  <c r="AP991" i="9"/>
  <c r="AO991" i="9"/>
  <c r="AN991" i="9"/>
  <c r="AM991" i="9"/>
  <c r="AL991" i="9"/>
  <c r="AK991" i="9"/>
  <c r="Z991" i="9"/>
  <c r="P991" i="9"/>
  <c r="AQ990" i="9"/>
  <c r="AP990" i="9"/>
  <c r="AO990" i="9"/>
  <c r="AN990" i="9"/>
  <c r="AM990" i="9"/>
  <c r="AL990" i="9"/>
  <c r="AK990" i="9"/>
  <c r="Z990" i="9"/>
  <c r="P990" i="9"/>
  <c r="AQ989" i="9"/>
  <c r="AP989" i="9"/>
  <c r="AO989" i="9"/>
  <c r="AN989" i="9"/>
  <c r="AM989" i="9"/>
  <c r="AL989" i="9"/>
  <c r="AK989" i="9"/>
  <c r="Z989" i="9"/>
  <c r="P989" i="9"/>
  <c r="O989" i="9"/>
  <c r="N989" i="9"/>
  <c r="M989" i="9"/>
  <c r="L989" i="9"/>
  <c r="K989" i="9"/>
  <c r="J989" i="9"/>
  <c r="V986" i="9"/>
  <c r="V985" i="9"/>
  <c r="O967" i="9"/>
  <c r="G146" i="33" s="1"/>
  <c r="N967" i="9"/>
  <c r="N972" i="9" s="1"/>
  <c r="M969" i="9"/>
  <c r="M970" i="9" s="1"/>
  <c r="L969" i="9"/>
  <c r="L970" i="9" s="1"/>
  <c r="A965" i="9"/>
  <c r="O964" i="9"/>
  <c r="N964" i="9"/>
  <c r="M964" i="9"/>
  <c r="L964" i="9"/>
  <c r="K964" i="9"/>
  <c r="J964" i="9"/>
  <c r="O963" i="9"/>
  <c r="N963" i="9"/>
  <c r="M963" i="9"/>
  <c r="L963" i="9"/>
  <c r="K963" i="9"/>
  <c r="J963" i="9"/>
  <c r="O962" i="9"/>
  <c r="N962" i="9"/>
  <c r="M962" i="9"/>
  <c r="L962" i="9"/>
  <c r="K962" i="9"/>
  <c r="J962" i="9"/>
  <c r="O961" i="9"/>
  <c r="N961" i="9"/>
  <c r="M961" i="9"/>
  <c r="L961" i="9"/>
  <c r="K961" i="9"/>
  <c r="J961" i="9"/>
  <c r="P960" i="9"/>
  <c r="O960" i="9"/>
  <c r="N960" i="9"/>
  <c r="M960" i="9"/>
  <c r="L960" i="9"/>
  <c r="K960" i="9"/>
  <c r="J960" i="9"/>
  <c r="O959" i="9"/>
  <c r="N959" i="9"/>
  <c r="M959" i="9"/>
  <c r="L959" i="9"/>
  <c r="K959" i="9"/>
  <c r="J959" i="9"/>
  <c r="W958" i="9"/>
  <c r="V958" i="9"/>
  <c r="U958" i="9"/>
  <c r="T958" i="9"/>
  <c r="S958" i="9"/>
  <c r="R958" i="9"/>
  <c r="X957" i="9"/>
  <c r="W957" i="9"/>
  <c r="V957" i="9"/>
  <c r="U957" i="9"/>
  <c r="T957" i="9"/>
  <c r="S957" i="9"/>
  <c r="R957" i="9"/>
  <c r="P957" i="9"/>
  <c r="Z956" i="9"/>
  <c r="X956" i="9"/>
  <c r="W956" i="9"/>
  <c r="V956" i="9"/>
  <c r="U956" i="9"/>
  <c r="T956" i="9"/>
  <c r="S956" i="9"/>
  <c r="R956" i="9"/>
  <c r="P956" i="9"/>
  <c r="Z955" i="9"/>
  <c r="X955" i="9"/>
  <c r="W955" i="9"/>
  <c r="V955" i="9"/>
  <c r="U955" i="9"/>
  <c r="T955" i="9"/>
  <c r="S955" i="9"/>
  <c r="R955" i="9"/>
  <c r="P955" i="9"/>
  <c r="Z954" i="9"/>
  <c r="X954" i="9"/>
  <c r="W954" i="9"/>
  <c r="V954" i="9"/>
  <c r="U954" i="9"/>
  <c r="T954" i="9"/>
  <c r="S954" i="9"/>
  <c r="R954" i="9"/>
  <c r="P954" i="9"/>
  <c r="Z953" i="9"/>
  <c r="X953" i="9"/>
  <c r="W953" i="9"/>
  <c r="V953" i="9"/>
  <c r="U953" i="9"/>
  <c r="T953" i="9"/>
  <c r="S953" i="9"/>
  <c r="R953" i="9"/>
  <c r="P953" i="9"/>
  <c r="Z952" i="9"/>
  <c r="X952" i="9"/>
  <c r="W952" i="9"/>
  <c r="V952" i="9"/>
  <c r="U952" i="9"/>
  <c r="T952" i="9"/>
  <c r="S952" i="9"/>
  <c r="R952" i="9"/>
  <c r="P952" i="9"/>
  <c r="O952" i="9"/>
  <c r="N952" i="9"/>
  <c r="M952" i="9"/>
  <c r="L952" i="9"/>
  <c r="K952" i="9"/>
  <c r="J952" i="9"/>
  <c r="Z951" i="9"/>
  <c r="X951" i="9"/>
  <c r="W951" i="9"/>
  <c r="V951" i="9"/>
  <c r="U951" i="9"/>
  <c r="T951" i="9"/>
  <c r="S951" i="9"/>
  <c r="R951" i="9"/>
  <c r="P951" i="9"/>
  <c r="Z950" i="9"/>
  <c r="X950" i="9"/>
  <c r="W950" i="9"/>
  <c r="V950" i="9"/>
  <c r="U950" i="9"/>
  <c r="T950" i="9"/>
  <c r="S950" i="9"/>
  <c r="R950" i="9"/>
  <c r="P950" i="9"/>
  <c r="Z949" i="9"/>
  <c r="X949" i="9"/>
  <c r="W949" i="9"/>
  <c r="V949" i="9"/>
  <c r="U949" i="9"/>
  <c r="T949" i="9"/>
  <c r="S949" i="9"/>
  <c r="R949" i="9"/>
  <c r="P949" i="9"/>
  <c r="Z948" i="9"/>
  <c r="X948" i="9"/>
  <c r="W948" i="9"/>
  <c r="V948" i="9"/>
  <c r="U948" i="9"/>
  <c r="T948" i="9"/>
  <c r="S948" i="9"/>
  <c r="R948" i="9"/>
  <c r="P948" i="9"/>
  <c r="Z947" i="9"/>
  <c r="X947" i="9"/>
  <c r="W947" i="9"/>
  <c r="V947" i="9"/>
  <c r="U947" i="9"/>
  <c r="T947" i="9"/>
  <c r="S947" i="9"/>
  <c r="R947" i="9"/>
  <c r="P947" i="9"/>
  <c r="AQ946" i="9"/>
  <c r="AP946" i="9"/>
  <c r="AO946" i="9"/>
  <c r="AN946" i="9"/>
  <c r="AM946" i="9"/>
  <c r="AL946" i="9"/>
  <c r="AK946" i="9"/>
  <c r="Z946" i="9"/>
  <c r="X946" i="9"/>
  <c r="W946" i="9"/>
  <c r="V946" i="9"/>
  <c r="U946" i="9"/>
  <c r="T946" i="9"/>
  <c r="S946" i="9"/>
  <c r="R946" i="9"/>
  <c r="P946" i="9"/>
  <c r="O946" i="9"/>
  <c r="N946" i="9"/>
  <c r="M946" i="9"/>
  <c r="L946" i="9"/>
  <c r="K946" i="9"/>
  <c r="J946" i="9"/>
  <c r="AQ945" i="9"/>
  <c r="AP945" i="9"/>
  <c r="AO945" i="9"/>
  <c r="AN945" i="9"/>
  <c r="AM945" i="9"/>
  <c r="AL945" i="9"/>
  <c r="AK945" i="9"/>
  <c r="A945" i="9"/>
  <c r="AQ944" i="9"/>
  <c r="AP944" i="9"/>
  <c r="AO944" i="9"/>
  <c r="AN944" i="9"/>
  <c r="AM944" i="9"/>
  <c r="AL944" i="9"/>
  <c r="AK944" i="9"/>
  <c r="AQ943" i="9"/>
  <c r="AP943" i="9"/>
  <c r="AO943" i="9"/>
  <c r="AN943" i="9"/>
  <c r="AM943" i="9"/>
  <c r="AL943" i="9"/>
  <c r="AK943" i="9"/>
  <c r="Z943" i="9"/>
  <c r="P943" i="9"/>
  <c r="O943" i="9"/>
  <c r="N943" i="9"/>
  <c r="M943" i="9"/>
  <c r="L943" i="9"/>
  <c r="K943" i="9"/>
  <c r="J943" i="9"/>
  <c r="AQ942" i="9"/>
  <c r="AP942" i="9"/>
  <c r="AO942" i="9"/>
  <c r="AN942" i="9"/>
  <c r="AM942" i="9"/>
  <c r="AL942" i="9"/>
  <c r="AK942" i="9"/>
  <c r="Z942" i="9"/>
  <c r="AQ941" i="9"/>
  <c r="AP941" i="9"/>
  <c r="AO941" i="9"/>
  <c r="AN941" i="9"/>
  <c r="AM941" i="9"/>
  <c r="AL941" i="9"/>
  <c r="AK941" i="9"/>
  <c r="Z941" i="9"/>
  <c r="Z940" i="9"/>
  <c r="P940" i="9"/>
  <c r="Z939" i="9"/>
  <c r="P939" i="9"/>
  <c r="Z938" i="9"/>
  <c r="P938" i="9"/>
  <c r="O938" i="9"/>
  <c r="N938" i="9"/>
  <c r="M938" i="9"/>
  <c r="L938" i="9"/>
  <c r="K938" i="9"/>
  <c r="J938" i="9"/>
  <c r="Z937" i="9"/>
  <c r="Z936" i="9"/>
  <c r="X939" i="9"/>
  <c r="W939" i="9"/>
  <c r="V939" i="9"/>
  <c r="U939" i="9"/>
  <c r="S939" i="9"/>
  <c r="R939" i="9"/>
  <c r="P936" i="9"/>
  <c r="O936" i="9"/>
  <c r="N936" i="9"/>
  <c r="M936" i="9"/>
  <c r="L936" i="9"/>
  <c r="K936" i="9"/>
  <c r="J936" i="9"/>
  <c r="AP935" i="9"/>
  <c r="AO935" i="9"/>
  <c r="AN935" i="9"/>
  <c r="AM935" i="9"/>
  <c r="AL935" i="9"/>
  <c r="AK935" i="9"/>
  <c r="Z935" i="9"/>
  <c r="X935" i="9"/>
  <c r="W935" i="9"/>
  <c r="V935" i="9"/>
  <c r="U935" i="9"/>
  <c r="T935" i="9"/>
  <c r="S935" i="9"/>
  <c r="R935" i="9"/>
  <c r="P935" i="9"/>
  <c r="O935" i="9"/>
  <c r="N935" i="9"/>
  <c r="M935" i="9"/>
  <c r="L935" i="9"/>
  <c r="K935" i="9"/>
  <c r="J935" i="9"/>
  <c r="AQ934" i="9"/>
  <c r="AP934" i="9"/>
  <c r="AO934" i="9"/>
  <c r="AN934" i="9"/>
  <c r="AM934" i="9"/>
  <c r="AL934" i="9"/>
  <c r="AK934" i="9"/>
  <c r="Z934" i="9"/>
  <c r="X934" i="9"/>
  <c r="W934" i="9"/>
  <c r="V934" i="9"/>
  <c r="U934" i="9"/>
  <c r="T934" i="9"/>
  <c r="S934" i="9"/>
  <c r="R934" i="9"/>
  <c r="P934" i="9"/>
  <c r="O934" i="9"/>
  <c r="N934" i="9"/>
  <c r="M934" i="9"/>
  <c r="L934" i="9"/>
  <c r="K934" i="9"/>
  <c r="J934" i="9"/>
  <c r="AQ933" i="9"/>
  <c r="AP933" i="9"/>
  <c r="AO933" i="9"/>
  <c r="AN933" i="9"/>
  <c r="AM933" i="9"/>
  <c r="AL933" i="9"/>
  <c r="AK933" i="9"/>
  <c r="Z933" i="9"/>
  <c r="X933" i="9"/>
  <c r="W933" i="9"/>
  <c r="V933" i="9"/>
  <c r="U933" i="9"/>
  <c r="T933" i="9"/>
  <c r="S933" i="9"/>
  <c r="R933" i="9"/>
  <c r="P933" i="9"/>
  <c r="O933" i="9"/>
  <c r="N933" i="9"/>
  <c r="M933" i="9"/>
  <c r="L933" i="9"/>
  <c r="K933" i="9"/>
  <c r="J933" i="9"/>
  <c r="AQ932" i="9"/>
  <c r="AP932" i="9"/>
  <c r="AO932" i="9"/>
  <c r="AN932" i="9"/>
  <c r="AM932" i="9"/>
  <c r="AL932" i="9"/>
  <c r="AK932" i="9"/>
  <c r="Z932" i="9"/>
  <c r="X932" i="9"/>
  <c r="W932" i="9"/>
  <c r="V932" i="9"/>
  <c r="U932" i="9"/>
  <c r="T932" i="9"/>
  <c r="S932" i="9"/>
  <c r="R932" i="9"/>
  <c r="P932" i="9"/>
  <c r="O932" i="9"/>
  <c r="N932" i="9"/>
  <c r="M932" i="9"/>
  <c r="L932" i="9"/>
  <c r="K932" i="9"/>
  <c r="J932" i="9"/>
  <c r="AQ931" i="9"/>
  <c r="AP931" i="9"/>
  <c r="AO931" i="9"/>
  <c r="AN931" i="9"/>
  <c r="AM931" i="9"/>
  <c r="AL931" i="9"/>
  <c r="AK931" i="9"/>
  <c r="Z931" i="9"/>
  <c r="X931" i="9"/>
  <c r="W931" i="9"/>
  <c r="V931" i="9"/>
  <c r="U931" i="9"/>
  <c r="T931" i="9"/>
  <c r="S931" i="9"/>
  <c r="R931" i="9"/>
  <c r="P931" i="9"/>
  <c r="O931" i="9"/>
  <c r="N931" i="9"/>
  <c r="M931" i="9"/>
  <c r="L931" i="9"/>
  <c r="K931" i="9"/>
  <c r="J931" i="9"/>
  <c r="AQ930" i="9"/>
  <c r="AP930" i="9"/>
  <c r="AO930" i="9"/>
  <c r="AN930" i="9"/>
  <c r="AM930" i="9"/>
  <c r="AL930" i="9"/>
  <c r="AK930" i="9"/>
  <c r="Z930" i="9"/>
  <c r="X930" i="9"/>
  <c r="W930" i="9"/>
  <c r="V930" i="9"/>
  <c r="U930" i="9"/>
  <c r="T930" i="9"/>
  <c r="S930" i="9"/>
  <c r="R930" i="9"/>
  <c r="P930" i="9"/>
  <c r="O930" i="9"/>
  <c r="N930" i="9"/>
  <c r="M930" i="9"/>
  <c r="L930" i="9"/>
  <c r="K930" i="9"/>
  <c r="J930" i="9"/>
  <c r="AQ929" i="9"/>
  <c r="AP929" i="9"/>
  <c r="AO929" i="9"/>
  <c r="AN929" i="9"/>
  <c r="AM929" i="9"/>
  <c r="AL929" i="9"/>
  <c r="AK929" i="9"/>
  <c r="Z929" i="9"/>
  <c r="X929" i="9"/>
  <c r="W929" i="9"/>
  <c r="V929" i="9"/>
  <c r="U929" i="9"/>
  <c r="T929" i="9"/>
  <c r="S929" i="9"/>
  <c r="R929" i="9"/>
  <c r="P929" i="9"/>
  <c r="O929" i="9"/>
  <c r="N929" i="9"/>
  <c r="M929" i="9"/>
  <c r="L929" i="9"/>
  <c r="K929" i="9"/>
  <c r="J929" i="9"/>
  <c r="Z928" i="9"/>
  <c r="X928" i="9"/>
  <c r="W928" i="9"/>
  <c r="V928" i="9"/>
  <c r="U928" i="9"/>
  <c r="T928" i="9"/>
  <c r="S928" i="9"/>
  <c r="R928" i="9"/>
  <c r="P928" i="9"/>
  <c r="O928" i="9"/>
  <c r="N928" i="9"/>
  <c r="M928" i="9"/>
  <c r="L928" i="9"/>
  <c r="K928" i="9"/>
  <c r="J928" i="9"/>
  <c r="X927" i="9"/>
  <c r="W927" i="9"/>
  <c r="V927" i="9"/>
  <c r="U927" i="9"/>
  <c r="T927" i="9"/>
  <c r="S927" i="9"/>
  <c r="R927" i="9"/>
  <c r="P927" i="9"/>
  <c r="O927" i="9"/>
  <c r="N927" i="9"/>
  <c r="M927" i="9"/>
  <c r="L927" i="9"/>
  <c r="K927" i="9"/>
  <c r="J927" i="9"/>
  <c r="X926" i="9"/>
  <c r="W926" i="9"/>
  <c r="V926" i="9"/>
  <c r="U926" i="9"/>
  <c r="T926" i="9"/>
  <c r="S926" i="9"/>
  <c r="R926" i="9"/>
  <c r="P926" i="9"/>
  <c r="O926" i="9"/>
  <c r="N926" i="9"/>
  <c r="M926" i="9"/>
  <c r="L926" i="9"/>
  <c r="K926" i="9"/>
  <c r="J926" i="9"/>
  <c r="X925" i="9"/>
  <c r="W925" i="9"/>
  <c r="V925" i="9"/>
  <c r="U925" i="9"/>
  <c r="T925" i="9"/>
  <c r="S925" i="9"/>
  <c r="R925" i="9"/>
  <c r="P925" i="9"/>
  <c r="O925" i="9"/>
  <c r="N925" i="9"/>
  <c r="M925" i="9"/>
  <c r="L925" i="9"/>
  <c r="K925" i="9"/>
  <c r="J925" i="9"/>
  <c r="Z924" i="9"/>
  <c r="X924" i="9"/>
  <c r="W924" i="9"/>
  <c r="V924" i="9"/>
  <c r="U924" i="9"/>
  <c r="T924" i="9"/>
  <c r="S924" i="9"/>
  <c r="R924" i="9"/>
  <c r="P924" i="9"/>
  <c r="O924" i="9"/>
  <c r="N924" i="9"/>
  <c r="M924" i="9"/>
  <c r="L924" i="9"/>
  <c r="K924" i="9"/>
  <c r="J924" i="9"/>
  <c r="Z923" i="9"/>
  <c r="X923" i="9"/>
  <c r="W923" i="9"/>
  <c r="V923" i="9"/>
  <c r="U923" i="9"/>
  <c r="T923" i="9"/>
  <c r="S923" i="9"/>
  <c r="R923" i="9"/>
  <c r="P923" i="9"/>
  <c r="O923" i="9"/>
  <c r="N923" i="9"/>
  <c r="M923" i="9"/>
  <c r="L923" i="9"/>
  <c r="K923" i="9"/>
  <c r="J923" i="9"/>
  <c r="Z922" i="9"/>
  <c r="Z921" i="9"/>
  <c r="A921" i="9"/>
  <c r="Z920" i="9"/>
  <c r="Z919" i="9"/>
  <c r="P919" i="9"/>
  <c r="AP918" i="9"/>
  <c r="AO918" i="9"/>
  <c r="AN918" i="9"/>
  <c r="AM918" i="9"/>
  <c r="AL918" i="9"/>
  <c r="AK918" i="9"/>
  <c r="Z918" i="9"/>
  <c r="O918" i="9"/>
  <c r="N918" i="9"/>
  <c r="M918" i="9"/>
  <c r="L918" i="9"/>
  <c r="K918" i="9"/>
  <c r="J918" i="9"/>
  <c r="AQ917" i="9"/>
  <c r="AP917" i="9"/>
  <c r="AO917" i="9"/>
  <c r="AN917" i="9"/>
  <c r="AM917" i="9"/>
  <c r="AL917" i="9"/>
  <c r="AK917" i="9"/>
  <c r="P917" i="9"/>
  <c r="AQ916" i="9"/>
  <c r="AP916" i="9"/>
  <c r="AO916" i="9"/>
  <c r="AN916" i="9"/>
  <c r="AM916" i="9"/>
  <c r="AL916" i="9"/>
  <c r="AK916" i="9"/>
  <c r="Z916" i="9"/>
  <c r="P916" i="9"/>
  <c r="AQ915" i="9"/>
  <c r="AP915" i="9"/>
  <c r="AO915" i="9"/>
  <c r="AN915" i="9"/>
  <c r="AM915" i="9"/>
  <c r="AL915" i="9"/>
  <c r="AK915" i="9"/>
  <c r="Z915" i="9"/>
  <c r="P915" i="9"/>
  <c r="AQ914" i="9"/>
  <c r="AP914" i="9"/>
  <c r="AO914" i="9"/>
  <c r="AN914" i="9"/>
  <c r="AM914" i="9"/>
  <c r="AL914" i="9"/>
  <c r="AK914" i="9"/>
  <c r="Z914" i="9"/>
  <c r="P914" i="9"/>
  <c r="AQ913" i="9"/>
  <c r="AP913" i="9"/>
  <c r="AO913" i="9"/>
  <c r="AN913" i="9"/>
  <c r="AM913" i="9"/>
  <c r="AL913" i="9"/>
  <c r="AK913" i="9"/>
  <c r="Z913" i="9"/>
  <c r="P913" i="9"/>
  <c r="AQ912" i="9"/>
  <c r="AP912" i="9"/>
  <c r="AO912" i="9"/>
  <c r="AN912" i="9"/>
  <c r="AM912" i="9"/>
  <c r="AL912" i="9"/>
  <c r="AK912" i="9"/>
  <c r="P912" i="9"/>
  <c r="O912" i="9"/>
  <c r="N912" i="9"/>
  <c r="M912" i="9"/>
  <c r="L912" i="9"/>
  <c r="K912" i="9"/>
  <c r="J912" i="9"/>
  <c r="AQ911" i="9"/>
  <c r="AP911" i="9"/>
  <c r="AO911" i="9"/>
  <c r="AN911" i="9"/>
  <c r="AM911" i="9"/>
  <c r="AL911" i="9"/>
  <c r="AK911" i="9"/>
  <c r="P911" i="9"/>
  <c r="AQ910" i="9"/>
  <c r="AP910" i="9"/>
  <c r="AO910" i="9"/>
  <c r="AN910" i="9"/>
  <c r="AM910" i="9"/>
  <c r="AL910" i="9"/>
  <c r="AK910" i="9"/>
  <c r="P910" i="9"/>
  <c r="AQ909" i="9"/>
  <c r="AP909" i="9"/>
  <c r="AO909" i="9"/>
  <c r="AN909" i="9"/>
  <c r="AM909" i="9"/>
  <c r="AL909" i="9"/>
  <c r="AK909" i="9"/>
  <c r="Z909" i="9"/>
  <c r="P909" i="9"/>
  <c r="AQ908" i="9"/>
  <c r="AP908" i="9"/>
  <c r="AO908" i="9"/>
  <c r="AN908" i="9"/>
  <c r="AM908" i="9"/>
  <c r="AL908" i="9"/>
  <c r="AK908" i="9"/>
  <c r="Z908" i="9"/>
  <c r="P908" i="9"/>
  <c r="AQ907" i="9"/>
  <c r="AP907" i="9"/>
  <c r="AO907" i="9"/>
  <c r="AN907" i="9"/>
  <c r="AM907" i="9"/>
  <c r="AL907" i="9"/>
  <c r="AK907" i="9"/>
  <c r="Z907" i="9"/>
  <c r="P907" i="9"/>
  <c r="AQ906" i="9"/>
  <c r="AP906" i="9"/>
  <c r="AO906" i="9"/>
  <c r="AN906" i="9"/>
  <c r="AM906" i="9"/>
  <c r="AL906" i="9"/>
  <c r="AK906" i="9"/>
  <c r="Z906" i="9"/>
  <c r="P906" i="9"/>
  <c r="O906" i="9"/>
  <c r="N906" i="9"/>
  <c r="M906" i="9"/>
  <c r="L906" i="9"/>
  <c r="K906" i="9"/>
  <c r="J906" i="9"/>
  <c r="P903" i="9"/>
  <c r="O903" i="9"/>
  <c r="N903" i="9"/>
  <c r="M903" i="9"/>
  <c r="L903" i="9"/>
  <c r="K903" i="9"/>
  <c r="J903" i="9"/>
  <c r="O902" i="9"/>
  <c r="N902" i="9"/>
  <c r="M902" i="9"/>
  <c r="L902" i="9"/>
  <c r="K902" i="9"/>
  <c r="J902" i="9"/>
  <c r="N883" i="9"/>
  <c r="N893" i="9" s="1"/>
  <c r="V893" i="9" s="1"/>
  <c r="M883" i="9"/>
  <c r="M893" i="9" s="1"/>
  <c r="L883" i="9"/>
  <c r="D135" i="33" s="1"/>
  <c r="K883" i="9"/>
  <c r="C135" i="33" s="1"/>
  <c r="A881" i="9"/>
  <c r="O880" i="9"/>
  <c r="N880" i="9"/>
  <c r="M880" i="9"/>
  <c r="L880" i="9"/>
  <c r="K880" i="9"/>
  <c r="J880" i="9"/>
  <c r="O879" i="9"/>
  <c r="N879" i="9"/>
  <c r="M879" i="9"/>
  <c r="L879" i="9"/>
  <c r="K879" i="9"/>
  <c r="J879" i="9"/>
  <c r="O878" i="9"/>
  <c r="N878" i="9"/>
  <c r="M878" i="9"/>
  <c r="L878" i="9"/>
  <c r="K878" i="9"/>
  <c r="J878" i="9"/>
  <c r="O877" i="9"/>
  <c r="N877" i="9"/>
  <c r="M877" i="9"/>
  <c r="L877" i="9"/>
  <c r="K877" i="9"/>
  <c r="J877" i="9"/>
  <c r="O876" i="9"/>
  <c r="N876" i="9"/>
  <c r="M876" i="9"/>
  <c r="L876" i="9"/>
  <c r="K876" i="9"/>
  <c r="J876" i="9"/>
  <c r="O875" i="9"/>
  <c r="N875" i="9"/>
  <c r="M875" i="9"/>
  <c r="L875" i="9"/>
  <c r="K875" i="9"/>
  <c r="J875" i="9"/>
  <c r="W874" i="9"/>
  <c r="V874" i="9"/>
  <c r="U874" i="9"/>
  <c r="T874" i="9"/>
  <c r="S874" i="9"/>
  <c r="R874" i="9"/>
  <c r="X873" i="9"/>
  <c r="W873" i="9"/>
  <c r="V873" i="9"/>
  <c r="U873" i="9"/>
  <c r="T873" i="9"/>
  <c r="S873" i="9"/>
  <c r="R873" i="9"/>
  <c r="P873" i="9"/>
  <c r="X872" i="9"/>
  <c r="W872" i="9"/>
  <c r="V872" i="9"/>
  <c r="U872" i="9"/>
  <c r="T872" i="9"/>
  <c r="S872" i="9"/>
  <c r="R872" i="9"/>
  <c r="P872" i="9"/>
  <c r="X871" i="9"/>
  <c r="W871" i="9"/>
  <c r="V871" i="9"/>
  <c r="U871" i="9"/>
  <c r="T871" i="9"/>
  <c r="S871" i="9"/>
  <c r="R871" i="9"/>
  <c r="P871" i="9"/>
  <c r="X870" i="9"/>
  <c r="W870" i="9"/>
  <c r="V870" i="9"/>
  <c r="U870" i="9"/>
  <c r="T870" i="9"/>
  <c r="S870" i="9"/>
  <c r="R870" i="9"/>
  <c r="P870" i="9"/>
  <c r="X869" i="9"/>
  <c r="W869" i="9"/>
  <c r="V869" i="9"/>
  <c r="U869" i="9"/>
  <c r="T869" i="9"/>
  <c r="S869" i="9"/>
  <c r="R869" i="9"/>
  <c r="P869" i="9"/>
  <c r="X868" i="9"/>
  <c r="W868" i="9"/>
  <c r="V868" i="9"/>
  <c r="U868" i="9"/>
  <c r="T868" i="9"/>
  <c r="S868" i="9"/>
  <c r="R868" i="9"/>
  <c r="P868" i="9"/>
  <c r="O868" i="9"/>
  <c r="N868" i="9"/>
  <c r="M868" i="9"/>
  <c r="L868" i="9"/>
  <c r="K868" i="9"/>
  <c r="J868" i="9"/>
  <c r="Z867" i="9"/>
  <c r="X867" i="9"/>
  <c r="W867" i="9"/>
  <c r="V867" i="9"/>
  <c r="U867" i="9"/>
  <c r="T867" i="9"/>
  <c r="S867" i="9"/>
  <c r="R867" i="9"/>
  <c r="P867" i="9"/>
  <c r="X866" i="9"/>
  <c r="W866" i="9"/>
  <c r="V866" i="9"/>
  <c r="U866" i="9"/>
  <c r="T866" i="9"/>
  <c r="S866" i="9"/>
  <c r="R866" i="9"/>
  <c r="P866" i="9"/>
  <c r="Z865" i="9"/>
  <c r="X865" i="9"/>
  <c r="W865" i="9"/>
  <c r="V865" i="9"/>
  <c r="U865" i="9"/>
  <c r="T865" i="9"/>
  <c r="S865" i="9"/>
  <c r="R865" i="9"/>
  <c r="P865" i="9"/>
  <c r="Z864" i="9"/>
  <c r="X864" i="9"/>
  <c r="W864" i="9"/>
  <c r="V864" i="9"/>
  <c r="U864" i="9"/>
  <c r="T864" i="9"/>
  <c r="S864" i="9"/>
  <c r="R864" i="9"/>
  <c r="P864" i="9"/>
  <c r="Z863" i="9"/>
  <c r="X863" i="9"/>
  <c r="W863" i="9"/>
  <c r="V863" i="9"/>
  <c r="U863" i="9"/>
  <c r="T863" i="9"/>
  <c r="S863" i="9"/>
  <c r="R863" i="9"/>
  <c r="P863" i="9"/>
  <c r="AQ862" i="9"/>
  <c r="AP862" i="9"/>
  <c r="AO862" i="9"/>
  <c r="AN862" i="9"/>
  <c r="AM862" i="9"/>
  <c r="AL862" i="9"/>
  <c r="AK862" i="9"/>
  <c r="Z862" i="9"/>
  <c r="X862" i="9"/>
  <c r="W862" i="9"/>
  <c r="V862" i="9"/>
  <c r="U862" i="9"/>
  <c r="T862" i="9"/>
  <c r="S862" i="9"/>
  <c r="R862" i="9"/>
  <c r="P862" i="9"/>
  <c r="O862" i="9"/>
  <c r="N862" i="9"/>
  <c r="M862" i="9"/>
  <c r="L862" i="9"/>
  <c r="K862" i="9"/>
  <c r="J862" i="9"/>
  <c r="AQ861" i="9"/>
  <c r="AP861" i="9"/>
  <c r="AO861" i="9"/>
  <c r="AN861" i="9"/>
  <c r="AM861" i="9"/>
  <c r="AL861" i="9"/>
  <c r="AK861" i="9"/>
  <c r="Z861" i="9"/>
  <c r="A861" i="9"/>
  <c r="AQ860" i="9"/>
  <c r="AP860" i="9"/>
  <c r="AO860" i="9"/>
  <c r="AN860" i="9"/>
  <c r="AM860" i="9"/>
  <c r="AL860" i="9"/>
  <c r="AK860" i="9"/>
  <c r="AQ859" i="9"/>
  <c r="AP859" i="9"/>
  <c r="AO859" i="9"/>
  <c r="AN859" i="9"/>
  <c r="AM859" i="9"/>
  <c r="AL859" i="9"/>
  <c r="AK859" i="9"/>
  <c r="Z859" i="9"/>
  <c r="P859" i="9"/>
  <c r="O859" i="9"/>
  <c r="N859" i="9"/>
  <c r="M859" i="9"/>
  <c r="L859" i="9"/>
  <c r="K859" i="9"/>
  <c r="J859" i="9"/>
  <c r="AQ858" i="9"/>
  <c r="AP858" i="9"/>
  <c r="AO858" i="9"/>
  <c r="AN858" i="9"/>
  <c r="AM858" i="9"/>
  <c r="AL858" i="9"/>
  <c r="AK858" i="9"/>
  <c r="Z858" i="9"/>
  <c r="AQ857" i="9"/>
  <c r="AP857" i="9"/>
  <c r="AO857" i="9"/>
  <c r="AN857" i="9"/>
  <c r="AM857" i="9"/>
  <c r="AL857" i="9"/>
  <c r="AK857" i="9"/>
  <c r="Z856" i="9"/>
  <c r="P856" i="9"/>
  <c r="Z855" i="9"/>
  <c r="P855" i="9"/>
  <c r="Z854" i="9"/>
  <c r="P854" i="9"/>
  <c r="O854" i="9"/>
  <c r="N854" i="9"/>
  <c r="M854" i="9"/>
  <c r="L854" i="9"/>
  <c r="K854" i="9"/>
  <c r="J854" i="9"/>
  <c r="Z853" i="9"/>
  <c r="Z852" i="9"/>
  <c r="X855" i="9"/>
  <c r="W855" i="9"/>
  <c r="V855" i="9"/>
  <c r="U855" i="9"/>
  <c r="S855" i="9"/>
  <c r="R855" i="9"/>
  <c r="P852" i="9"/>
  <c r="O852" i="9"/>
  <c r="N852" i="9"/>
  <c r="M852" i="9"/>
  <c r="L852" i="9"/>
  <c r="K852" i="9"/>
  <c r="J852" i="9"/>
  <c r="AP851" i="9"/>
  <c r="AO851" i="9"/>
  <c r="AN851" i="9"/>
  <c r="AM851" i="9"/>
  <c r="AL851" i="9"/>
  <c r="AK851" i="9"/>
  <c r="Z851" i="9"/>
  <c r="X851" i="9"/>
  <c r="W851" i="9"/>
  <c r="V851" i="9"/>
  <c r="U851" i="9"/>
  <c r="T851" i="9"/>
  <c r="S851" i="9"/>
  <c r="R851" i="9"/>
  <c r="P851" i="9"/>
  <c r="O851" i="9"/>
  <c r="N851" i="9"/>
  <c r="M851" i="9"/>
  <c r="L851" i="9"/>
  <c r="K851" i="9"/>
  <c r="J851" i="9"/>
  <c r="AQ850" i="9"/>
  <c r="AP850" i="9"/>
  <c r="AO850" i="9"/>
  <c r="AN850" i="9"/>
  <c r="AM850" i="9"/>
  <c r="AL850" i="9"/>
  <c r="AK850" i="9"/>
  <c r="Z850" i="9"/>
  <c r="X850" i="9"/>
  <c r="W850" i="9"/>
  <c r="V850" i="9"/>
  <c r="U850" i="9"/>
  <c r="T850" i="9"/>
  <c r="S850" i="9"/>
  <c r="R850" i="9"/>
  <c r="P850" i="9"/>
  <c r="O850" i="9"/>
  <c r="N850" i="9"/>
  <c r="M850" i="9"/>
  <c r="L850" i="9"/>
  <c r="K850" i="9"/>
  <c r="J850" i="9"/>
  <c r="AQ849" i="9"/>
  <c r="AP849" i="9"/>
  <c r="AO849" i="9"/>
  <c r="AN849" i="9"/>
  <c r="AM849" i="9"/>
  <c r="AL849" i="9"/>
  <c r="AK849" i="9"/>
  <c r="Z849" i="9"/>
  <c r="X849" i="9"/>
  <c r="W849" i="9"/>
  <c r="V849" i="9"/>
  <c r="U849" i="9"/>
  <c r="T849" i="9"/>
  <c r="S849" i="9"/>
  <c r="R849" i="9"/>
  <c r="P849" i="9"/>
  <c r="O849" i="9"/>
  <c r="N849" i="9"/>
  <c r="M849" i="9"/>
  <c r="L849" i="9"/>
  <c r="K849" i="9"/>
  <c r="J849" i="9"/>
  <c r="AQ848" i="9"/>
  <c r="AP848" i="9"/>
  <c r="AO848" i="9"/>
  <c r="AN848" i="9"/>
  <c r="AM848" i="9"/>
  <c r="AL848" i="9"/>
  <c r="AK848" i="9"/>
  <c r="Z848" i="9"/>
  <c r="X848" i="9"/>
  <c r="W848" i="9"/>
  <c r="V848" i="9"/>
  <c r="U848" i="9"/>
  <c r="T848" i="9"/>
  <c r="S848" i="9"/>
  <c r="R848" i="9"/>
  <c r="P848" i="9"/>
  <c r="O848" i="9"/>
  <c r="N848" i="9"/>
  <c r="M848" i="9"/>
  <c r="L848" i="9"/>
  <c r="K848" i="9"/>
  <c r="J848" i="9"/>
  <c r="AQ847" i="9"/>
  <c r="AP847" i="9"/>
  <c r="AO847" i="9"/>
  <c r="AN847" i="9"/>
  <c r="AM847" i="9"/>
  <c r="AL847" i="9"/>
  <c r="AK847" i="9"/>
  <c r="Z847" i="9"/>
  <c r="X847" i="9"/>
  <c r="W847" i="9"/>
  <c r="V847" i="9"/>
  <c r="U847" i="9"/>
  <c r="T847" i="9"/>
  <c r="S847" i="9"/>
  <c r="R847" i="9"/>
  <c r="P847" i="9"/>
  <c r="O847" i="9"/>
  <c r="N847" i="9"/>
  <c r="M847" i="9"/>
  <c r="L847" i="9"/>
  <c r="K847" i="9"/>
  <c r="J847" i="9"/>
  <c r="AQ846" i="9"/>
  <c r="AP846" i="9"/>
  <c r="AO846" i="9"/>
  <c r="AN846" i="9"/>
  <c r="AM846" i="9"/>
  <c r="AL846" i="9"/>
  <c r="AK846" i="9"/>
  <c r="Z846" i="9"/>
  <c r="X846" i="9"/>
  <c r="W846" i="9"/>
  <c r="V846" i="9"/>
  <c r="U846" i="9"/>
  <c r="T846" i="9"/>
  <c r="S846" i="9"/>
  <c r="R846" i="9"/>
  <c r="P846" i="9"/>
  <c r="O846" i="9"/>
  <c r="N846" i="9"/>
  <c r="M846" i="9"/>
  <c r="L846" i="9"/>
  <c r="K846" i="9"/>
  <c r="J846" i="9"/>
  <c r="AQ845" i="9"/>
  <c r="AP845" i="9"/>
  <c r="AO845" i="9"/>
  <c r="AN845" i="9"/>
  <c r="AM845" i="9"/>
  <c r="AL845" i="9"/>
  <c r="AK845" i="9"/>
  <c r="Z845" i="9"/>
  <c r="X845" i="9"/>
  <c r="W845" i="9"/>
  <c r="V845" i="9"/>
  <c r="U845" i="9"/>
  <c r="T845" i="9"/>
  <c r="S845" i="9"/>
  <c r="R845" i="9"/>
  <c r="P845" i="9"/>
  <c r="O845" i="9"/>
  <c r="N845" i="9"/>
  <c r="M845" i="9"/>
  <c r="L845" i="9"/>
  <c r="K845" i="9"/>
  <c r="J845" i="9"/>
  <c r="Z844" i="9"/>
  <c r="X844" i="9"/>
  <c r="W844" i="9"/>
  <c r="V844" i="9"/>
  <c r="U844" i="9"/>
  <c r="T844" i="9"/>
  <c r="S844" i="9"/>
  <c r="R844" i="9"/>
  <c r="P844" i="9"/>
  <c r="O844" i="9"/>
  <c r="N844" i="9"/>
  <c r="M844" i="9"/>
  <c r="L844" i="9"/>
  <c r="K844" i="9"/>
  <c r="J844" i="9"/>
  <c r="Z843" i="9"/>
  <c r="X843" i="9"/>
  <c r="W843" i="9"/>
  <c r="V843" i="9"/>
  <c r="U843" i="9"/>
  <c r="T843" i="9"/>
  <c r="S843" i="9"/>
  <c r="R843" i="9"/>
  <c r="P843" i="9"/>
  <c r="O843" i="9"/>
  <c r="N843" i="9"/>
  <c r="M843" i="9"/>
  <c r="L843" i="9"/>
  <c r="K843" i="9"/>
  <c r="J843" i="9"/>
  <c r="Z842" i="9"/>
  <c r="X842" i="9"/>
  <c r="W842" i="9"/>
  <c r="V842" i="9"/>
  <c r="U842" i="9"/>
  <c r="T842" i="9"/>
  <c r="S842" i="9"/>
  <c r="R842" i="9"/>
  <c r="P842" i="9"/>
  <c r="O842" i="9"/>
  <c r="N842" i="9"/>
  <c r="M842" i="9"/>
  <c r="L842" i="9"/>
  <c r="K842" i="9"/>
  <c r="J842" i="9"/>
  <c r="Z841" i="9"/>
  <c r="X841" i="9"/>
  <c r="W841" i="9"/>
  <c r="V841" i="9"/>
  <c r="U841" i="9"/>
  <c r="T841" i="9"/>
  <c r="S841" i="9"/>
  <c r="R841" i="9"/>
  <c r="P841" i="9"/>
  <c r="O841" i="9"/>
  <c r="N841" i="9"/>
  <c r="M841" i="9"/>
  <c r="L841" i="9"/>
  <c r="K841" i="9"/>
  <c r="J841" i="9"/>
  <c r="X840" i="9"/>
  <c r="W840" i="9"/>
  <c r="V840" i="9"/>
  <c r="U840" i="9"/>
  <c r="T840" i="9"/>
  <c r="S840" i="9"/>
  <c r="R840" i="9"/>
  <c r="P840" i="9"/>
  <c r="O840" i="9"/>
  <c r="N840" i="9"/>
  <c r="M840" i="9"/>
  <c r="L840" i="9"/>
  <c r="K840" i="9"/>
  <c r="J840" i="9"/>
  <c r="Z839" i="9"/>
  <c r="X839" i="9"/>
  <c r="W839" i="9"/>
  <c r="V839" i="9"/>
  <c r="U839" i="9"/>
  <c r="T839" i="9"/>
  <c r="S839" i="9"/>
  <c r="R839" i="9"/>
  <c r="P839" i="9"/>
  <c r="O839" i="9"/>
  <c r="N839" i="9"/>
  <c r="M839" i="9"/>
  <c r="L839" i="9"/>
  <c r="K839" i="9"/>
  <c r="J839" i="9"/>
  <c r="Z838" i="9"/>
  <c r="Z837" i="9"/>
  <c r="R837" i="9"/>
  <c r="A837" i="9"/>
  <c r="Z836" i="9"/>
  <c r="Z835" i="9"/>
  <c r="P835" i="9"/>
  <c r="AP834" i="9"/>
  <c r="AO834" i="9"/>
  <c r="AN834" i="9"/>
  <c r="AM834" i="9"/>
  <c r="AL834" i="9"/>
  <c r="AK834" i="9"/>
  <c r="Z834" i="9"/>
  <c r="O834" i="9"/>
  <c r="N834" i="9"/>
  <c r="M834" i="9"/>
  <c r="L834" i="9"/>
  <c r="K834" i="9"/>
  <c r="J834" i="9"/>
  <c r="AQ833" i="9"/>
  <c r="AP833" i="9"/>
  <c r="AO833" i="9"/>
  <c r="AN833" i="9"/>
  <c r="AM833" i="9"/>
  <c r="AL833" i="9"/>
  <c r="AK833" i="9"/>
  <c r="Z833" i="9"/>
  <c r="P833" i="9"/>
  <c r="AQ832" i="9"/>
  <c r="AP832" i="9"/>
  <c r="AO832" i="9"/>
  <c r="AN832" i="9"/>
  <c r="AM832" i="9"/>
  <c r="AL832" i="9"/>
  <c r="AK832" i="9"/>
  <c r="P832" i="9"/>
  <c r="AQ831" i="9"/>
  <c r="AP831" i="9"/>
  <c r="AO831" i="9"/>
  <c r="AN831" i="9"/>
  <c r="AM831" i="9"/>
  <c r="AL831" i="9"/>
  <c r="AK831" i="9"/>
  <c r="Z831" i="9"/>
  <c r="P831" i="9"/>
  <c r="AQ830" i="9"/>
  <c r="AP830" i="9"/>
  <c r="AO830" i="9"/>
  <c r="AN830" i="9"/>
  <c r="AM830" i="9"/>
  <c r="AL830" i="9"/>
  <c r="AK830" i="9"/>
  <c r="Z830" i="9"/>
  <c r="P830" i="9"/>
  <c r="AQ829" i="9"/>
  <c r="AP829" i="9"/>
  <c r="AO829" i="9"/>
  <c r="AN829" i="9"/>
  <c r="AM829" i="9"/>
  <c r="AL829" i="9"/>
  <c r="AK829" i="9"/>
  <c r="Z829" i="9"/>
  <c r="P829" i="9"/>
  <c r="AQ828" i="9"/>
  <c r="AP828" i="9"/>
  <c r="AO828" i="9"/>
  <c r="AN828" i="9"/>
  <c r="AM828" i="9"/>
  <c r="AL828" i="9"/>
  <c r="AK828" i="9"/>
  <c r="Z828" i="9"/>
  <c r="P828" i="9"/>
  <c r="O828" i="9"/>
  <c r="N828" i="9"/>
  <c r="M828" i="9"/>
  <c r="L828" i="9"/>
  <c r="K828" i="9"/>
  <c r="J828" i="9"/>
  <c r="AQ827" i="9"/>
  <c r="AP827" i="9"/>
  <c r="AO827" i="9"/>
  <c r="AN827" i="9"/>
  <c r="AM827" i="9"/>
  <c r="AL827" i="9"/>
  <c r="AK827" i="9"/>
  <c r="P827" i="9"/>
  <c r="AQ826" i="9"/>
  <c r="AP826" i="9"/>
  <c r="AO826" i="9"/>
  <c r="AN826" i="9"/>
  <c r="AM826" i="9"/>
  <c r="AL826" i="9"/>
  <c r="AK826" i="9"/>
  <c r="Z826" i="9"/>
  <c r="P826" i="9"/>
  <c r="AQ825" i="9"/>
  <c r="AP825" i="9"/>
  <c r="AO825" i="9"/>
  <c r="AN825" i="9"/>
  <c r="AM825" i="9"/>
  <c r="AL825" i="9"/>
  <c r="AK825" i="9"/>
  <c r="Z825" i="9"/>
  <c r="P825" i="9"/>
  <c r="AQ824" i="9"/>
  <c r="AP824" i="9"/>
  <c r="AO824" i="9"/>
  <c r="AN824" i="9"/>
  <c r="AM824" i="9"/>
  <c r="AL824" i="9"/>
  <c r="AK824" i="9"/>
  <c r="Z824" i="9"/>
  <c r="P824" i="9"/>
  <c r="AQ823" i="9"/>
  <c r="AP823" i="9"/>
  <c r="AO823" i="9"/>
  <c r="AN823" i="9"/>
  <c r="AM823" i="9"/>
  <c r="AL823" i="9"/>
  <c r="AK823" i="9"/>
  <c r="Z823" i="9"/>
  <c r="P823" i="9"/>
  <c r="AQ822" i="9"/>
  <c r="AP822" i="9"/>
  <c r="AO822" i="9"/>
  <c r="AN822" i="9"/>
  <c r="AM822" i="9"/>
  <c r="AL822" i="9"/>
  <c r="AK822" i="9"/>
  <c r="P822" i="9"/>
  <c r="O822" i="9"/>
  <c r="N822" i="9"/>
  <c r="M822" i="9"/>
  <c r="L822" i="9"/>
  <c r="K822" i="9"/>
  <c r="J822" i="9"/>
  <c r="P819" i="9"/>
  <c r="O819" i="9"/>
  <c r="N819" i="9"/>
  <c r="M819" i="9"/>
  <c r="L819" i="9"/>
  <c r="K819" i="9"/>
  <c r="J819" i="9"/>
  <c r="P818" i="9"/>
  <c r="O818" i="9"/>
  <c r="N818" i="9"/>
  <c r="M818" i="9"/>
  <c r="L818" i="9"/>
  <c r="K818" i="9"/>
  <c r="J818" i="9"/>
  <c r="O798" i="9"/>
  <c r="O804" i="9" s="1"/>
  <c r="M798" i="9"/>
  <c r="M803" i="9" s="1"/>
  <c r="U803" i="9" s="1"/>
  <c r="K800" i="9"/>
  <c r="K801" i="9" s="1"/>
  <c r="J800" i="9"/>
  <c r="J801" i="9" s="1"/>
  <c r="A796" i="9"/>
  <c r="O795" i="9"/>
  <c r="N795" i="9"/>
  <c r="M795" i="9"/>
  <c r="L795" i="9"/>
  <c r="K795" i="9"/>
  <c r="J795" i="9"/>
  <c r="O794" i="9"/>
  <c r="N794" i="9"/>
  <c r="M794" i="9"/>
  <c r="L794" i="9"/>
  <c r="K794" i="9"/>
  <c r="J794" i="9"/>
  <c r="O793" i="9"/>
  <c r="N793" i="9"/>
  <c r="M793" i="9"/>
  <c r="L793" i="9"/>
  <c r="K793" i="9"/>
  <c r="J793" i="9"/>
  <c r="O792" i="9"/>
  <c r="N792" i="9"/>
  <c r="M792" i="9"/>
  <c r="L792" i="9"/>
  <c r="K792" i="9"/>
  <c r="J792" i="9"/>
  <c r="O791" i="9"/>
  <c r="N791" i="9"/>
  <c r="M791" i="9"/>
  <c r="L791" i="9"/>
  <c r="K791" i="9"/>
  <c r="J791" i="9"/>
  <c r="O790" i="9"/>
  <c r="N790" i="9"/>
  <c r="M790" i="9"/>
  <c r="L790" i="9"/>
  <c r="K790" i="9"/>
  <c r="J790" i="9"/>
  <c r="W789" i="9"/>
  <c r="V789" i="9"/>
  <c r="U789" i="9"/>
  <c r="T789" i="9"/>
  <c r="S789" i="9"/>
  <c r="R789" i="9"/>
  <c r="X788" i="9"/>
  <c r="W788" i="9"/>
  <c r="V788" i="9"/>
  <c r="U788" i="9"/>
  <c r="T788" i="9"/>
  <c r="S788" i="9"/>
  <c r="R788" i="9"/>
  <c r="P788" i="9"/>
  <c r="X787" i="9"/>
  <c r="W787" i="9"/>
  <c r="V787" i="9"/>
  <c r="U787" i="9"/>
  <c r="T787" i="9"/>
  <c r="S787" i="9"/>
  <c r="R787" i="9"/>
  <c r="P787" i="9"/>
  <c r="X786" i="9"/>
  <c r="W786" i="9"/>
  <c r="V786" i="9"/>
  <c r="U786" i="9"/>
  <c r="T786" i="9"/>
  <c r="S786" i="9"/>
  <c r="R786" i="9"/>
  <c r="P786" i="9"/>
  <c r="X785" i="9"/>
  <c r="W785" i="9"/>
  <c r="V785" i="9"/>
  <c r="U785" i="9"/>
  <c r="T785" i="9"/>
  <c r="S785" i="9"/>
  <c r="R785" i="9"/>
  <c r="P785" i="9"/>
  <c r="X784" i="9"/>
  <c r="W784" i="9"/>
  <c r="V784" i="9"/>
  <c r="U784" i="9"/>
  <c r="T784" i="9"/>
  <c r="S784" i="9"/>
  <c r="R784" i="9"/>
  <c r="P784" i="9"/>
  <c r="X783" i="9"/>
  <c r="W783" i="9"/>
  <c r="V783" i="9"/>
  <c r="U783" i="9"/>
  <c r="T783" i="9"/>
  <c r="S783" i="9"/>
  <c r="R783" i="9"/>
  <c r="P783" i="9"/>
  <c r="O783" i="9"/>
  <c r="N783" i="9"/>
  <c r="M783" i="9"/>
  <c r="L783" i="9"/>
  <c r="K783" i="9"/>
  <c r="J783" i="9"/>
  <c r="Z782" i="9"/>
  <c r="X782" i="9"/>
  <c r="W782" i="9"/>
  <c r="V782" i="9"/>
  <c r="U782" i="9"/>
  <c r="T782" i="9"/>
  <c r="S782" i="9"/>
  <c r="R782" i="9"/>
  <c r="P782" i="9"/>
  <c r="X781" i="9"/>
  <c r="W781" i="9"/>
  <c r="V781" i="9"/>
  <c r="U781" i="9"/>
  <c r="T781" i="9"/>
  <c r="S781" i="9"/>
  <c r="R781" i="9"/>
  <c r="P781" i="9"/>
  <c r="Z780" i="9"/>
  <c r="X780" i="9"/>
  <c r="W780" i="9"/>
  <c r="V780" i="9"/>
  <c r="U780" i="9"/>
  <c r="T780" i="9"/>
  <c r="S780" i="9"/>
  <c r="R780" i="9"/>
  <c r="P780" i="9"/>
  <c r="Z779" i="9"/>
  <c r="X779" i="9"/>
  <c r="W779" i="9"/>
  <c r="V779" i="9"/>
  <c r="U779" i="9"/>
  <c r="T779" i="9"/>
  <c r="S779" i="9"/>
  <c r="R779" i="9"/>
  <c r="P779" i="9"/>
  <c r="Z778" i="9"/>
  <c r="X778" i="9"/>
  <c r="W778" i="9"/>
  <c r="V778" i="9"/>
  <c r="U778" i="9"/>
  <c r="T778" i="9"/>
  <c r="S778" i="9"/>
  <c r="R778" i="9"/>
  <c r="P778" i="9"/>
  <c r="AQ777" i="9"/>
  <c r="AP777" i="9"/>
  <c r="AO777" i="9"/>
  <c r="AN777" i="9"/>
  <c r="AM777" i="9"/>
  <c r="AL777" i="9"/>
  <c r="AK777" i="9"/>
  <c r="Z777" i="9"/>
  <c r="X777" i="9"/>
  <c r="W777" i="9"/>
  <c r="V777" i="9"/>
  <c r="U777" i="9"/>
  <c r="T777" i="9"/>
  <c r="S777" i="9"/>
  <c r="R777" i="9"/>
  <c r="P777" i="9"/>
  <c r="O777" i="9"/>
  <c r="N777" i="9"/>
  <c r="M777" i="9"/>
  <c r="L777" i="9"/>
  <c r="K777" i="9"/>
  <c r="J777" i="9"/>
  <c r="AQ776" i="9"/>
  <c r="AP776" i="9"/>
  <c r="AO776" i="9"/>
  <c r="AN776" i="9"/>
  <c r="AM776" i="9"/>
  <c r="AL776" i="9"/>
  <c r="AK776" i="9"/>
  <c r="Z776" i="9"/>
  <c r="A776" i="9"/>
  <c r="AQ775" i="9"/>
  <c r="AP775" i="9"/>
  <c r="AO775" i="9"/>
  <c r="AN775" i="9"/>
  <c r="AM775" i="9"/>
  <c r="AL775" i="9"/>
  <c r="AK775" i="9"/>
  <c r="AQ774" i="9"/>
  <c r="AP774" i="9"/>
  <c r="AO774" i="9"/>
  <c r="AN774" i="9"/>
  <c r="AM774" i="9"/>
  <c r="AL774" i="9"/>
  <c r="AK774" i="9"/>
  <c r="Z774" i="9"/>
  <c r="P774" i="9"/>
  <c r="O774" i="9"/>
  <c r="N774" i="9"/>
  <c r="M774" i="9"/>
  <c r="L774" i="9"/>
  <c r="K774" i="9"/>
  <c r="J774" i="9"/>
  <c r="AQ773" i="9"/>
  <c r="AP773" i="9"/>
  <c r="AO773" i="9"/>
  <c r="AN773" i="9"/>
  <c r="AM773" i="9"/>
  <c r="AL773" i="9"/>
  <c r="AK773" i="9"/>
  <c r="Z773" i="9"/>
  <c r="AQ772" i="9"/>
  <c r="AP772" i="9"/>
  <c r="AO772" i="9"/>
  <c r="AN772" i="9"/>
  <c r="AM772" i="9"/>
  <c r="AL772" i="9"/>
  <c r="AK772" i="9"/>
  <c r="Z771" i="9"/>
  <c r="P771" i="9"/>
  <c r="Z770" i="9"/>
  <c r="P770" i="9"/>
  <c r="Z769" i="9"/>
  <c r="P769" i="9"/>
  <c r="O769" i="9"/>
  <c r="N769" i="9"/>
  <c r="M769" i="9"/>
  <c r="L769" i="9"/>
  <c r="K769" i="9"/>
  <c r="J769" i="9"/>
  <c r="Z768" i="9"/>
  <c r="K768" i="9"/>
  <c r="Z767" i="9"/>
  <c r="X770" i="9"/>
  <c r="W770" i="9"/>
  <c r="V770" i="9"/>
  <c r="U770" i="9"/>
  <c r="S770" i="9"/>
  <c r="R770" i="9"/>
  <c r="P767" i="9"/>
  <c r="O767" i="9"/>
  <c r="N767" i="9"/>
  <c r="M767" i="9"/>
  <c r="L767" i="9"/>
  <c r="K767" i="9"/>
  <c r="J767" i="9"/>
  <c r="AP766" i="9"/>
  <c r="AO766" i="9"/>
  <c r="AN766" i="9"/>
  <c r="AM766" i="9"/>
  <c r="AL766" i="9"/>
  <c r="AK766" i="9"/>
  <c r="Z766" i="9"/>
  <c r="X766" i="9"/>
  <c r="W766" i="9"/>
  <c r="V766" i="9"/>
  <c r="U766" i="9"/>
  <c r="T766" i="9"/>
  <c r="S766" i="9"/>
  <c r="R766" i="9"/>
  <c r="P766" i="9"/>
  <c r="O766" i="9"/>
  <c r="N766" i="9"/>
  <c r="M766" i="9"/>
  <c r="L766" i="9"/>
  <c r="K766" i="9"/>
  <c r="J766" i="9"/>
  <c r="AQ765" i="9"/>
  <c r="AP765" i="9"/>
  <c r="AO765" i="9"/>
  <c r="AN765" i="9"/>
  <c r="AM765" i="9"/>
  <c r="AL765" i="9"/>
  <c r="AK765" i="9"/>
  <c r="Z765" i="9"/>
  <c r="X765" i="9"/>
  <c r="W765" i="9"/>
  <c r="V765" i="9"/>
  <c r="U765" i="9"/>
  <c r="T765" i="9"/>
  <c r="S765" i="9"/>
  <c r="R765" i="9"/>
  <c r="P765" i="9"/>
  <c r="O765" i="9"/>
  <c r="N765" i="9"/>
  <c r="M765" i="9"/>
  <c r="L765" i="9"/>
  <c r="K765" i="9"/>
  <c r="J765" i="9"/>
  <c r="AQ764" i="9"/>
  <c r="AP764" i="9"/>
  <c r="AO764" i="9"/>
  <c r="AN764" i="9"/>
  <c r="AM764" i="9"/>
  <c r="AL764" i="9"/>
  <c r="AK764" i="9"/>
  <c r="Z764" i="9"/>
  <c r="X764" i="9"/>
  <c r="W764" i="9"/>
  <c r="V764" i="9"/>
  <c r="U764" i="9"/>
  <c r="T764" i="9"/>
  <c r="S764" i="9"/>
  <c r="R764" i="9"/>
  <c r="P764" i="9"/>
  <c r="O764" i="9"/>
  <c r="N764" i="9"/>
  <c r="M764" i="9"/>
  <c r="L764" i="9"/>
  <c r="K764" i="9"/>
  <c r="J764" i="9"/>
  <c r="AQ763" i="9"/>
  <c r="AP763" i="9"/>
  <c r="AO763" i="9"/>
  <c r="AN763" i="9"/>
  <c r="AM763" i="9"/>
  <c r="AL763" i="9"/>
  <c r="AK763" i="9"/>
  <c r="Z763" i="9"/>
  <c r="X763" i="9"/>
  <c r="W763" i="9"/>
  <c r="V763" i="9"/>
  <c r="U763" i="9"/>
  <c r="T763" i="9"/>
  <c r="S763" i="9"/>
  <c r="R763" i="9"/>
  <c r="P763" i="9"/>
  <c r="O763" i="9"/>
  <c r="N763" i="9"/>
  <c r="M763" i="9"/>
  <c r="L763" i="9"/>
  <c r="K763" i="9"/>
  <c r="J763" i="9"/>
  <c r="AQ762" i="9"/>
  <c r="AP762" i="9"/>
  <c r="AO762" i="9"/>
  <c r="AN762" i="9"/>
  <c r="AM762" i="9"/>
  <c r="AL762" i="9"/>
  <c r="AK762" i="9"/>
  <c r="Z762" i="9"/>
  <c r="X762" i="9"/>
  <c r="W762" i="9"/>
  <c r="V762" i="9"/>
  <c r="U762" i="9"/>
  <c r="T762" i="9"/>
  <c r="S762" i="9"/>
  <c r="R762" i="9"/>
  <c r="P762" i="9"/>
  <c r="O762" i="9"/>
  <c r="N762" i="9"/>
  <c r="M762" i="9"/>
  <c r="L762" i="9"/>
  <c r="K762" i="9"/>
  <c r="J762" i="9"/>
  <c r="AQ761" i="9"/>
  <c r="AP761" i="9"/>
  <c r="AO761" i="9"/>
  <c r="AN761" i="9"/>
  <c r="AM761" i="9"/>
  <c r="AL761" i="9"/>
  <c r="AK761" i="9"/>
  <c r="Z761" i="9"/>
  <c r="X761" i="9"/>
  <c r="W761" i="9"/>
  <c r="V761" i="9"/>
  <c r="U761" i="9"/>
  <c r="T761" i="9"/>
  <c r="S761" i="9"/>
  <c r="R761" i="9"/>
  <c r="P761" i="9"/>
  <c r="O761" i="9"/>
  <c r="N761" i="9"/>
  <c r="M761" i="9"/>
  <c r="L761" i="9"/>
  <c r="K761" i="9"/>
  <c r="J761" i="9"/>
  <c r="AQ760" i="9"/>
  <c r="AP760" i="9"/>
  <c r="AO760" i="9"/>
  <c r="AN760" i="9"/>
  <c r="AM760" i="9"/>
  <c r="AL760" i="9"/>
  <c r="AK760" i="9"/>
  <c r="Z760" i="9"/>
  <c r="X760" i="9"/>
  <c r="W760" i="9"/>
  <c r="V760" i="9"/>
  <c r="U760" i="9"/>
  <c r="T760" i="9"/>
  <c r="S760" i="9"/>
  <c r="R760" i="9"/>
  <c r="P760" i="9"/>
  <c r="O760" i="9"/>
  <c r="N760" i="9"/>
  <c r="M760" i="9"/>
  <c r="L760" i="9"/>
  <c r="K760" i="9"/>
  <c r="J760" i="9"/>
  <c r="Z759" i="9"/>
  <c r="X759" i="9"/>
  <c r="W759" i="9"/>
  <c r="V759" i="9"/>
  <c r="U759" i="9"/>
  <c r="T759" i="9"/>
  <c r="S759" i="9"/>
  <c r="R759" i="9"/>
  <c r="P759" i="9"/>
  <c r="O759" i="9"/>
  <c r="N759" i="9"/>
  <c r="M759" i="9"/>
  <c r="L759" i="9"/>
  <c r="K759" i="9"/>
  <c r="J759" i="9"/>
  <c r="Z758" i="9"/>
  <c r="X758" i="9"/>
  <c r="W758" i="9"/>
  <c r="V758" i="9"/>
  <c r="U758" i="9"/>
  <c r="T758" i="9"/>
  <c r="S758" i="9"/>
  <c r="R758" i="9"/>
  <c r="P758" i="9"/>
  <c r="O758" i="9"/>
  <c r="N758" i="9"/>
  <c r="M758" i="9"/>
  <c r="L758" i="9"/>
  <c r="K758" i="9"/>
  <c r="J758" i="9"/>
  <c r="Z757" i="9"/>
  <c r="X757" i="9"/>
  <c r="W757" i="9"/>
  <c r="V757" i="9"/>
  <c r="U757" i="9"/>
  <c r="T757" i="9"/>
  <c r="S757" i="9"/>
  <c r="R757" i="9"/>
  <c r="P757" i="9"/>
  <c r="O757" i="9"/>
  <c r="N757" i="9"/>
  <c r="M757" i="9"/>
  <c r="L757" i="9"/>
  <c r="K757" i="9"/>
  <c r="J757" i="9"/>
  <c r="Z756" i="9"/>
  <c r="X756" i="9"/>
  <c r="W756" i="9"/>
  <c r="V756" i="9"/>
  <c r="U756" i="9"/>
  <c r="T756" i="9"/>
  <c r="S756" i="9"/>
  <c r="R756" i="9"/>
  <c r="P756" i="9"/>
  <c r="O756" i="9"/>
  <c r="N756" i="9"/>
  <c r="M756" i="9"/>
  <c r="L756" i="9"/>
  <c r="K756" i="9"/>
  <c r="J756" i="9"/>
  <c r="X755" i="9"/>
  <c r="W755" i="9"/>
  <c r="V755" i="9"/>
  <c r="U755" i="9"/>
  <c r="T755" i="9"/>
  <c r="S755" i="9"/>
  <c r="R755" i="9"/>
  <c r="P755" i="9"/>
  <c r="O755" i="9"/>
  <c r="N755" i="9"/>
  <c r="M755" i="9"/>
  <c r="L755" i="9"/>
  <c r="K755" i="9"/>
  <c r="J755" i="9"/>
  <c r="Z754" i="9"/>
  <c r="X754" i="9"/>
  <c r="W754" i="9"/>
  <c r="V754" i="9"/>
  <c r="U754" i="9"/>
  <c r="T754" i="9"/>
  <c r="S754" i="9"/>
  <c r="R754" i="9"/>
  <c r="P754" i="9"/>
  <c r="O754" i="9"/>
  <c r="N754" i="9"/>
  <c r="M754" i="9"/>
  <c r="L754" i="9"/>
  <c r="K754" i="9"/>
  <c r="J754" i="9"/>
  <c r="Z753" i="9"/>
  <c r="Z752" i="9"/>
  <c r="A752" i="9"/>
  <c r="Z751" i="9"/>
  <c r="Z750" i="9"/>
  <c r="P750" i="9"/>
  <c r="O750" i="9"/>
  <c r="N750" i="9"/>
  <c r="M750" i="9"/>
  <c r="L750" i="9"/>
  <c r="K750" i="9"/>
  <c r="J750" i="9"/>
  <c r="AP749" i="9"/>
  <c r="AO749" i="9"/>
  <c r="AN749" i="9"/>
  <c r="AM749" i="9"/>
  <c r="AL749" i="9"/>
  <c r="AK749" i="9"/>
  <c r="Z749" i="9"/>
  <c r="O749" i="9"/>
  <c r="N749" i="9"/>
  <c r="M749" i="9"/>
  <c r="L749" i="9"/>
  <c r="K749" i="9"/>
  <c r="J749" i="9"/>
  <c r="AQ748" i="9"/>
  <c r="AP748" i="9"/>
  <c r="AO748" i="9"/>
  <c r="AN748" i="9"/>
  <c r="AM748" i="9"/>
  <c r="AL748" i="9"/>
  <c r="AK748" i="9"/>
  <c r="Z748" i="9"/>
  <c r="P748" i="9"/>
  <c r="AQ747" i="9"/>
  <c r="AP747" i="9"/>
  <c r="AO747" i="9"/>
  <c r="AN747" i="9"/>
  <c r="AM747" i="9"/>
  <c r="AL747" i="9"/>
  <c r="AK747" i="9"/>
  <c r="P747" i="9"/>
  <c r="AQ746" i="9"/>
  <c r="AP746" i="9"/>
  <c r="AO746" i="9"/>
  <c r="AN746" i="9"/>
  <c r="AM746" i="9"/>
  <c r="AL746" i="9"/>
  <c r="AK746" i="9"/>
  <c r="Z746" i="9"/>
  <c r="P746" i="9"/>
  <c r="AQ745" i="9"/>
  <c r="AP745" i="9"/>
  <c r="AO745" i="9"/>
  <c r="AN745" i="9"/>
  <c r="AM745" i="9"/>
  <c r="AL745" i="9"/>
  <c r="AK745" i="9"/>
  <c r="Z745" i="9"/>
  <c r="P745" i="9"/>
  <c r="AQ744" i="9"/>
  <c r="AP744" i="9"/>
  <c r="AO744" i="9"/>
  <c r="AN744" i="9"/>
  <c r="AM744" i="9"/>
  <c r="AL744" i="9"/>
  <c r="AK744" i="9"/>
  <c r="Z744" i="9"/>
  <c r="P744" i="9"/>
  <c r="AQ743" i="9"/>
  <c r="AP743" i="9"/>
  <c r="AO743" i="9"/>
  <c r="AN743" i="9"/>
  <c r="AM743" i="9"/>
  <c r="AL743" i="9"/>
  <c r="AK743" i="9"/>
  <c r="Z743" i="9"/>
  <c r="P743" i="9"/>
  <c r="O743" i="9"/>
  <c r="N743" i="9"/>
  <c r="M743" i="9"/>
  <c r="L743" i="9"/>
  <c r="K743" i="9"/>
  <c r="J743" i="9"/>
  <c r="AQ742" i="9"/>
  <c r="AP742" i="9"/>
  <c r="AO742" i="9"/>
  <c r="AN742" i="9"/>
  <c r="AM742" i="9"/>
  <c r="AL742" i="9"/>
  <c r="AK742" i="9"/>
  <c r="P742" i="9"/>
  <c r="AQ741" i="9"/>
  <c r="AP741" i="9"/>
  <c r="AO741" i="9"/>
  <c r="AN741" i="9"/>
  <c r="AM741" i="9"/>
  <c r="AL741" i="9"/>
  <c r="AK741" i="9"/>
  <c r="Z741" i="9"/>
  <c r="P741" i="9"/>
  <c r="AQ740" i="9"/>
  <c r="AP740" i="9"/>
  <c r="AO740" i="9"/>
  <c r="AN740" i="9"/>
  <c r="AM740" i="9"/>
  <c r="AL740" i="9"/>
  <c r="AK740" i="9"/>
  <c r="Z740" i="9"/>
  <c r="P740" i="9"/>
  <c r="AQ739" i="9"/>
  <c r="AP739" i="9"/>
  <c r="AO739" i="9"/>
  <c r="AN739" i="9"/>
  <c r="AM739" i="9"/>
  <c r="AL739" i="9"/>
  <c r="AK739" i="9"/>
  <c r="Z739" i="9"/>
  <c r="P739" i="9"/>
  <c r="AQ738" i="9"/>
  <c r="AP738" i="9"/>
  <c r="AO738" i="9"/>
  <c r="AN738" i="9"/>
  <c r="AM738" i="9"/>
  <c r="AL738" i="9"/>
  <c r="AK738" i="9"/>
  <c r="Z738" i="9"/>
  <c r="P738" i="9"/>
  <c r="AQ737" i="9"/>
  <c r="AP737" i="9"/>
  <c r="AO737" i="9"/>
  <c r="AN737" i="9"/>
  <c r="AM737" i="9"/>
  <c r="AL737" i="9"/>
  <c r="AK737" i="9"/>
  <c r="P737" i="9"/>
  <c r="O737" i="9"/>
  <c r="N737" i="9"/>
  <c r="M737" i="9"/>
  <c r="L737" i="9"/>
  <c r="K737" i="9"/>
  <c r="J737" i="9"/>
  <c r="P734" i="9"/>
  <c r="O734" i="9"/>
  <c r="N734" i="9"/>
  <c r="M734" i="9"/>
  <c r="L734" i="9"/>
  <c r="K734" i="9"/>
  <c r="J734" i="9"/>
  <c r="A711" i="9"/>
  <c r="O710" i="9"/>
  <c r="N710" i="9"/>
  <c r="M710" i="9"/>
  <c r="L710" i="9"/>
  <c r="K710" i="9"/>
  <c r="J710" i="9"/>
  <c r="O709" i="9"/>
  <c r="N709" i="9"/>
  <c r="M709" i="9"/>
  <c r="L709" i="9"/>
  <c r="K709" i="9"/>
  <c r="J709" i="9"/>
  <c r="O708" i="9"/>
  <c r="N708" i="9"/>
  <c r="M708" i="9"/>
  <c r="L708" i="9"/>
  <c r="K708" i="9"/>
  <c r="J708" i="9"/>
  <c r="O707" i="9"/>
  <c r="N707" i="9"/>
  <c r="M707" i="9"/>
  <c r="L707" i="9"/>
  <c r="K707" i="9"/>
  <c r="J707" i="9"/>
  <c r="O706" i="9"/>
  <c r="N706" i="9"/>
  <c r="M706" i="9"/>
  <c r="L706" i="9"/>
  <c r="K706" i="9"/>
  <c r="J706" i="9"/>
  <c r="O705" i="9"/>
  <c r="N705" i="9"/>
  <c r="M705" i="9"/>
  <c r="L705" i="9"/>
  <c r="K705" i="9"/>
  <c r="J705" i="9"/>
  <c r="W704" i="9"/>
  <c r="V704" i="9"/>
  <c r="U704" i="9"/>
  <c r="T704" i="9"/>
  <c r="S704" i="9"/>
  <c r="R704" i="9"/>
  <c r="X703" i="9"/>
  <c r="W703" i="9"/>
  <c r="V703" i="9"/>
  <c r="U703" i="9"/>
  <c r="T703" i="9"/>
  <c r="S703" i="9"/>
  <c r="R703" i="9"/>
  <c r="P703" i="9"/>
  <c r="X702" i="9"/>
  <c r="W702" i="9"/>
  <c r="V702" i="9"/>
  <c r="U702" i="9"/>
  <c r="T702" i="9"/>
  <c r="S702" i="9"/>
  <c r="R702" i="9"/>
  <c r="P702" i="9"/>
  <c r="X701" i="9"/>
  <c r="W701" i="9"/>
  <c r="V701" i="9"/>
  <c r="U701" i="9"/>
  <c r="T701" i="9"/>
  <c r="S701" i="9"/>
  <c r="R701" i="9"/>
  <c r="P701" i="9"/>
  <c r="X700" i="9"/>
  <c r="W700" i="9"/>
  <c r="V700" i="9"/>
  <c r="U700" i="9"/>
  <c r="T700" i="9"/>
  <c r="S700" i="9"/>
  <c r="R700" i="9"/>
  <c r="P700" i="9"/>
  <c r="X699" i="9"/>
  <c r="W699" i="9"/>
  <c r="V699" i="9"/>
  <c r="U699" i="9"/>
  <c r="T699" i="9"/>
  <c r="S699" i="9"/>
  <c r="R699" i="9"/>
  <c r="P699" i="9"/>
  <c r="X698" i="9"/>
  <c r="W698" i="9"/>
  <c r="V698" i="9"/>
  <c r="U698" i="9"/>
  <c r="T698" i="9"/>
  <c r="S698" i="9"/>
  <c r="R698" i="9"/>
  <c r="P698" i="9"/>
  <c r="O698" i="9"/>
  <c r="N698" i="9"/>
  <c r="M698" i="9"/>
  <c r="L698" i="9"/>
  <c r="K698" i="9"/>
  <c r="J698" i="9"/>
  <c r="Z697" i="9"/>
  <c r="X697" i="9"/>
  <c r="W697" i="9"/>
  <c r="V697" i="9"/>
  <c r="U697" i="9"/>
  <c r="T697" i="9"/>
  <c r="S697" i="9"/>
  <c r="R697" i="9"/>
  <c r="P697" i="9"/>
  <c r="X696" i="9"/>
  <c r="W696" i="9"/>
  <c r="V696" i="9"/>
  <c r="U696" i="9"/>
  <c r="T696" i="9"/>
  <c r="S696" i="9"/>
  <c r="R696" i="9"/>
  <c r="P696" i="9"/>
  <c r="Z695" i="9"/>
  <c r="X695" i="9"/>
  <c r="W695" i="9"/>
  <c r="V695" i="9"/>
  <c r="U695" i="9"/>
  <c r="T695" i="9"/>
  <c r="S695" i="9"/>
  <c r="R695" i="9"/>
  <c r="P695" i="9"/>
  <c r="Z694" i="9"/>
  <c r="X694" i="9"/>
  <c r="W694" i="9"/>
  <c r="V694" i="9"/>
  <c r="U694" i="9"/>
  <c r="T694" i="9"/>
  <c r="S694" i="9"/>
  <c r="R694" i="9"/>
  <c r="P694" i="9"/>
  <c r="Z693" i="9"/>
  <c r="X693" i="9"/>
  <c r="W693" i="9"/>
  <c r="V693" i="9"/>
  <c r="U693" i="9"/>
  <c r="T693" i="9"/>
  <c r="S693" i="9"/>
  <c r="R693" i="9"/>
  <c r="P693" i="9"/>
  <c r="Z692" i="9"/>
  <c r="X692" i="9"/>
  <c r="W692" i="9"/>
  <c r="V692" i="9"/>
  <c r="U692" i="9"/>
  <c r="T692" i="9"/>
  <c r="S692" i="9"/>
  <c r="R692" i="9"/>
  <c r="P692" i="9"/>
  <c r="O692" i="9"/>
  <c r="N692" i="9"/>
  <c r="M692" i="9"/>
  <c r="L692" i="9"/>
  <c r="K692" i="9"/>
  <c r="J692" i="9"/>
  <c r="Z691" i="9"/>
  <c r="A691" i="9"/>
  <c r="Z689" i="9"/>
  <c r="P689" i="9"/>
  <c r="O689" i="9"/>
  <c r="N689" i="9"/>
  <c r="M689" i="9"/>
  <c r="L689" i="9"/>
  <c r="K689" i="9"/>
  <c r="J689" i="9"/>
  <c r="Z688" i="9"/>
  <c r="O688" i="9"/>
  <c r="N688" i="9"/>
  <c r="M688" i="9"/>
  <c r="L688" i="9"/>
  <c r="K688" i="9"/>
  <c r="J688" i="9"/>
  <c r="P687" i="9"/>
  <c r="O687" i="9"/>
  <c r="N687" i="9"/>
  <c r="M687" i="9"/>
  <c r="L687" i="9"/>
  <c r="K687" i="9"/>
  <c r="J687" i="9"/>
  <c r="Z686" i="9"/>
  <c r="P686" i="9"/>
  <c r="Z685" i="9"/>
  <c r="P685" i="9"/>
  <c r="Z684" i="9"/>
  <c r="P684" i="9"/>
  <c r="O684" i="9"/>
  <c r="N684" i="9"/>
  <c r="M684" i="9"/>
  <c r="L684" i="9"/>
  <c r="K684" i="9"/>
  <c r="J684" i="9"/>
  <c r="Z683" i="9"/>
  <c r="Z682" i="9"/>
  <c r="W685" i="9"/>
  <c r="P682" i="9"/>
  <c r="O682" i="9"/>
  <c r="N682" i="9"/>
  <c r="M682" i="9"/>
  <c r="L682" i="9"/>
  <c r="K682" i="9"/>
  <c r="J682" i="9"/>
  <c r="AP681" i="9"/>
  <c r="AO681" i="9"/>
  <c r="AN681" i="9"/>
  <c r="AM681" i="9"/>
  <c r="AL681" i="9"/>
  <c r="AK681" i="9"/>
  <c r="Z681" i="9"/>
  <c r="X681" i="9"/>
  <c r="W681" i="9"/>
  <c r="V681" i="9"/>
  <c r="U681" i="9"/>
  <c r="T681" i="9"/>
  <c r="S681" i="9"/>
  <c r="R681" i="9"/>
  <c r="P681" i="9"/>
  <c r="O681" i="9"/>
  <c r="N681" i="9"/>
  <c r="M681" i="9"/>
  <c r="L681" i="9"/>
  <c r="K681" i="9"/>
  <c r="J681" i="9"/>
  <c r="AQ680" i="9"/>
  <c r="AP680" i="9"/>
  <c r="AO680" i="9"/>
  <c r="AN680" i="9"/>
  <c r="AM680" i="9"/>
  <c r="AL680" i="9"/>
  <c r="AK680" i="9"/>
  <c r="Z680" i="9"/>
  <c r="X680" i="9"/>
  <c r="W680" i="9"/>
  <c r="V680" i="9"/>
  <c r="U680" i="9"/>
  <c r="T680" i="9"/>
  <c r="S680" i="9"/>
  <c r="R680" i="9"/>
  <c r="P680" i="9"/>
  <c r="O680" i="9"/>
  <c r="N680" i="9"/>
  <c r="M680" i="9"/>
  <c r="L680" i="9"/>
  <c r="K680" i="9"/>
  <c r="J680" i="9"/>
  <c r="AQ679" i="9"/>
  <c r="AP679" i="9"/>
  <c r="AO679" i="9"/>
  <c r="AN679" i="9"/>
  <c r="AM679" i="9"/>
  <c r="AL679" i="9"/>
  <c r="AK679" i="9"/>
  <c r="Z679" i="9"/>
  <c r="X679" i="9"/>
  <c r="W679" i="9"/>
  <c r="V679" i="9"/>
  <c r="U679" i="9"/>
  <c r="T679" i="9"/>
  <c r="S679" i="9"/>
  <c r="R679" i="9"/>
  <c r="P679" i="9"/>
  <c r="O679" i="9"/>
  <c r="N679" i="9"/>
  <c r="M679" i="9"/>
  <c r="L679" i="9"/>
  <c r="K679" i="9"/>
  <c r="J679" i="9"/>
  <c r="AQ678" i="9"/>
  <c r="AP678" i="9"/>
  <c r="AO678" i="9"/>
  <c r="AN678" i="9"/>
  <c r="AM678" i="9"/>
  <c r="AL678" i="9"/>
  <c r="AK678" i="9"/>
  <c r="Z678" i="9"/>
  <c r="X678" i="9"/>
  <c r="W678" i="9"/>
  <c r="V678" i="9"/>
  <c r="U678" i="9"/>
  <c r="T678" i="9"/>
  <c r="S678" i="9"/>
  <c r="R678" i="9"/>
  <c r="P678" i="9"/>
  <c r="O678" i="9"/>
  <c r="N678" i="9"/>
  <c r="M678" i="9"/>
  <c r="L678" i="9"/>
  <c r="K678" i="9"/>
  <c r="J678" i="9"/>
  <c r="AQ677" i="9"/>
  <c r="AP677" i="9"/>
  <c r="AO677" i="9"/>
  <c r="AN677" i="9"/>
  <c r="AM677" i="9"/>
  <c r="AL677" i="9"/>
  <c r="AK677" i="9"/>
  <c r="Z677" i="9"/>
  <c r="X677" i="9"/>
  <c r="W677" i="9"/>
  <c r="V677" i="9"/>
  <c r="U677" i="9"/>
  <c r="T677" i="9"/>
  <c r="S677" i="9"/>
  <c r="R677" i="9"/>
  <c r="P677" i="9"/>
  <c r="O677" i="9"/>
  <c r="N677" i="9"/>
  <c r="M677" i="9"/>
  <c r="L677" i="9"/>
  <c r="K677" i="9"/>
  <c r="J677" i="9"/>
  <c r="AQ676" i="9"/>
  <c r="AP676" i="9"/>
  <c r="AO676" i="9"/>
  <c r="AN676" i="9"/>
  <c r="AM676" i="9"/>
  <c r="AL676" i="9"/>
  <c r="AK676" i="9"/>
  <c r="Z676" i="9"/>
  <c r="X676" i="9"/>
  <c r="W676" i="9"/>
  <c r="V676" i="9"/>
  <c r="U676" i="9"/>
  <c r="T676" i="9"/>
  <c r="S676" i="9"/>
  <c r="R676" i="9"/>
  <c r="P676" i="9"/>
  <c r="O676" i="9"/>
  <c r="N676" i="9"/>
  <c r="M676" i="9"/>
  <c r="L676" i="9"/>
  <c r="K676" i="9"/>
  <c r="J676" i="9"/>
  <c r="AQ675" i="9"/>
  <c r="AP675" i="9"/>
  <c r="AO675" i="9"/>
  <c r="AN675" i="9"/>
  <c r="AM675" i="9"/>
  <c r="AL675" i="9"/>
  <c r="AK675" i="9"/>
  <c r="Z675" i="9"/>
  <c r="X675" i="9"/>
  <c r="W675" i="9"/>
  <c r="V675" i="9"/>
  <c r="U675" i="9"/>
  <c r="T675" i="9"/>
  <c r="S675" i="9"/>
  <c r="R675" i="9"/>
  <c r="P675" i="9"/>
  <c r="O675" i="9"/>
  <c r="N675" i="9"/>
  <c r="M675" i="9"/>
  <c r="L675" i="9"/>
  <c r="K675" i="9"/>
  <c r="J675" i="9"/>
  <c r="Z674" i="9"/>
  <c r="X674" i="9"/>
  <c r="W674" i="9"/>
  <c r="V674" i="9"/>
  <c r="U674" i="9"/>
  <c r="T674" i="9"/>
  <c r="S674" i="9"/>
  <c r="R674" i="9"/>
  <c r="P674" i="9"/>
  <c r="O674" i="9"/>
  <c r="N674" i="9"/>
  <c r="M674" i="9"/>
  <c r="L674" i="9"/>
  <c r="K674" i="9"/>
  <c r="J674" i="9"/>
  <c r="Z673" i="9"/>
  <c r="X673" i="9"/>
  <c r="W673" i="9"/>
  <c r="V673" i="9"/>
  <c r="U673" i="9"/>
  <c r="T673" i="9"/>
  <c r="S673" i="9"/>
  <c r="R673" i="9"/>
  <c r="P673" i="9"/>
  <c r="O673" i="9"/>
  <c r="N673" i="9"/>
  <c r="M673" i="9"/>
  <c r="L673" i="9"/>
  <c r="K673" i="9"/>
  <c r="J673" i="9"/>
  <c r="Z672" i="9"/>
  <c r="X672" i="9"/>
  <c r="W672" i="9"/>
  <c r="V672" i="9"/>
  <c r="U672" i="9"/>
  <c r="T672" i="9"/>
  <c r="S672" i="9"/>
  <c r="R672" i="9"/>
  <c r="P672" i="9"/>
  <c r="O672" i="9"/>
  <c r="N672" i="9"/>
  <c r="M672" i="9"/>
  <c r="L672" i="9"/>
  <c r="K672" i="9"/>
  <c r="J672" i="9"/>
  <c r="Z671" i="9"/>
  <c r="X671" i="9"/>
  <c r="W671" i="9"/>
  <c r="V671" i="9"/>
  <c r="U671" i="9"/>
  <c r="T671" i="9"/>
  <c r="S671" i="9"/>
  <c r="R671" i="9"/>
  <c r="P671" i="9"/>
  <c r="O671" i="9"/>
  <c r="N671" i="9"/>
  <c r="M671" i="9"/>
  <c r="L671" i="9"/>
  <c r="K671" i="9"/>
  <c r="J671" i="9"/>
  <c r="X670" i="9"/>
  <c r="W670" i="9"/>
  <c r="V670" i="9"/>
  <c r="U670" i="9"/>
  <c r="T670" i="9"/>
  <c r="S670" i="9"/>
  <c r="R670" i="9"/>
  <c r="P670" i="9"/>
  <c r="O670" i="9"/>
  <c r="N670" i="9"/>
  <c r="M670" i="9"/>
  <c r="L670" i="9"/>
  <c r="K670" i="9"/>
  <c r="J670" i="9"/>
  <c r="Z669" i="9"/>
  <c r="X669" i="9"/>
  <c r="W669" i="9"/>
  <c r="V669" i="9"/>
  <c r="U669" i="9"/>
  <c r="T669" i="9"/>
  <c r="S669" i="9"/>
  <c r="R669" i="9"/>
  <c r="P669" i="9"/>
  <c r="O669" i="9"/>
  <c r="N669" i="9"/>
  <c r="M669" i="9"/>
  <c r="L669" i="9"/>
  <c r="K669" i="9"/>
  <c r="J669" i="9"/>
  <c r="Z668" i="9"/>
  <c r="Z667" i="9"/>
  <c r="A667" i="9"/>
  <c r="Z666" i="9"/>
  <c r="Z665" i="9"/>
  <c r="P665" i="9"/>
  <c r="O665" i="9"/>
  <c r="N665" i="9"/>
  <c r="M665" i="9"/>
  <c r="L665" i="9"/>
  <c r="K665" i="9"/>
  <c r="J665" i="9"/>
  <c r="AP664" i="9"/>
  <c r="AO664" i="9"/>
  <c r="AN664" i="9"/>
  <c r="AM664" i="9"/>
  <c r="AL664" i="9"/>
  <c r="AK664" i="9"/>
  <c r="Z664" i="9"/>
  <c r="O664" i="9"/>
  <c r="N664" i="9"/>
  <c r="M664" i="9"/>
  <c r="L664" i="9"/>
  <c r="K664" i="9"/>
  <c r="J664" i="9"/>
  <c r="AQ663" i="9"/>
  <c r="AP663" i="9"/>
  <c r="AO663" i="9"/>
  <c r="AN663" i="9"/>
  <c r="AM663" i="9"/>
  <c r="AL663" i="9"/>
  <c r="AK663" i="9"/>
  <c r="Z663" i="9"/>
  <c r="P663" i="9"/>
  <c r="AQ662" i="9"/>
  <c r="AP662" i="9"/>
  <c r="AO662" i="9"/>
  <c r="AN662" i="9"/>
  <c r="AM662" i="9"/>
  <c r="AL662" i="9"/>
  <c r="AK662" i="9"/>
  <c r="P662" i="9"/>
  <c r="AQ661" i="9"/>
  <c r="AP661" i="9"/>
  <c r="AO661" i="9"/>
  <c r="AN661" i="9"/>
  <c r="AM661" i="9"/>
  <c r="AL661" i="9"/>
  <c r="AK661" i="9"/>
  <c r="Z661" i="9"/>
  <c r="P661" i="9"/>
  <c r="AQ660" i="9"/>
  <c r="AP660" i="9"/>
  <c r="AO660" i="9"/>
  <c r="AN660" i="9"/>
  <c r="AM660" i="9"/>
  <c r="AL660" i="9"/>
  <c r="AK660" i="9"/>
  <c r="Z660" i="9"/>
  <c r="P660" i="9"/>
  <c r="AQ659" i="9"/>
  <c r="AP659" i="9"/>
  <c r="AO659" i="9"/>
  <c r="AN659" i="9"/>
  <c r="AM659" i="9"/>
  <c r="AL659" i="9"/>
  <c r="AK659" i="9"/>
  <c r="Z659" i="9"/>
  <c r="P659" i="9"/>
  <c r="AQ658" i="9"/>
  <c r="AP658" i="9"/>
  <c r="AO658" i="9"/>
  <c r="AN658" i="9"/>
  <c r="AM658" i="9"/>
  <c r="AL658" i="9"/>
  <c r="AK658" i="9"/>
  <c r="Z658" i="9"/>
  <c r="P658" i="9"/>
  <c r="O658" i="9"/>
  <c r="N658" i="9"/>
  <c r="M658" i="9"/>
  <c r="L658" i="9"/>
  <c r="K658" i="9"/>
  <c r="J658" i="9"/>
  <c r="AQ657" i="9"/>
  <c r="AP657" i="9"/>
  <c r="AO657" i="9"/>
  <c r="AN657" i="9"/>
  <c r="AM657" i="9"/>
  <c r="AL657" i="9"/>
  <c r="AK657" i="9"/>
  <c r="P657" i="9"/>
  <c r="AQ656" i="9"/>
  <c r="AP656" i="9"/>
  <c r="AO656" i="9"/>
  <c r="AN656" i="9"/>
  <c r="AM656" i="9"/>
  <c r="AL656" i="9"/>
  <c r="AK656" i="9"/>
  <c r="Z656" i="9"/>
  <c r="P656" i="9"/>
  <c r="AQ655" i="9"/>
  <c r="AP655" i="9"/>
  <c r="AO655" i="9"/>
  <c r="AN655" i="9"/>
  <c r="AM655" i="9"/>
  <c r="AL655" i="9"/>
  <c r="AK655" i="9"/>
  <c r="Z655" i="9"/>
  <c r="P655" i="9"/>
  <c r="AQ654" i="9"/>
  <c r="AP654" i="9"/>
  <c r="AO654" i="9"/>
  <c r="AN654" i="9"/>
  <c r="AM654" i="9"/>
  <c r="AL654" i="9"/>
  <c r="AK654" i="9"/>
  <c r="Z654" i="9"/>
  <c r="P654" i="9"/>
  <c r="AQ653" i="9"/>
  <c r="AP653" i="9"/>
  <c r="AO653" i="9"/>
  <c r="AN653" i="9"/>
  <c r="AM653" i="9"/>
  <c r="AL653" i="9"/>
  <c r="AK653" i="9"/>
  <c r="Z653" i="9"/>
  <c r="P653" i="9"/>
  <c r="AQ652" i="9"/>
  <c r="AP652" i="9"/>
  <c r="AO652" i="9"/>
  <c r="AN652" i="9"/>
  <c r="AM652" i="9"/>
  <c r="AL652" i="9"/>
  <c r="AK652" i="9"/>
  <c r="P652" i="9"/>
  <c r="O652" i="9"/>
  <c r="N652" i="9"/>
  <c r="M652" i="9"/>
  <c r="L652" i="9"/>
  <c r="K652" i="9"/>
  <c r="J652" i="9"/>
  <c r="P649" i="9"/>
  <c r="O649" i="9"/>
  <c r="N649" i="9"/>
  <c r="M649" i="9"/>
  <c r="L649" i="9"/>
  <c r="K649" i="9"/>
  <c r="J649" i="9"/>
  <c r="P626" i="9"/>
  <c r="O626" i="9"/>
  <c r="N626" i="9"/>
  <c r="M626" i="9"/>
  <c r="L626" i="9"/>
  <c r="K626" i="9"/>
  <c r="J626" i="9"/>
  <c r="A626" i="9"/>
  <c r="O625" i="9"/>
  <c r="N625" i="9"/>
  <c r="M625" i="9"/>
  <c r="L625" i="9"/>
  <c r="K625" i="9"/>
  <c r="J625" i="9"/>
  <c r="O624" i="9"/>
  <c r="N624" i="9"/>
  <c r="M624" i="9"/>
  <c r="L624" i="9"/>
  <c r="K624" i="9"/>
  <c r="J624" i="9"/>
  <c r="O623" i="9"/>
  <c r="N623" i="9"/>
  <c r="M623" i="9"/>
  <c r="L623" i="9"/>
  <c r="K623" i="9"/>
  <c r="J623" i="9"/>
  <c r="O622" i="9"/>
  <c r="N622" i="9"/>
  <c r="M622" i="9"/>
  <c r="L622" i="9"/>
  <c r="K622" i="9"/>
  <c r="J622" i="9"/>
  <c r="O621" i="9"/>
  <c r="N621" i="9"/>
  <c r="M621" i="9"/>
  <c r="L621" i="9"/>
  <c r="K621" i="9"/>
  <c r="J621" i="9"/>
  <c r="O620" i="9"/>
  <c r="N620" i="9"/>
  <c r="M620" i="9"/>
  <c r="L620" i="9"/>
  <c r="K620" i="9"/>
  <c r="J620" i="9"/>
  <c r="O619" i="9"/>
  <c r="N619" i="9"/>
  <c r="M619" i="9"/>
  <c r="L619" i="9"/>
  <c r="K619" i="9"/>
  <c r="J619" i="9"/>
  <c r="W618" i="9"/>
  <c r="V618" i="9"/>
  <c r="U618" i="9"/>
  <c r="T618" i="9"/>
  <c r="S618" i="9"/>
  <c r="R618" i="9"/>
  <c r="X617" i="9"/>
  <c r="W617" i="9"/>
  <c r="V617" i="9"/>
  <c r="U617" i="9"/>
  <c r="T617" i="9"/>
  <c r="S617" i="9"/>
  <c r="R617" i="9"/>
  <c r="X616" i="9"/>
  <c r="W616" i="9"/>
  <c r="V616" i="9"/>
  <c r="U616" i="9"/>
  <c r="T616" i="9"/>
  <c r="S616" i="9"/>
  <c r="R616" i="9"/>
  <c r="P616" i="9"/>
  <c r="X615" i="9"/>
  <c r="W615" i="9"/>
  <c r="V615" i="9"/>
  <c r="U615" i="9"/>
  <c r="T615" i="9"/>
  <c r="S615" i="9"/>
  <c r="R615" i="9"/>
  <c r="P615" i="9"/>
  <c r="X614" i="9"/>
  <c r="W614" i="9"/>
  <c r="V614" i="9"/>
  <c r="U614" i="9"/>
  <c r="T614" i="9"/>
  <c r="S614" i="9"/>
  <c r="R614" i="9"/>
  <c r="P614" i="9"/>
  <c r="X613" i="9"/>
  <c r="W613" i="9"/>
  <c r="V613" i="9"/>
  <c r="U613" i="9"/>
  <c r="T613" i="9"/>
  <c r="S613" i="9"/>
  <c r="R613" i="9"/>
  <c r="P613" i="9"/>
  <c r="X612" i="9"/>
  <c r="W612" i="9"/>
  <c r="V612" i="9"/>
  <c r="U612" i="9"/>
  <c r="T612" i="9"/>
  <c r="S612" i="9"/>
  <c r="R612" i="9"/>
  <c r="P612" i="9"/>
  <c r="X611" i="9"/>
  <c r="W611" i="9"/>
  <c r="V611" i="9"/>
  <c r="U611" i="9"/>
  <c r="T611" i="9"/>
  <c r="S611" i="9"/>
  <c r="R611" i="9"/>
  <c r="P611" i="9"/>
  <c r="O611" i="9"/>
  <c r="N611" i="9"/>
  <c r="M611" i="9"/>
  <c r="L611" i="9"/>
  <c r="K611" i="9"/>
  <c r="J611" i="9"/>
  <c r="X610" i="9"/>
  <c r="W610" i="9"/>
  <c r="V610" i="9"/>
  <c r="U610" i="9"/>
  <c r="T610" i="9"/>
  <c r="S610" i="9"/>
  <c r="R610" i="9"/>
  <c r="X609" i="9"/>
  <c r="W609" i="9"/>
  <c r="V609" i="9"/>
  <c r="U609" i="9"/>
  <c r="T609" i="9"/>
  <c r="S609" i="9"/>
  <c r="R609" i="9"/>
  <c r="P609" i="9"/>
  <c r="X608" i="9"/>
  <c r="W608" i="9"/>
  <c r="V608" i="9"/>
  <c r="U608" i="9"/>
  <c r="T608" i="9"/>
  <c r="S608" i="9"/>
  <c r="R608" i="9"/>
  <c r="P608" i="9"/>
  <c r="Z607" i="9"/>
  <c r="X607" i="9"/>
  <c r="W607" i="9"/>
  <c r="V607" i="9"/>
  <c r="U607" i="9"/>
  <c r="T607" i="9"/>
  <c r="S607" i="9"/>
  <c r="R607" i="9"/>
  <c r="P607" i="9"/>
  <c r="X606" i="9"/>
  <c r="W606" i="9"/>
  <c r="V606" i="9"/>
  <c r="U606" i="9"/>
  <c r="T606" i="9"/>
  <c r="S606" i="9"/>
  <c r="R606" i="9"/>
  <c r="P606" i="9"/>
  <c r="Z605" i="9"/>
  <c r="X605" i="9"/>
  <c r="W605" i="9"/>
  <c r="V605" i="9"/>
  <c r="U605" i="9"/>
  <c r="T605" i="9"/>
  <c r="S605" i="9"/>
  <c r="R605" i="9"/>
  <c r="P605" i="9"/>
  <c r="Z604" i="9"/>
  <c r="X604" i="9"/>
  <c r="W604" i="9"/>
  <c r="V604" i="9"/>
  <c r="U604" i="9"/>
  <c r="T604" i="9"/>
  <c r="S604" i="9"/>
  <c r="R604" i="9"/>
  <c r="P604" i="9"/>
  <c r="O604" i="9"/>
  <c r="N604" i="9"/>
  <c r="M604" i="9"/>
  <c r="L604" i="9"/>
  <c r="K604" i="9"/>
  <c r="J604" i="9"/>
  <c r="Z603" i="9"/>
  <c r="A603" i="9"/>
  <c r="Z602" i="9"/>
  <c r="Z601" i="9"/>
  <c r="P601" i="9"/>
  <c r="O601" i="9"/>
  <c r="N601" i="9"/>
  <c r="M601" i="9"/>
  <c r="L601" i="9"/>
  <c r="K601" i="9"/>
  <c r="J601" i="9"/>
  <c r="O600" i="9"/>
  <c r="N600" i="9"/>
  <c r="M600" i="9"/>
  <c r="L600" i="9"/>
  <c r="K600" i="9"/>
  <c r="J600" i="9"/>
  <c r="Z599" i="9"/>
  <c r="P599" i="9"/>
  <c r="O599" i="9"/>
  <c r="N599" i="9"/>
  <c r="M599" i="9"/>
  <c r="L599" i="9"/>
  <c r="K599" i="9"/>
  <c r="J599" i="9"/>
  <c r="Z598" i="9"/>
  <c r="P598" i="9"/>
  <c r="Q597" i="9"/>
  <c r="P597" i="9"/>
  <c r="Z596" i="9"/>
  <c r="P596" i="9"/>
  <c r="O596" i="9"/>
  <c r="N596" i="9"/>
  <c r="M596" i="9"/>
  <c r="L596" i="9"/>
  <c r="K596" i="9"/>
  <c r="J596" i="9"/>
  <c r="Z595" i="9"/>
  <c r="Z594" i="9"/>
  <c r="W597" i="9"/>
  <c r="P594" i="9"/>
  <c r="O594" i="9"/>
  <c r="N594" i="9"/>
  <c r="M594" i="9"/>
  <c r="L594" i="9"/>
  <c r="K594" i="9"/>
  <c r="J594" i="9"/>
  <c r="Z593" i="9"/>
  <c r="X593" i="9"/>
  <c r="W593" i="9"/>
  <c r="V593" i="9"/>
  <c r="U593" i="9"/>
  <c r="T593" i="9"/>
  <c r="S593" i="9"/>
  <c r="R593" i="9"/>
  <c r="P593" i="9"/>
  <c r="O593" i="9"/>
  <c r="N593" i="9"/>
  <c r="M593" i="9"/>
  <c r="L593" i="9"/>
  <c r="K593" i="9"/>
  <c r="J593" i="9"/>
  <c r="Z592" i="9"/>
  <c r="X592" i="9"/>
  <c r="W592" i="9"/>
  <c r="V592" i="9"/>
  <c r="U592" i="9"/>
  <c r="T592" i="9"/>
  <c r="S592" i="9"/>
  <c r="R592" i="9"/>
  <c r="Z591" i="9"/>
  <c r="X591" i="9"/>
  <c r="W591" i="9"/>
  <c r="V591" i="9"/>
  <c r="U591" i="9"/>
  <c r="T591" i="9"/>
  <c r="S591" i="9"/>
  <c r="R591" i="9"/>
  <c r="P591" i="9"/>
  <c r="O591" i="9"/>
  <c r="N591" i="9"/>
  <c r="M591" i="9"/>
  <c r="L591" i="9"/>
  <c r="K591" i="9"/>
  <c r="J591" i="9"/>
  <c r="AP590" i="9"/>
  <c r="AO590" i="9"/>
  <c r="AN590" i="9"/>
  <c r="AM590" i="9"/>
  <c r="AL590" i="9"/>
  <c r="AK590" i="9"/>
  <c r="Z590" i="9"/>
  <c r="X590" i="9"/>
  <c r="W590" i="9"/>
  <c r="V590" i="9"/>
  <c r="U590" i="9"/>
  <c r="T590" i="9"/>
  <c r="S590" i="9"/>
  <c r="R590" i="9"/>
  <c r="P590" i="9"/>
  <c r="O590" i="9"/>
  <c r="N590" i="9"/>
  <c r="M590" i="9"/>
  <c r="L590" i="9"/>
  <c r="K590" i="9"/>
  <c r="J590" i="9"/>
  <c r="AQ589" i="9"/>
  <c r="AP589" i="9"/>
  <c r="AO589" i="9"/>
  <c r="AN589" i="9"/>
  <c r="AM589" i="9"/>
  <c r="AL589" i="9"/>
  <c r="AK589" i="9"/>
  <c r="Z589" i="9"/>
  <c r="X589" i="9"/>
  <c r="W589" i="9"/>
  <c r="V589" i="9"/>
  <c r="U589" i="9"/>
  <c r="T589" i="9"/>
  <c r="S589" i="9"/>
  <c r="R589" i="9"/>
  <c r="P589" i="9"/>
  <c r="O589" i="9"/>
  <c r="N589" i="9"/>
  <c r="M589" i="9"/>
  <c r="L589" i="9"/>
  <c r="K589" i="9"/>
  <c r="J589" i="9"/>
  <c r="AQ588" i="9"/>
  <c r="AP588" i="9"/>
  <c r="AO588" i="9"/>
  <c r="AN588" i="9"/>
  <c r="AM588" i="9"/>
  <c r="AL588" i="9"/>
  <c r="AK588" i="9"/>
  <c r="Z588" i="9"/>
  <c r="X588" i="9"/>
  <c r="W588" i="9"/>
  <c r="V588" i="9"/>
  <c r="U588" i="9"/>
  <c r="T588" i="9"/>
  <c r="S588" i="9"/>
  <c r="R588" i="9"/>
  <c r="P588" i="9"/>
  <c r="O588" i="9"/>
  <c r="N588" i="9"/>
  <c r="M588" i="9"/>
  <c r="L588" i="9"/>
  <c r="K588" i="9"/>
  <c r="J588" i="9"/>
  <c r="AQ587" i="9"/>
  <c r="AP587" i="9"/>
  <c r="AO587" i="9"/>
  <c r="AN587" i="9"/>
  <c r="AM587" i="9"/>
  <c r="AL587" i="9"/>
  <c r="AK587" i="9"/>
  <c r="Z587" i="9"/>
  <c r="X587" i="9"/>
  <c r="W587" i="9"/>
  <c r="V587" i="9"/>
  <c r="U587" i="9"/>
  <c r="T587" i="9"/>
  <c r="S587" i="9"/>
  <c r="R587" i="9"/>
  <c r="P587" i="9"/>
  <c r="O587" i="9"/>
  <c r="N587" i="9"/>
  <c r="M587" i="9"/>
  <c r="L587" i="9"/>
  <c r="K587" i="9"/>
  <c r="J587" i="9"/>
  <c r="AQ586" i="9"/>
  <c r="AP586" i="9"/>
  <c r="AO586" i="9"/>
  <c r="AN586" i="9"/>
  <c r="AM586" i="9"/>
  <c r="AL586" i="9"/>
  <c r="AK586" i="9"/>
  <c r="Z586" i="9"/>
  <c r="X586" i="9"/>
  <c r="W586" i="9"/>
  <c r="V586" i="9"/>
  <c r="U586" i="9"/>
  <c r="T586" i="9"/>
  <c r="S586" i="9"/>
  <c r="R586" i="9"/>
  <c r="P586" i="9"/>
  <c r="O586" i="9"/>
  <c r="N586" i="9"/>
  <c r="M586" i="9"/>
  <c r="L586" i="9"/>
  <c r="K586" i="9"/>
  <c r="J586" i="9"/>
  <c r="AQ585" i="9"/>
  <c r="AP585" i="9"/>
  <c r="AO585" i="9"/>
  <c r="AN585" i="9"/>
  <c r="AM585" i="9"/>
  <c r="AL585" i="9"/>
  <c r="AK585" i="9"/>
  <c r="Z585" i="9"/>
  <c r="X585" i="9"/>
  <c r="W585" i="9"/>
  <c r="V585" i="9"/>
  <c r="U585" i="9"/>
  <c r="T585" i="9"/>
  <c r="S585" i="9"/>
  <c r="R585" i="9"/>
  <c r="AQ584" i="9"/>
  <c r="AP584" i="9"/>
  <c r="AO584" i="9"/>
  <c r="AN584" i="9"/>
  <c r="AM584" i="9"/>
  <c r="AL584" i="9"/>
  <c r="AK584" i="9"/>
  <c r="Z584" i="9"/>
  <c r="X584" i="9"/>
  <c r="W584" i="9"/>
  <c r="V584" i="9"/>
  <c r="U584" i="9"/>
  <c r="T584" i="9"/>
  <c r="S584" i="9"/>
  <c r="R584" i="9"/>
  <c r="P584" i="9"/>
  <c r="O584" i="9"/>
  <c r="N584" i="9"/>
  <c r="M584" i="9"/>
  <c r="L584" i="9"/>
  <c r="K584" i="9"/>
  <c r="J584" i="9"/>
  <c r="AQ583" i="9"/>
  <c r="AP583" i="9"/>
  <c r="AO583" i="9"/>
  <c r="AN583" i="9"/>
  <c r="AM583" i="9"/>
  <c r="AL583" i="9"/>
  <c r="AK583" i="9"/>
  <c r="Z583" i="9"/>
  <c r="X583" i="9"/>
  <c r="W583" i="9"/>
  <c r="V583" i="9"/>
  <c r="U583" i="9"/>
  <c r="T583" i="9"/>
  <c r="S583" i="9"/>
  <c r="R583" i="9"/>
  <c r="P583" i="9"/>
  <c r="O583" i="9"/>
  <c r="N583" i="9"/>
  <c r="M583" i="9"/>
  <c r="L583" i="9"/>
  <c r="K583" i="9"/>
  <c r="J583" i="9"/>
  <c r="Z582" i="9"/>
  <c r="X582" i="9"/>
  <c r="W582" i="9"/>
  <c r="V582" i="9"/>
  <c r="U582" i="9"/>
  <c r="T582" i="9"/>
  <c r="S582" i="9"/>
  <c r="R582" i="9"/>
  <c r="P582" i="9"/>
  <c r="O582" i="9"/>
  <c r="N582" i="9"/>
  <c r="M582" i="9"/>
  <c r="L582" i="9"/>
  <c r="K582" i="9"/>
  <c r="J582" i="9"/>
  <c r="Z581" i="9"/>
  <c r="X581" i="9"/>
  <c r="W581" i="9"/>
  <c r="V581" i="9"/>
  <c r="U581" i="9"/>
  <c r="T581" i="9"/>
  <c r="S581" i="9"/>
  <c r="R581" i="9"/>
  <c r="P581" i="9"/>
  <c r="O581" i="9"/>
  <c r="N581" i="9"/>
  <c r="M581" i="9"/>
  <c r="L581" i="9"/>
  <c r="K581" i="9"/>
  <c r="J581" i="9"/>
  <c r="X580" i="9"/>
  <c r="W580" i="9"/>
  <c r="V580" i="9"/>
  <c r="U580" i="9"/>
  <c r="T580" i="9"/>
  <c r="S580" i="9"/>
  <c r="R580" i="9"/>
  <c r="P580" i="9"/>
  <c r="O580" i="9"/>
  <c r="N580" i="9"/>
  <c r="M580" i="9"/>
  <c r="L580" i="9"/>
  <c r="K580" i="9"/>
  <c r="J580" i="9"/>
  <c r="Z579" i="9"/>
  <c r="X579" i="9"/>
  <c r="W579" i="9"/>
  <c r="V579" i="9"/>
  <c r="U579" i="9"/>
  <c r="T579" i="9"/>
  <c r="S579" i="9"/>
  <c r="R579" i="9"/>
  <c r="P579" i="9"/>
  <c r="O579" i="9"/>
  <c r="N579" i="9"/>
  <c r="M579" i="9"/>
  <c r="L579" i="9"/>
  <c r="K579" i="9"/>
  <c r="J579" i="9"/>
  <c r="Z578" i="9"/>
  <c r="A578" i="9"/>
  <c r="Z577" i="9"/>
  <c r="O577" i="9"/>
  <c r="N577" i="9"/>
  <c r="K577" i="9"/>
  <c r="Z576" i="9"/>
  <c r="O576" i="9"/>
  <c r="N576" i="9"/>
  <c r="K576" i="9"/>
  <c r="Z575" i="9"/>
  <c r="P575" i="9"/>
  <c r="O575" i="9"/>
  <c r="N575" i="9"/>
  <c r="M575" i="9"/>
  <c r="L575" i="9"/>
  <c r="K575" i="9"/>
  <c r="J575" i="9"/>
  <c r="AP574" i="9"/>
  <c r="AO574" i="9"/>
  <c r="AN574" i="9"/>
  <c r="AM574" i="9"/>
  <c r="AL574" i="9"/>
  <c r="AK574" i="9"/>
  <c r="Z574" i="9"/>
  <c r="O574" i="9"/>
  <c r="N574" i="9"/>
  <c r="M574" i="9"/>
  <c r="L574" i="9"/>
  <c r="K574" i="9"/>
  <c r="J574" i="9"/>
  <c r="AQ573" i="9"/>
  <c r="AP573" i="9"/>
  <c r="AO573" i="9"/>
  <c r="AN573" i="9"/>
  <c r="AM573" i="9"/>
  <c r="AL573" i="9"/>
  <c r="AK573" i="9"/>
  <c r="Z573" i="9"/>
  <c r="P573" i="9"/>
  <c r="AQ572" i="9"/>
  <c r="AP572" i="9"/>
  <c r="AO572" i="9"/>
  <c r="AN572" i="9"/>
  <c r="AM572" i="9"/>
  <c r="AL572" i="9"/>
  <c r="AK572" i="9"/>
  <c r="P572" i="9"/>
  <c r="AQ571" i="9"/>
  <c r="AP571" i="9"/>
  <c r="AO571" i="9"/>
  <c r="AN571" i="9"/>
  <c r="AM571" i="9"/>
  <c r="AL571" i="9"/>
  <c r="AK571" i="9"/>
  <c r="Z571" i="9"/>
  <c r="P571" i="9"/>
  <c r="AQ570" i="9"/>
  <c r="AP570" i="9"/>
  <c r="AO570" i="9"/>
  <c r="AN570" i="9"/>
  <c r="AM570" i="9"/>
  <c r="AL570" i="9"/>
  <c r="AK570" i="9"/>
  <c r="Z570" i="9"/>
  <c r="P570" i="9"/>
  <c r="AQ569" i="9"/>
  <c r="AP569" i="9"/>
  <c r="AO569" i="9"/>
  <c r="AN569" i="9"/>
  <c r="AM569" i="9"/>
  <c r="AL569" i="9"/>
  <c r="AK569" i="9"/>
  <c r="Z569" i="9"/>
  <c r="P569" i="9"/>
  <c r="AQ568" i="9"/>
  <c r="AP568" i="9"/>
  <c r="AO568" i="9"/>
  <c r="AN568" i="9"/>
  <c r="AM568" i="9"/>
  <c r="AL568" i="9"/>
  <c r="AK568" i="9"/>
  <c r="Z568" i="9"/>
  <c r="P568" i="9"/>
  <c r="AQ567" i="9"/>
  <c r="AP567" i="9"/>
  <c r="AO567" i="9"/>
  <c r="AN567" i="9"/>
  <c r="AM567" i="9"/>
  <c r="AL567" i="9"/>
  <c r="AK567" i="9"/>
  <c r="P567" i="9"/>
  <c r="O567" i="9"/>
  <c r="N567" i="9"/>
  <c r="M567" i="9"/>
  <c r="L567" i="9"/>
  <c r="K567" i="9"/>
  <c r="J567" i="9"/>
  <c r="AQ566" i="9"/>
  <c r="AP566" i="9"/>
  <c r="AO566" i="9"/>
  <c r="AN566" i="9"/>
  <c r="AM566" i="9"/>
  <c r="AL566" i="9"/>
  <c r="AK566" i="9"/>
  <c r="P566" i="9"/>
  <c r="AQ565" i="9"/>
  <c r="AP565" i="9"/>
  <c r="AO565" i="9"/>
  <c r="AN565" i="9"/>
  <c r="AM565" i="9"/>
  <c r="AL565" i="9"/>
  <c r="AK565" i="9"/>
  <c r="P565" i="9"/>
  <c r="AQ564" i="9"/>
  <c r="AP564" i="9"/>
  <c r="AO564" i="9"/>
  <c r="AN564" i="9"/>
  <c r="AM564" i="9"/>
  <c r="AL564" i="9"/>
  <c r="AK564" i="9"/>
  <c r="Z564" i="9"/>
  <c r="P564" i="9"/>
  <c r="AQ563" i="9"/>
  <c r="AP563" i="9"/>
  <c r="AO563" i="9"/>
  <c r="AN563" i="9"/>
  <c r="AM563" i="9"/>
  <c r="AL563" i="9"/>
  <c r="AK563" i="9"/>
  <c r="Z563" i="9"/>
  <c r="P563" i="9"/>
  <c r="AQ562" i="9"/>
  <c r="AP562" i="9"/>
  <c r="AO562" i="9"/>
  <c r="AN562" i="9"/>
  <c r="AM562" i="9"/>
  <c r="AL562" i="9"/>
  <c r="AK562" i="9"/>
  <c r="Z562" i="9"/>
  <c r="P562" i="9"/>
  <c r="AQ561" i="9"/>
  <c r="AP561" i="9"/>
  <c r="AO561" i="9"/>
  <c r="AN561" i="9"/>
  <c r="AM561" i="9"/>
  <c r="AL561" i="9"/>
  <c r="AK561" i="9"/>
  <c r="Z561" i="9"/>
  <c r="P561" i="9"/>
  <c r="AQ560" i="9"/>
  <c r="AP560" i="9"/>
  <c r="AO560" i="9"/>
  <c r="AN560" i="9"/>
  <c r="AM560" i="9"/>
  <c r="AL560" i="9"/>
  <c r="AK560" i="9"/>
  <c r="P560" i="9"/>
  <c r="O560" i="9"/>
  <c r="N560" i="9"/>
  <c r="M560" i="9"/>
  <c r="L560" i="9"/>
  <c r="K560" i="9"/>
  <c r="J560" i="9"/>
  <c r="P557" i="9"/>
  <c r="O557" i="9"/>
  <c r="N557" i="9"/>
  <c r="M557" i="9"/>
  <c r="L557" i="9"/>
  <c r="K557" i="9"/>
  <c r="J557" i="9"/>
  <c r="O556" i="9"/>
  <c r="N556" i="9"/>
  <c r="M556" i="9"/>
  <c r="L556" i="9"/>
  <c r="K556" i="9"/>
  <c r="J556" i="9"/>
  <c r="A534" i="9"/>
  <c r="O533" i="9"/>
  <c r="N533" i="9"/>
  <c r="M533" i="9"/>
  <c r="L533" i="9"/>
  <c r="K533" i="9"/>
  <c r="J533" i="9"/>
  <c r="O532" i="9"/>
  <c r="N532" i="9"/>
  <c r="M532" i="9"/>
  <c r="L532" i="9"/>
  <c r="K532" i="9"/>
  <c r="J532" i="9"/>
  <c r="O531" i="9"/>
  <c r="N531" i="9"/>
  <c r="M531" i="9"/>
  <c r="L531" i="9"/>
  <c r="K531" i="9"/>
  <c r="J531" i="9"/>
  <c r="O530" i="9"/>
  <c r="N530" i="9"/>
  <c r="M530" i="9"/>
  <c r="L530" i="9"/>
  <c r="K530" i="9"/>
  <c r="J530" i="9"/>
  <c r="O529" i="9"/>
  <c r="N529" i="9"/>
  <c r="M529" i="9"/>
  <c r="L529" i="9"/>
  <c r="K529" i="9"/>
  <c r="J529" i="9"/>
  <c r="O528" i="9"/>
  <c r="N528" i="9"/>
  <c r="M528" i="9"/>
  <c r="L528" i="9"/>
  <c r="K528" i="9"/>
  <c r="J528" i="9"/>
  <c r="O527" i="9"/>
  <c r="N527" i="9"/>
  <c r="M527" i="9"/>
  <c r="L527" i="9"/>
  <c r="K527" i="9"/>
  <c r="J527" i="9"/>
  <c r="W526" i="9"/>
  <c r="V526" i="9"/>
  <c r="U526" i="9"/>
  <c r="T526" i="9"/>
  <c r="S526" i="9"/>
  <c r="R526" i="9"/>
  <c r="X525" i="9"/>
  <c r="W525" i="9"/>
  <c r="V525" i="9"/>
  <c r="U525" i="9"/>
  <c r="T525" i="9"/>
  <c r="S525" i="9"/>
  <c r="R525" i="9"/>
  <c r="P525" i="9"/>
  <c r="X524" i="9"/>
  <c r="W524" i="9"/>
  <c r="V524" i="9"/>
  <c r="U524" i="9"/>
  <c r="T524" i="9"/>
  <c r="S524" i="9"/>
  <c r="R524" i="9"/>
  <c r="P524" i="9"/>
  <c r="X523" i="9"/>
  <c r="W523" i="9"/>
  <c r="V523" i="9"/>
  <c r="U523" i="9"/>
  <c r="T523" i="9"/>
  <c r="S523" i="9"/>
  <c r="R523" i="9"/>
  <c r="P523" i="9"/>
  <c r="X522" i="9"/>
  <c r="W522" i="9"/>
  <c r="V522" i="9"/>
  <c r="U522" i="9"/>
  <c r="T522" i="9"/>
  <c r="S522" i="9"/>
  <c r="R522" i="9"/>
  <c r="P522" i="9"/>
  <c r="X521" i="9"/>
  <c r="W521" i="9"/>
  <c r="V521" i="9"/>
  <c r="U521" i="9"/>
  <c r="T521" i="9"/>
  <c r="S521" i="9"/>
  <c r="R521" i="9"/>
  <c r="P521" i="9"/>
  <c r="X520" i="9"/>
  <c r="W520" i="9"/>
  <c r="V520" i="9"/>
  <c r="U520" i="9"/>
  <c r="T520" i="9"/>
  <c r="S520" i="9"/>
  <c r="R520" i="9"/>
  <c r="P520" i="9"/>
  <c r="X519" i="9"/>
  <c r="W519" i="9"/>
  <c r="V519" i="9"/>
  <c r="U519" i="9"/>
  <c r="T519" i="9"/>
  <c r="S519" i="9"/>
  <c r="R519" i="9"/>
  <c r="P519" i="9"/>
  <c r="O519" i="9"/>
  <c r="N519" i="9"/>
  <c r="M519" i="9"/>
  <c r="L519" i="9"/>
  <c r="K519" i="9"/>
  <c r="J519" i="9"/>
  <c r="X518" i="9"/>
  <c r="W518" i="9"/>
  <c r="V518" i="9"/>
  <c r="U518" i="9"/>
  <c r="T518" i="9"/>
  <c r="S518" i="9"/>
  <c r="R518" i="9"/>
  <c r="X517" i="9"/>
  <c r="W517" i="9"/>
  <c r="V517" i="9"/>
  <c r="U517" i="9"/>
  <c r="T517" i="9"/>
  <c r="S517" i="9"/>
  <c r="R517" i="9"/>
  <c r="P517" i="9"/>
  <c r="X516" i="9"/>
  <c r="W516" i="9"/>
  <c r="V516" i="9"/>
  <c r="U516" i="9"/>
  <c r="T516" i="9"/>
  <c r="S516" i="9"/>
  <c r="R516" i="9"/>
  <c r="P516" i="9"/>
  <c r="Z515" i="9"/>
  <c r="X515" i="9"/>
  <c r="W515" i="9"/>
  <c r="V515" i="9"/>
  <c r="U515" i="9"/>
  <c r="T515" i="9"/>
  <c r="S515" i="9"/>
  <c r="R515" i="9"/>
  <c r="P515" i="9"/>
  <c r="X514" i="9"/>
  <c r="W514" i="9"/>
  <c r="V514" i="9"/>
  <c r="U514" i="9"/>
  <c r="T514" i="9"/>
  <c r="S514" i="9"/>
  <c r="R514" i="9"/>
  <c r="P514" i="9"/>
  <c r="Z513" i="9"/>
  <c r="X513" i="9"/>
  <c r="W513" i="9"/>
  <c r="V513" i="9"/>
  <c r="U513" i="9"/>
  <c r="T513" i="9"/>
  <c r="S513" i="9"/>
  <c r="R513" i="9"/>
  <c r="P513" i="9"/>
  <c r="Z512" i="9"/>
  <c r="X512" i="9"/>
  <c r="W512" i="9"/>
  <c r="V512" i="9"/>
  <c r="U512" i="9"/>
  <c r="T512" i="9"/>
  <c r="S512" i="9"/>
  <c r="R512" i="9"/>
  <c r="P512" i="9"/>
  <c r="O512" i="9"/>
  <c r="N512" i="9"/>
  <c r="M512" i="9"/>
  <c r="L512" i="9"/>
  <c r="K512" i="9"/>
  <c r="J512" i="9"/>
  <c r="Z511" i="9"/>
  <c r="A511" i="9"/>
  <c r="Z510" i="9"/>
  <c r="Z509" i="9"/>
  <c r="P509" i="9"/>
  <c r="O509" i="9"/>
  <c r="N509" i="9"/>
  <c r="M509" i="9"/>
  <c r="L509" i="9"/>
  <c r="K509" i="9"/>
  <c r="J509" i="9"/>
  <c r="O508" i="9"/>
  <c r="N508" i="9"/>
  <c r="M508" i="9"/>
  <c r="L508" i="9"/>
  <c r="K508" i="9"/>
  <c r="J508" i="9"/>
  <c r="Z507" i="9"/>
  <c r="P507" i="9"/>
  <c r="O507" i="9"/>
  <c r="N507" i="9"/>
  <c r="M507" i="9"/>
  <c r="L507" i="9"/>
  <c r="K507" i="9"/>
  <c r="J507" i="9"/>
  <c r="Z506" i="9"/>
  <c r="P506" i="9"/>
  <c r="P505" i="9"/>
  <c r="Z504" i="9"/>
  <c r="P504" i="9"/>
  <c r="O504" i="9"/>
  <c r="N504" i="9"/>
  <c r="M504" i="9"/>
  <c r="L504" i="9"/>
  <c r="K504" i="9"/>
  <c r="J504" i="9"/>
  <c r="Z503" i="9"/>
  <c r="P503" i="9"/>
  <c r="O503" i="9"/>
  <c r="N503" i="9"/>
  <c r="M503" i="9"/>
  <c r="L503" i="9"/>
  <c r="K503" i="9"/>
  <c r="J503" i="9"/>
  <c r="Z502" i="9"/>
  <c r="W505" i="9"/>
  <c r="P502" i="9"/>
  <c r="O502" i="9"/>
  <c r="N502" i="9"/>
  <c r="M502" i="9"/>
  <c r="L502" i="9"/>
  <c r="K502" i="9"/>
  <c r="J502" i="9"/>
  <c r="Z501" i="9"/>
  <c r="X501" i="9"/>
  <c r="W501" i="9"/>
  <c r="V501" i="9"/>
  <c r="U501" i="9"/>
  <c r="T501" i="9"/>
  <c r="S501" i="9"/>
  <c r="R501" i="9"/>
  <c r="P501" i="9"/>
  <c r="O501" i="9"/>
  <c r="N501" i="9"/>
  <c r="M501" i="9"/>
  <c r="L501" i="9"/>
  <c r="K501" i="9"/>
  <c r="J501" i="9"/>
  <c r="Z500" i="9"/>
  <c r="X500" i="9"/>
  <c r="W500" i="9"/>
  <c r="V500" i="9"/>
  <c r="U500" i="9"/>
  <c r="T500" i="9"/>
  <c r="S500" i="9"/>
  <c r="R500" i="9"/>
  <c r="Z499" i="9"/>
  <c r="X499" i="9"/>
  <c r="W499" i="9"/>
  <c r="V499" i="9"/>
  <c r="U499" i="9"/>
  <c r="T499" i="9"/>
  <c r="S499" i="9"/>
  <c r="R499" i="9"/>
  <c r="P499" i="9"/>
  <c r="O499" i="9"/>
  <c r="N499" i="9"/>
  <c r="M499" i="9"/>
  <c r="L499" i="9"/>
  <c r="K499" i="9"/>
  <c r="J499" i="9"/>
  <c r="AP498" i="9"/>
  <c r="AO498" i="9"/>
  <c r="AN498" i="9"/>
  <c r="AM498" i="9"/>
  <c r="AL498" i="9"/>
  <c r="AK498" i="9"/>
  <c r="Z498" i="9"/>
  <c r="X498" i="9"/>
  <c r="W498" i="9"/>
  <c r="V498" i="9"/>
  <c r="U498" i="9"/>
  <c r="T498" i="9"/>
  <c r="S498" i="9"/>
  <c r="R498" i="9"/>
  <c r="P498" i="9"/>
  <c r="O498" i="9"/>
  <c r="N498" i="9"/>
  <c r="M498" i="9"/>
  <c r="L498" i="9"/>
  <c r="K498" i="9"/>
  <c r="J498" i="9"/>
  <c r="AQ497" i="9"/>
  <c r="AP497" i="9"/>
  <c r="AO497" i="9"/>
  <c r="AN497" i="9"/>
  <c r="AM497" i="9"/>
  <c r="AL497" i="9"/>
  <c r="AK497" i="9"/>
  <c r="Z497" i="9"/>
  <c r="X497" i="9"/>
  <c r="W497" i="9"/>
  <c r="V497" i="9"/>
  <c r="U497" i="9"/>
  <c r="T497" i="9"/>
  <c r="S497" i="9"/>
  <c r="R497" i="9"/>
  <c r="P497" i="9"/>
  <c r="O497" i="9"/>
  <c r="N497" i="9"/>
  <c r="M497" i="9"/>
  <c r="L497" i="9"/>
  <c r="K497" i="9"/>
  <c r="J497" i="9"/>
  <c r="AQ496" i="9"/>
  <c r="AP496" i="9"/>
  <c r="AO496" i="9"/>
  <c r="AN496" i="9"/>
  <c r="AM496" i="9"/>
  <c r="AL496" i="9"/>
  <c r="AK496" i="9"/>
  <c r="Z496" i="9"/>
  <c r="X496" i="9"/>
  <c r="W496" i="9"/>
  <c r="V496" i="9"/>
  <c r="U496" i="9"/>
  <c r="T496" i="9"/>
  <c r="S496" i="9"/>
  <c r="R496" i="9"/>
  <c r="P496" i="9"/>
  <c r="O496" i="9"/>
  <c r="N496" i="9"/>
  <c r="M496" i="9"/>
  <c r="L496" i="9"/>
  <c r="K496" i="9"/>
  <c r="J496" i="9"/>
  <c r="AQ495" i="9"/>
  <c r="AP495" i="9"/>
  <c r="AO495" i="9"/>
  <c r="AN495" i="9"/>
  <c r="AM495" i="9"/>
  <c r="AL495" i="9"/>
  <c r="AK495" i="9"/>
  <c r="Z495" i="9"/>
  <c r="X495" i="9"/>
  <c r="W495" i="9"/>
  <c r="V495" i="9"/>
  <c r="U495" i="9"/>
  <c r="T495" i="9"/>
  <c r="S495" i="9"/>
  <c r="R495" i="9"/>
  <c r="P495" i="9"/>
  <c r="O495" i="9"/>
  <c r="N495" i="9"/>
  <c r="M495" i="9"/>
  <c r="L495" i="9"/>
  <c r="K495" i="9"/>
  <c r="J495" i="9"/>
  <c r="AQ494" i="9"/>
  <c r="AP494" i="9"/>
  <c r="AO494" i="9"/>
  <c r="AN494" i="9"/>
  <c r="AM494" i="9"/>
  <c r="AL494" i="9"/>
  <c r="AK494" i="9"/>
  <c r="Z494" i="9"/>
  <c r="X494" i="9"/>
  <c r="W494" i="9"/>
  <c r="V494" i="9"/>
  <c r="U494" i="9"/>
  <c r="T494" i="9"/>
  <c r="S494" i="9"/>
  <c r="R494" i="9"/>
  <c r="P494" i="9"/>
  <c r="O494" i="9"/>
  <c r="N494" i="9"/>
  <c r="M494" i="9"/>
  <c r="L494" i="9"/>
  <c r="K494" i="9"/>
  <c r="J494" i="9"/>
  <c r="AQ493" i="9"/>
  <c r="AP493" i="9"/>
  <c r="AO493" i="9"/>
  <c r="AN493" i="9"/>
  <c r="AM493" i="9"/>
  <c r="AL493" i="9"/>
  <c r="AK493" i="9"/>
  <c r="Z493" i="9"/>
  <c r="X493" i="9"/>
  <c r="W493" i="9"/>
  <c r="V493" i="9"/>
  <c r="U493" i="9"/>
  <c r="T493" i="9"/>
  <c r="S493" i="9"/>
  <c r="R493" i="9"/>
  <c r="AQ492" i="9"/>
  <c r="AP492" i="9"/>
  <c r="AO492" i="9"/>
  <c r="AN492" i="9"/>
  <c r="AM492" i="9"/>
  <c r="AL492" i="9"/>
  <c r="AK492" i="9"/>
  <c r="Z492" i="9"/>
  <c r="X492" i="9"/>
  <c r="W492" i="9"/>
  <c r="V492" i="9"/>
  <c r="U492" i="9"/>
  <c r="T492" i="9"/>
  <c r="S492" i="9"/>
  <c r="R492" i="9"/>
  <c r="P492" i="9"/>
  <c r="O492" i="9"/>
  <c r="N492" i="9"/>
  <c r="M492" i="9"/>
  <c r="L492" i="9"/>
  <c r="K492" i="9"/>
  <c r="J492" i="9"/>
  <c r="AQ491" i="9"/>
  <c r="AP491" i="9"/>
  <c r="AO491" i="9"/>
  <c r="AN491" i="9"/>
  <c r="AM491" i="9"/>
  <c r="AL491" i="9"/>
  <c r="AK491" i="9"/>
  <c r="Z491" i="9"/>
  <c r="X491" i="9"/>
  <c r="W491" i="9"/>
  <c r="V491" i="9"/>
  <c r="U491" i="9"/>
  <c r="T491" i="9"/>
  <c r="S491" i="9"/>
  <c r="R491" i="9"/>
  <c r="P491" i="9"/>
  <c r="O491" i="9"/>
  <c r="N491" i="9"/>
  <c r="M491" i="9"/>
  <c r="L491" i="9"/>
  <c r="K491" i="9"/>
  <c r="J491" i="9"/>
  <c r="Z490" i="9"/>
  <c r="X490" i="9"/>
  <c r="W490" i="9"/>
  <c r="V490" i="9"/>
  <c r="U490" i="9"/>
  <c r="T490" i="9"/>
  <c r="S490" i="9"/>
  <c r="R490" i="9"/>
  <c r="P490" i="9"/>
  <c r="O490" i="9"/>
  <c r="N490" i="9"/>
  <c r="M490" i="9"/>
  <c r="L490" i="9"/>
  <c r="K490" i="9"/>
  <c r="J490" i="9"/>
  <c r="Z489" i="9"/>
  <c r="X489" i="9"/>
  <c r="W489" i="9"/>
  <c r="V489" i="9"/>
  <c r="U489" i="9"/>
  <c r="T489" i="9"/>
  <c r="S489" i="9"/>
  <c r="R489" i="9"/>
  <c r="P489" i="9"/>
  <c r="O489" i="9"/>
  <c r="N489" i="9"/>
  <c r="M489" i="9"/>
  <c r="L489" i="9"/>
  <c r="K489" i="9"/>
  <c r="J489" i="9"/>
  <c r="X488" i="9"/>
  <c r="W488" i="9"/>
  <c r="V488" i="9"/>
  <c r="U488" i="9"/>
  <c r="T488" i="9"/>
  <c r="S488" i="9"/>
  <c r="R488" i="9"/>
  <c r="P488" i="9"/>
  <c r="O488" i="9"/>
  <c r="N488" i="9"/>
  <c r="M488" i="9"/>
  <c r="L488" i="9"/>
  <c r="K488" i="9"/>
  <c r="J488" i="9"/>
  <c r="Z487" i="9"/>
  <c r="X487" i="9"/>
  <c r="W487" i="9"/>
  <c r="V487" i="9"/>
  <c r="U487" i="9"/>
  <c r="T487" i="9"/>
  <c r="S487" i="9"/>
  <c r="R487" i="9"/>
  <c r="P487" i="9"/>
  <c r="O487" i="9"/>
  <c r="N487" i="9"/>
  <c r="M487" i="9"/>
  <c r="L487" i="9"/>
  <c r="K487" i="9"/>
  <c r="J487" i="9"/>
  <c r="Z486" i="9"/>
  <c r="A486" i="9"/>
  <c r="Z485" i="9"/>
  <c r="O485" i="9"/>
  <c r="N485" i="9"/>
  <c r="K485" i="9"/>
  <c r="Z484" i="9"/>
  <c r="O484" i="9"/>
  <c r="N484" i="9"/>
  <c r="K484" i="9"/>
  <c r="Z483" i="9"/>
  <c r="P483" i="9"/>
  <c r="O483" i="9"/>
  <c r="N483" i="9"/>
  <c r="M483" i="9"/>
  <c r="L483" i="9"/>
  <c r="K483" i="9"/>
  <c r="J483" i="9"/>
  <c r="AP482" i="9"/>
  <c r="AO482" i="9"/>
  <c r="AN482" i="9"/>
  <c r="AM482" i="9"/>
  <c r="AL482" i="9"/>
  <c r="AK482" i="9"/>
  <c r="Z482" i="9"/>
  <c r="O482" i="9"/>
  <c r="N482" i="9"/>
  <c r="M482" i="9"/>
  <c r="L482" i="9"/>
  <c r="K482" i="9"/>
  <c r="J482" i="9"/>
  <c r="AQ481" i="9"/>
  <c r="AP481" i="9"/>
  <c r="AO481" i="9"/>
  <c r="AN481" i="9"/>
  <c r="AM481" i="9"/>
  <c r="AL481" i="9"/>
  <c r="AK481" i="9"/>
  <c r="Z481" i="9"/>
  <c r="P481" i="9"/>
  <c r="AQ480" i="9"/>
  <c r="AP480" i="9"/>
  <c r="AO480" i="9"/>
  <c r="AN480" i="9"/>
  <c r="AM480" i="9"/>
  <c r="AL480" i="9"/>
  <c r="AK480" i="9"/>
  <c r="P480" i="9"/>
  <c r="AQ479" i="9"/>
  <c r="AP479" i="9"/>
  <c r="AO479" i="9"/>
  <c r="AN479" i="9"/>
  <c r="AM479" i="9"/>
  <c r="AL479" i="9"/>
  <c r="AK479" i="9"/>
  <c r="Z479" i="9"/>
  <c r="P479" i="9"/>
  <c r="AQ478" i="9"/>
  <c r="AP478" i="9"/>
  <c r="AO478" i="9"/>
  <c r="AN478" i="9"/>
  <c r="AM478" i="9"/>
  <c r="AL478" i="9"/>
  <c r="AK478" i="9"/>
  <c r="Z478" i="9"/>
  <c r="P478" i="9"/>
  <c r="AQ477" i="9"/>
  <c r="AP477" i="9"/>
  <c r="AO477" i="9"/>
  <c r="AN477" i="9"/>
  <c r="AM477" i="9"/>
  <c r="AL477" i="9"/>
  <c r="AK477" i="9"/>
  <c r="Z477" i="9"/>
  <c r="P477" i="9"/>
  <c r="AQ476" i="9"/>
  <c r="AP476" i="9"/>
  <c r="AO476" i="9"/>
  <c r="AN476" i="9"/>
  <c r="AM476" i="9"/>
  <c r="AL476" i="9"/>
  <c r="AK476" i="9"/>
  <c r="Z476" i="9"/>
  <c r="P476" i="9"/>
  <c r="AQ475" i="9"/>
  <c r="AP475" i="9"/>
  <c r="AO475" i="9"/>
  <c r="AN475" i="9"/>
  <c r="AM475" i="9"/>
  <c r="AL475" i="9"/>
  <c r="AK475" i="9"/>
  <c r="P475" i="9"/>
  <c r="O475" i="9"/>
  <c r="N475" i="9"/>
  <c r="M475" i="9"/>
  <c r="L475" i="9"/>
  <c r="K475" i="9"/>
  <c r="J475" i="9"/>
  <c r="AQ474" i="9"/>
  <c r="AP474" i="9"/>
  <c r="AO474" i="9"/>
  <c r="AN474" i="9"/>
  <c r="AM474" i="9"/>
  <c r="AL474" i="9"/>
  <c r="AK474" i="9"/>
  <c r="P474" i="9"/>
  <c r="AQ473" i="9"/>
  <c r="AP473" i="9"/>
  <c r="AO473" i="9"/>
  <c r="AN473" i="9"/>
  <c r="AM473" i="9"/>
  <c r="AL473" i="9"/>
  <c r="AK473" i="9"/>
  <c r="P473" i="9"/>
  <c r="AQ472" i="9"/>
  <c r="AP472" i="9"/>
  <c r="AO472" i="9"/>
  <c r="AN472" i="9"/>
  <c r="AM472" i="9"/>
  <c r="AL472" i="9"/>
  <c r="AK472" i="9"/>
  <c r="Z472" i="9"/>
  <c r="P472" i="9"/>
  <c r="AQ471" i="9"/>
  <c r="AP471" i="9"/>
  <c r="AO471" i="9"/>
  <c r="AN471" i="9"/>
  <c r="AM471" i="9"/>
  <c r="AL471" i="9"/>
  <c r="AK471" i="9"/>
  <c r="Z471" i="9"/>
  <c r="P471" i="9"/>
  <c r="AQ470" i="9"/>
  <c r="AP470" i="9"/>
  <c r="AO470" i="9"/>
  <c r="AN470" i="9"/>
  <c r="AM470" i="9"/>
  <c r="AL470" i="9"/>
  <c r="AK470" i="9"/>
  <c r="Z470" i="9"/>
  <c r="P470" i="9"/>
  <c r="AQ469" i="9"/>
  <c r="AP469" i="9"/>
  <c r="AO469" i="9"/>
  <c r="AN469" i="9"/>
  <c r="AM469" i="9"/>
  <c r="AL469" i="9"/>
  <c r="AK469" i="9"/>
  <c r="Z469" i="9"/>
  <c r="P469" i="9"/>
  <c r="AQ468" i="9"/>
  <c r="AP468" i="9"/>
  <c r="AO468" i="9"/>
  <c r="AN468" i="9"/>
  <c r="AM468" i="9"/>
  <c r="AL468" i="9"/>
  <c r="AK468" i="9"/>
  <c r="P468" i="9"/>
  <c r="O468" i="9"/>
  <c r="N468" i="9"/>
  <c r="M468" i="9"/>
  <c r="L468" i="9"/>
  <c r="K468" i="9"/>
  <c r="J468" i="9"/>
  <c r="P465" i="9"/>
  <c r="O465" i="9"/>
  <c r="N465" i="9"/>
  <c r="M465" i="9"/>
  <c r="L465" i="9"/>
  <c r="K465" i="9"/>
  <c r="J465" i="9"/>
  <c r="P464" i="9"/>
  <c r="O464" i="9"/>
  <c r="N464" i="9"/>
  <c r="M464" i="9"/>
  <c r="L464" i="9"/>
  <c r="K464" i="9"/>
  <c r="J464" i="9"/>
  <c r="R453" i="9"/>
  <c r="A442" i="9"/>
  <c r="O441" i="9"/>
  <c r="N441" i="9"/>
  <c r="M441" i="9"/>
  <c r="L441" i="9"/>
  <c r="K441" i="9"/>
  <c r="J441" i="9"/>
  <c r="O440" i="9"/>
  <c r="N440" i="9"/>
  <c r="M440" i="9"/>
  <c r="L440" i="9"/>
  <c r="K440" i="9"/>
  <c r="J440" i="9"/>
  <c r="O439" i="9"/>
  <c r="N439" i="9"/>
  <c r="M439" i="9"/>
  <c r="L439" i="9"/>
  <c r="K439" i="9"/>
  <c r="J439" i="9"/>
  <c r="O438" i="9"/>
  <c r="N438" i="9"/>
  <c r="M438" i="9"/>
  <c r="L438" i="9"/>
  <c r="K438" i="9"/>
  <c r="J438" i="9"/>
  <c r="O437" i="9"/>
  <c r="N437" i="9"/>
  <c r="M437" i="9"/>
  <c r="L437" i="9"/>
  <c r="K437" i="9"/>
  <c r="J437" i="9"/>
  <c r="O436" i="9"/>
  <c r="N436" i="9"/>
  <c r="M436" i="9"/>
  <c r="L436" i="9"/>
  <c r="K436" i="9"/>
  <c r="J436" i="9"/>
  <c r="O435" i="9"/>
  <c r="N435" i="9"/>
  <c r="M435" i="9"/>
  <c r="L435" i="9"/>
  <c r="K435" i="9"/>
  <c r="J435" i="9"/>
  <c r="W434" i="9"/>
  <c r="V434" i="9"/>
  <c r="U434" i="9"/>
  <c r="T434" i="9"/>
  <c r="S434" i="9"/>
  <c r="R434" i="9"/>
  <c r="X433" i="9"/>
  <c r="W433" i="9"/>
  <c r="V433" i="9"/>
  <c r="U433" i="9"/>
  <c r="T433" i="9"/>
  <c r="S433" i="9"/>
  <c r="R433" i="9"/>
  <c r="Q433" i="9"/>
  <c r="P433" i="9"/>
  <c r="X432" i="9"/>
  <c r="W432" i="9"/>
  <c r="V432" i="9"/>
  <c r="U432" i="9"/>
  <c r="T432" i="9"/>
  <c r="S432" i="9"/>
  <c r="R432" i="9"/>
  <c r="P432" i="9"/>
  <c r="X431" i="9"/>
  <c r="W431" i="9"/>
  <c r="V431" i="9"/>
  <c r="U431" i="9"/>
  <c r="T431" i="9"/>
  <c r="S431" i="9"/>
  <c r="R431" i="9"/>
  <c r="P431" i="9"/>
  <c r="X430" i="9"/>
  <c r="W430" i="9"/>
  <c r="V430" i="9"/>
  <c r="U430" i="9"/>
  <c r="T430" i="9"/>
  <c r="S430" i="9"/>
  <c r="R430" i="9"/>
  <c r="P430" i="9"/>
  <c r="X429" i="9"/>
  <c r="W429" i="9"/>
  <c r="V429" i="9"/>
  <c r="U429" i="9"/>
  <c r="T429" i="9"/>
  <c r="S429" i="9"/>
  <c r="R429" i="9"/>
  <c r="P429" i="9"/>
  <c r="X428" i="9"/>
  <c r="W428" i="9"/>
  <c r="V428" i="9"/>
  <c r="U428" i="9"/>
  <c r="T428" i="9"/>
  <c r="S428" i="9"/>
  <c r="R428" i="9"/>
  <c r="P428" i="9"/>
  <c r="X427" i="9"/>
  <c r="W427" i="9"/>
  <c r="V427" i="9"/>
  <c r="U427" i="9"/>
  <c r="T427" i="9"/>
  <c r="S427" i="9"/>
  <c r="R427" i="9"/>
  <c r="P427" i="9"/>
  <c r="O427" i="9"/>
  <c r="N427" i="9"/>
  <c r="M427" i="9"/>
  <c r="L427" i="9"/>
  <c r="K427" i="9"/>
  <c r="J427" i="9"/>
  <c r="X426" i="9"/>
  <c r="W426" i="9"/>
  <c r="V426" i="9"/>
  <c r="U426" i="9"/>
  <c r="T426" i="9"/>
  <c r="S426" i="9"/>
  <c r="R426" i="9"/>
  <c r="Q426" i="9"/>
  <c r="P426" i="9"/>
  <c r="X425" i="9"/>
  <c r="W425" i="9"/>
  <c r="V425" i="9"/>
  <c r="U425" i="9"/>
  <c r="T425" i="9"/>
  <c r="S425" i="9"/>
  <c r="R425" i="9"/>
  <c r="P425" i="9"/>
  <c r="X424" i="9"/>
  <c r="W424" i="9"/>
  <c r="V424" i="9"/>
  <c r="U424" i="9"/>
  <c r="T424" i="9"/>
  <c r="S424" i="9"/>
  <c r="R424" i="9"/>
  <c r="P424" i="9"/>
  <c r="Z423" i="9"/>
  <c r="X423" i="9"/>
  <c r="W423" i="9"/>
  <c r="V423" i="9"/>
  <c r="U423" i="9"/>
  <c r="T423" i="9"/>
  <c r="S423" i="9"/>
  <c r="R423" i="9"/>
  <c r="P423" i="9"/>
  <c r="X422" i="9"/>
  <c r="W422" i="9"/>
  <c r="V422" i="9"/>
  <c r="U422" i="9"/>
  <c r="T422" i="9"/>
  <c r="S422" i="9"/>
  <c r="R422" i="9"/>
  <c r="P422" i="9"/>
  <c r="Z421" i="9"/>
  <c r="X421" i="9"/>
  <c r="W421" i="9"/>
  <c r="V421" i="9"/>
  <c r="U421" i="9"/>
  <c r="T421" i="9"/>
  <c r="S421" i="9"/>
  <c r="R421" i="9"/>
  <c r="P421" i="9"/>
  <c r="Z420" i="9"/>
  <c r="X420" i="9"/>
  <c r="W420" i="9"/>
  <c r="V420" i="9"/>
  <c r="U420" i="9"/>
  <c r="T420" i="9"/>
  <c r="S420" i="9"/>
  <c r="R420" i="9"/>
  <c r="P420" i="9"/>
  <c r="O420" i="9"/>
  <c r="N420" i="9"/>
  <c r="M420" i="9"/>
  <c r="L420" i="9"/>
  <c r="K420" i="9"/>
  <c r="J420" i="9"/>
  <c r="Z419" i="9"/>
  <c r="A419" i="9"/>
  <c r="Z418" i="9"/>
  <c r="L418" i="9"/>
  <c r="Z417" i="9"/>
  <c r="P417" i="9"/>
  <c r="O417" i="9"/>
  <c r="N417" i="9"/>
  <c r="M417" i="9"/>
  <c r="L417" i="9"/>
  <c r="K417" i="9"/>
  <c r="J417" i="9"/>
  <c r="O416" i="9"/>
  <c r="N416" i="9"/>
  <c r="M416" i="9"/>
  <c r="L416" i="9"/>
  <c r="K416" i="9"/>
  <c r="J416" i="9"/>
  <c r="Z415" i="9"/>
  <c r="P415" i="9"/>
  <c r="O415" i="9"/>
  <c r="N415" i="9"/>
  <c r="M415" i="9"/>
  <c r="L415" i="9"/>
  <c r="K415" i="9"/>
  <c r="J415" i="9"/>
  <c r="Z414" i="9"/>
  <c r="P414" i="9"/>
  <c r="O414" i="9"/>
  <c r="N414" i="9"/>
  <c r="M414" i="9"/>
  <c r="L414" i="9"/>
  <c r="K414" i="9"/>
  <c r="J414" i="9"/>
  <c r="P413" i="9"/>
  <c r="Z412" i="9"/>
  <c r="P412" i="9"/>
  <c r="O412" i="9"/>
  <c r="N412" i="9"/>
  <c r="M412" i="9"/>
  <c r="L412" i="9"/>
  <c r="K412" i="9"/>
  <c r="J412" i="9"/>
  <c r="Z411" i="9"/>
  <c r="P411" i="9"/>
  <c r="O411" i="9"/>
  <c r="N411" i="9"/>
  <c r="M411" i="9"/>
  <c r="L411" i="9"/>
  <c r="K411" i="9"/>
  <c r="J411" i="9"/>
  <c r="Z410" i="9"/>
  <c r="W413" i="9"/>
  <c r="P410" i="9"/>
  <c r="O410" i="9"/>
  <c r="N410" i="9"/>
  <c r="M410" i="9"/>
  <c r="L410" i="9"/>
  <c r="K410" i="9"/>
  <c r="J410" i="9"/>
  <c r="Z409" i="9"/>
  <c r="X409" i="9"/>
  <c r="W409" i="9"/>
  <c r="V409" i="9"/>
  <c r="U409" i="9"/>
  <c r="T409" i="9"/>
  <c r="S409" i="9"/>
  <c r="R409" i="9"/>
  <c r="P409" i="9"/>
  <c r="O409" i="9"/>
  <c r="N409" i="9"/>
  <c r="M409" i="9"/>
  <c r="L409" i="9"/>
  <c r="K409" i="9"/>
  <c r="J409" i="9"/>
  <c r="Z408" i="9"/>
  <c r="X408" i="9"/>
  <c r="W408" i="9"/>
  <c r="V408" i="9"/>
  <c r="U408" i="9"/>
  <c r="T408" i="9"/>
  <c r="S408" i="9"/>
  <c r="R408" i="9"/>
  <c r="Z407" i="9"/>
  <c r="X407" i="9"/>
  <c r="W407" i="9"/>
  <c r="V407" i="9"/>
  <c r="U407" i="9"/>
  <c r="T407" i="9"/>
  <c r="S407" i="9"/>
  <c r="R407" i="9"/>
  <c r="P407" i="9"/>
  <c r="O407" i="9"/>
  <c r="N407" i="9"/>
  <c r="M407" i="9"/>
  <c r="L407" i="9"/>
  <c r="K407" i="9"/>
  <c r="J407" i="9"/>
  <c r="AP406" i="9"/>
  <c r="AO406" i="9"/>
  <c r="AN406" i="9"/>
  <c r="AM406" i="9"/>
  <c r="AL406" i="9"/>
  <c r="AK406" i="9"/>
  <c r="Z406" i="9"/>
  <c r="X406" i="9"/>
  <c r="W406" i="9"/>
  <c r="V406" i="9"/>
  <c r="U406" i="9"/>
  <c r="T406" i="9"/>
  <c r="S406" i="9"/>
  <c r="R406" i="9"/>
  <c r="P406" i="9"/>
  <c r="O406" i="9"/>
  <c r="N406" i="9"/>
  <c r="M406" i="9"/>
  <c r="L406" i="9"/>
  <c r="K406" i="9"/>
  <c r="J406" i="9"/>
  <c r="AQ405" i="9"/>
  <c r="AP405" i="9"/>
  <c r="AO405" i="9"/>
  <c r="AN405" i="9"/>
  <c r="AM405" i="9"/>
  <c r="AL405" i="9"/>
  <c r="AK405" i="9"/>
  <c r="Z405" i="9"/>
  <c r="X405" i="9"/>
  <c r="W405" i="9"/>
  <c r="V405" i="9"/>
  <c r="U405" i="9"/>
  <c r="T405" i="9"/>
  <c r="S405" i="9"/>
  <c r="R405" i="9"/>
  <c r="P405" i="9"/>
  <c r="O405" i="9"/>
  <c r="N405" i="9"/>
  <c r="M405" i="9"/>
  <c r="L405" i="9"/>
  <c r="K405" i="9"/>
  <c r="J405" i="9"/>
  <c r="AQ404" i="9"/>
  <c r="AP404" i="9"/>
  <c r="AO404" i="9"/>
  <c r="AN404" i="9"/>
  <c r="AM404" i="9"/>
  <c r="AL404" i="9"/>
  <c r="AK404" i="9"/>
  <c r="Z404" i="9"/>
  <c r="X404" i="9"/>
  <c r="W404" i="9"/>
  <c r="V404" i="9"/>
  <c r="U404" i="9"/>
  <c r="T404" i="9"/>
  <c r="S404" i="9"/>
  <c r="R404" i="9"/>
  <c r="P404" i="9"/>
  <c r="O404" i="9"/>
  <c r="N404" i="9"/>
  <c r="M404" i="9"/>
  <c r="L404" i="9"/>
  <c r="K404" i="9"/>
  <c r="J404" i="9"/>
  <c r="AQ403" i="9"/>
  <c r="AP403" i="9"/>
  <c r="AO403" i="9"/>
  <c r="AN403" i="9"/>
  <c r="AM403" i="9"/>
  <c r="AL403" i="9"/>
  <c r="AK403" i="9"/>
  <c r="Z403" i="9"/>
  <c r="X403" i="9"/>
  <c r="W403" i="9"/>
  <c r="V403" i="9"/>
  <c r="U403" i="9"/>
  <c r="T403" i="9"/>
  <c r="S403" i="9"/>
  <c r="R403" i="9"/>
  <c r="P403" i="9"/>
  <c r="O403" i="9"/>
  <c r="N403" i="9"/>
  <c r="M403" i="9"/>
  <c r="L403" i="9"/>
  <c r="K403" i="9"/>
  <c r="J403" i="9"/>
  <c r="AQ402" i="9"/>
  <c r="AP402" i="9"/>
  <c r="AO402" i="9"/>
  <c r="AN402" i="9"/>
  <c r="AM402" i="9"/>
  <c r="AL402" i="9"/>
  <c r="AK402" i="9"/>
  <c r="Z402" i="9"/>
  <c r="X402" i="9"/>
  <c r="W402" i="9"/>
  <c r="V402" i="9"/>
  <c r="U402" i="9"/>
  <c r="T402" i="9"/>
  <c r="S402" i="9"/>
  <c r="R402" i="9"/>
  <c r="P402" i="9"/>
  <c r="O402" i="9"/>
  <c r="N402" i="9"/>
  <c r="M402" i="9"/>
  <c r="L402" i="9"/>
  <c r="K402" i="9"/>
  <c r="J402" i="9"/>
  <c r="AQ401" i="9"/>
  <c r="AP401" i="9"/>
  <c r="AO401" i="9"/>
  <c r="AN401" i="9"/>
  <c r="AM401" i="9"/>
  <c r="AL401" i="9"/>
  <c r="AK401" i="9"/>
  <c r="Z401" i="9"/>
  <c r="X401" i="9"/>
  <c r="W401" i="9"/>
  <c r="V401" i="9"/>
  <c r="U401" i="9"/>
  <c r="T401" i="9"/>
  <c r="S401" i="9"/>
  <c r="R401" i="9"/>
  <c r="AQ400" i="9"/>
  <c r="AP400" i="9"/>
  <c r="AO400" i="9"/>
  <c r="AN400" i="9"/>
  <c r="AM400" i="9"/>
  <c r="AL400" i="9"/>
  <c r="AK400" i="9"/>
  <c r="Z400" i="9"/>
  <c r="X400" i="9"/>
  <c r="W400" i="9"/>
  <c r="V400" i="9"/>
  <c r="U400" i="9"/>
  <c r="T400" i="9"/>
  <c r="S400" i="9"/>
  <c r="R400" i="9"/>
  <c r="P400" i="9"/>
  <c r="O400" i="9"/>
  <c r="N400" i="9"/>
  <c r="M400" i="9"/>
  <c r="L400" i="9"/>
  <c r="K400" i="9"/>
  <c r="J400" i="9"/>
  <c r="AQ399" i="9"/>
  <c r="AP399" i="9"/>
  <c r="AO399" i="9"/>
  <c r="AN399" i="9"/>
  <c r="AM399" i="9"/>
  <c r="AL399" i="9"/>
  <c r="AK399" i="9"/>
  <c r="Z399" i="9"/>
  <c r="X399" i="9"/>
  <c r="W399" i="9"/>
  <c r="V399" i="9"/>
  <c r="U399" i="9"/>
  <c r="T399" i="9"/>
  <c r="S399" i="9"/>
  <c r="R399" i="9"/>
  <c r="P399" i="9"/>
  <c r="O399" i="9"/>
  <c r="N399" i="9"/>
  <c r="M399" i="9"/>
  <c r="L399" i="9"/>
  <c r="K399" i="9"/>
  <c r="J399" i="9"/>
  <c r="Z398" i="9"/>
  <c r="X398" i="9"/>
  <c r="W398" i="9"/>
  <c r="V398" i="9"/>
  <c r="U398" i="9"/>
  <c r="T398" i="9"/>
  <c r="S398" i="9"/>
  <c r="R398" i="9"/>
  <c r="P398" i="9"/>
  <c r="O398" i="9"/>
  <c r="N398" i="9"/>
  <c r="M398" i="9"/>
  <c r="L398" i="9"/>
  <c r="K398" i="9"/>
  <c r="J398" i="9"/>
  <c r="Z397" i="9"/>
  <c r="X397" i="9"/>
  <c r="W397" i="9"/>
  <c r="V397" i="9"/>
  <c r="U397" i="9"/>
  <c r="T397" i="9"/>
  <c r="S397" i="9"/>
  <c r="R397" i="9"/>
  <c r="P397" i="9"/>
  <c r="O397" i="9"/>
  <c r="N397" i="9"/>
  <c r="M397" i="9"/>
  <c r="L397" i="9"/>
  <c r="K397" i="9"/>
  <c r="J397" i="9"/>
  <c r="X396" i="9"/>
  <c r="W396" i="9"/>
  <c r="V396" i="9"/>
  <c r="U396" i="9"/>
  <c r="T396" i="9"/>
  <c r="S396" i="9"/>
  <c r="R396" i="9"/>
  <c r="P396" i="9"/>
  <c r="O396" i="9"/>
  <c r="N396" i="9"/>
  <c r="M396" i="9"/>
  <c r="L396" i="9"/>
  <c r="K396" i="9"/>
  <c r="J396" i="9"/>
  <c r="Z395" i="9"/>
  <c r="X395" i="9"/>
  <c r="W395" i="9"/>
  <c r="V395" i="9"/>
  <c r="U395" i="9"/>
  <c r="T395" i="9"/>
  <c r="S395" i="9"/>
  <c r="R395" i="9"/>
  <c r="P395" i="9"/>
  <c r="O395" i="9"/>
  <c r="N395" i="9"/>
  <c r="M395" i="9"/>
  <c r="L395" i="9"/>
  <c r="K395" i="9"/>
  <c r="J395" i="9"/>
  <c r="Z394" i="9"/>
  <c r="A394" i="9"/>
  <c r="Z393" i="9"/>
  <c r="O393" i="9"/>
  <c r="N393" i="9"/>
  <c r="K393" i="9"/>
  <c r="Z392" i="9"/>
  <c r="O392" i="9"/>
  <c r="N392" i="9"/>
  <c r="K392" i="9"/>
  <c r="Z391" i="9"/>
  <c r="P391" i="9"/>
  <c r="O391" i="9"/>
  <c r="N391" i="9"/>
  <c r="M391" i="9"/>
  <c r="L391" i="9"/>
  <c r="K391" i="9"/>
  <c r="J391" i="9"/>
  <c r="AP390" i="9"/>
  <c r="AO390" i="9"/>
  <c r="AN390" i="9"/>
  <c r="AM390" i="9"/>
  <c r="AL390" i="9"/>
  <c r="AK390" i="9"/>
  <c r="Z390" i="9"/>
  <c r="O390" i="9"/>
  <c r="N390" i="9"/>
  <c r="M390" i="9"/>
  <c r="L390" i="9"/>
  <c r="K390" i="9"/>
  <c r="J390" i="9"/>
  <c r="AQ389" i="9"/>
  <c r="AP389" i="9"/>
  <c r="AO389" i="9"/>
  <c r="AN389" i="9"/>
  <c r="AM389" i="9"/>
  <c r="AL389" i="9"/>
  <c r="AK389" i="9"/>
  <c r="Z389" i="9"/>
  <c r="P389" i="9"/>
  <c r="AQ388" i="9"/>
  <c r="AP388" i="9"/>
  <c r="AO388" i="9"/>
  <c r="AN388" i="9"/>
  <c r="AM388" i="9"/>
  <c r="AL388" i="9"/>
  <c r="AK388" i="9"/>
  <c r="P388" i="9"/>
  <c r="AQ387" i="9"/>
  <c r="AP387" i="9"/>
  <c r="AO387" i="9"/>
  <c r="AN387" i="9"/>
  <c r="AM387" i="9"/>
  <c r="AL387" i="9"/>
  <c r="AK387" i="9"/>
  <c r="Z387" i="9"/>
  <c r="P387" i="9"/>
  <c r="AQ386" i="9"/>
  <c r="AP386" i="9"/>
  <c r="AO386" i="9"/>
  <c r="AN386" i="9"/>
  <c r="AM386" i="9"/>
  <c r="AL386" i="9"/>
  <c r="AK386" i="9"/>
  <c r="Z386" i="9"/>
  <c r="P386" i="9"/>
  <c r="AQ385" i="9"/>
  <c r="AP385" i="9"/>
  <c r="AO385" i="9"/>
  <c r="AN385" i="9"/>
  <c r="AM385" i="9"/>
  <c r="AL385" i="9"/>
  <c r="AK385" i="9"/>
  <c r="Z385" i="9"/>
  <c r="P385" i="9"/>
  <c r="AQ384" i="9"/>
  <c r="AP384" i="9"/>
  <c r="AO384" i="9"/>
  <c r="AN384" i="9"/>
  <c r="AM384" i="9"/>
  <c r="AL384" i="9"/>
  <c r="AK384" i="9"/>
  <c r="Z384" i="9"/>
  <c r="P384" i="9"/>
  <c r="AQ383" i="9"/>
  <c r="AP383" i="9"/>
  <c r="AO383" i="9"/>
  <c r="AN383" i="9"/>
  <c r="AM383" i="9"/>
  <c r="AL383" i="9"/>
  <c r="AK383" i="9"/>
  <c r="P383" i="9"/>
  <c r="O383" i="9"/>
  <c r="N383" i="9"/>
  <c r="M383" i="9"/>
  <c r="L383" i="9"/>
  <c r="K383" i="9"/>
  <c r="J383" i="9"/>
  <c r="AQ382" i="9"/>
  <c r="AP382" i="9"/>
  <c r="AO382" i="9"/>
  <c r="AN382" i="9"/>
  <c r="AM382" i="9"/>
  <c r="AL382" i="9"/>
  <c r="AK382" i="9"/>
  <c r="P382" i="9"/>
  <c r="AQ381" i="9"/>
  <c r="AP381" i="9"/>
  <c r="AO381" i="9"/>
  <c r="AN381" i="9"/>
  <c r="AM381" i="9"/>
  <c r="AL381" i="9"/>
  <c r="AK381" i="9"/>
  <c r="P381" i="9"/>
  <c r="AQ380" i="9"/>
  <c r="AP380" i="9"/>
  <c r="AO380" i="9"/>
  <c r="AN380" i="9"/>
  <c r="AM380" i="9"/>
  <c r="AL380" i="9"/>
  <c r="AK380" i="9"/>
  <c r="Z380" i="9"/>
  <c r="P380" i="9"/>
  <c r="AQ379" i="9"/>
  <c r="AP379" i="9"/>
  <c r="AO379" i="9"/>
  <c r="AN379" i="9"/>
  <c r="AM379" i="9"/>
  <c r="AL379" i="9"/>
  <c r="AK379" i="9"/>
  <c r="Z379" i="9"/>
  <c r="P379" i="9"/>
  <c r="AQ378" i="9"/>
  <c r="AP378" i="9"/>
  <c r="AO378" i="9"/>
  <c r="AN378" i="9"/>
  <c r="AM378" i="9"/>
  <c r="AL378" i="9"/>
  <c r="AK378" i="9"/>
  <c r="Z378" i="9"/>
  <c r="P378" i="9"/>
  <c r="AQ377" i="9"/>
  <c r="AP377" i="9"/>
  <c r="AO377" i="9"/>
  <c r="AN377" i="9"/>
  <c r="AM377" i="9"/>
  <c r="AL377" i="9"/>
  <c r="AK377" i="9"/>
  <c r="Z377" i="9"/>
  <c r="P377" i="9"/>
  <c r="AQ376" i="9"/>
  <c r="AP376" i="9"/>
  <c r="AO376" i="9"/>
  <c r="AN376" i="9"/>
  <c r="AM376" i="9"/>
  <c r="AL376" i="9"/>
  <c r="AK376" i="9"/>
  <c r="P376" i="9"/>
  <c r="O376" i="9"/>
  <c r="N376" i="9"/>
  <c r="M376" i="9"/>
  <c r="L376" i="9"/>
  <c r="K376" i="9"/>
  <c r="J376" i="9"/>
  <c r="P373" i="9"/>
  <c r="O373" i="9"/>
  <c r="N373" i="9"/>
  <c r="M373" i="9"/>
  <c r="L373" i="9"/>
  <c r="K373" i="9"/>
  <c r="J373" i="9"/>
  <c r="P372" i="9"/>
  <c r="O372" i="9"/>
  <c r="N372" i="9"/>
  <c r="M372" i="9"/>
  <c r="L372" i="9"/>
  <c r="K372" i="9"/>
  <c r="J372" i="9"/>
  <c r="R361" i="9"/>
  <c r="A350" i="9"/>
  <c r="AG349" i="9"/>
  <c r="AE349" i="9"/>
  <c r="AD349" i="9"/>
  <c r="AC349" i="9"/>
  <c r="AB349" i="9"/>
  <c r="AA349" i="9"/>
  <c r="O349" i="9"/>
  <c r="N349" i="9"/>
  <c r="M349" i="9"/>
  <c r="L349" i="9"/>
  <c r="K349" i="9"/>
  <c r="J349" i="9"/>
  <c r="AG348" i="9"/>
  <c r="AF348" i="9"/>
  <c r="AE348" i="9"/>
  <c r="AD348" i="9"/>
  <c r="AC348" i="9"/>
  <c r="AB348" i="9"/>
  <c r="AA348" i="9"/>
  <c r="O348" i="9"/>
  <c r="N348" i="9"/>
  <c r="M348" i="9"/>
  <c r="L348" i="9"/>
  <c r="K348" i="9"/>
  <c r="J348" i="9"/>
  <c r="AG347" i="9"/>
  <c r="AF347" i="9"/>
  <c r="AE347" i="9"/>
  <c r="AD347" i="9"/>
  <c r="AC347" i="9"/>
  <c r="AB347" i="9"/>
  <c r="AA347" i="9"/>
  <c r="O347" i="9"/>
  <c r="N347" i="9"/>
  <c r="M347" i="9"/>
  <c r="L347" i="9"/>
  <c r="K347" i="9"/>
  <c r="J347" i="9"/>
  <c r="AG346" i="9"/>
  <c r="AF346" i="9"/>
  <c r="AE346" i="9"/>
  <c r="AD346" i="9"/>
  <c r="AC346" i="9"/>
  <c r="AB346" i="9"/>
  <c r="AA346" i="9"/>
  <c r="O346" i="9"/>
  <c r="N346" i="9"/>
  <c r="M346" i="9"/>
  <c r="L346" i="9"/>
  <c r="K346" i="9"/>
  <c r="J346" i="9"/>
  <c r="AG345" i="9"/>
  <c r="AF345" i="9"/>
  <c r="AE345" i="9"/>
  <c r="AD345" i="9"/>
  <c r="AC345" i="9"/>
  <c r="AB345" i="9"/>
  <c r="AA345" i="9"/>
  <c r="O345" i="9"/>
  <c r="N345" i="9"/>
  <c r="M345" i="9"/>
  <c r="L345" i="9"/>
  <c r="K345" i="9"/>
  <c r="J345" i="9"/>
  <c r="AG344" i="9"/>
  <c r="AF344" i="9"/>
  <c r="AE344" i="9"/>
  <c r="AD344" i="9"/>
  <c r="AC344" i="9"/>
  <c r="AB344" i="9"/>
  <c r="AA344" i="9"/>
  <c r="O344" i="9"/>
  <c r="N344" i="9"/>
  <c r="M344" i="9"/>
  <c r="L344" i="9"/>
  <c r="K344" i="9"/>
  <c r="J344" i="9"/>
  <c r="AG343" i="9"/>
  <c r="AF343" i="9"/>
  <c r="AE343" i="9"/>
  <c r="AD343" i="9"/>
  <c r="AC343" i="9"/>
  <c r="AB343" i="9"/>
  <c r="AA343" i="9"/>
  <c r="O343" i="9"/>
  <c r="N343" i="9"/>
  <c r="M343" i="9"/>
  <c r="L343" i="9"/>
  <c r="K343" i="9"/>
  <c r="J343" i="9"/>
  <c r="W342" i="9"/>
  <c r="V342" i="9"/>
  <c r="U342" i="9"/>
  <c r="T342" i="9"/>
  <c r="S342" i="9"/>
  <c r="R342" i="9"/>
  <c r="AG341" i="9"/>
  <c r="X341" i="9"/>
  <c r="W341" i="9"/>
  <c r="V341" i="9"/>
  <c r="U341" i="9"/>
  <c r="T341" i="9"/>
  <c r="S341" i="9"/>
  <c r="R341" i="9"/>
  <c r="Q341" i="9"/>
  <c r="P341" i="9"/>
  <c r="AG340" i="9"/>
  <c r="X340" i="9"/>
  <c r="W340" i="9"/>
  <c r="V340" i="9"/>
  <c r="U340" i="9"/>
  <c r="T340" i="9"/>
  <c r="S340" i="9"/>
  <c r="R340" i="9"/>
  <c r="P340" i="9"/>
  <c r="AG339" i="9"/>
  <c r="X339" i="9"/>
  <c r="W339" i="9"/>
  <c r="V339" i="9"/>
  <c r="U339" i="9"/>
  <c r="T339" i="9"/>
  <c r="S339" i="9"/>
  <c r="R339" i="9"/>
  <c r="P339" i="9"/>
  <c r="AG338" i="9"/>
  <c r="X338" i="9"/>
  <c r="W338" i="9"/>
  <c r="V338" i="9"/>
  <c r="U338" i="9"/>
  <c r="T338" i="9"/>
  <c r="S338" i="9"/>
  <c r="R338" i="9"/>
  <c r="P338" i="9"/>
  <c r="AG337" i="9"/>
  <c r="X337" i="9"/>
  <c r="W337" i="9"/>
  <c r="V337" i="9"/>
  <c r="U337" i="9"/>
  <c r="T337" i="9"/>
  <c r="S337" i="9"/>
  <c r="R337" i="9"/>
  <c r="P337" i="9"/>
  <c r="AG336" i="9"/>
  <c r="X336" i="9"/>
  <c r="W336" i="9"/>
  <c r="V336" i="9"/>
  <c r="U336" i="9"/>
  <c r="T336" i="9"/>
  <c r="S336" i="9"/>
  <c r="R336" i="9"/>
  <c r="P336" i="9"/>
  <c r="AG335" i="9"/>
  <c r="AF335" i="9"/>
  <c r="AE335" i="9"/>
  <c r="AD335" i="9"/>
  <c r="AC335" i="9"/>
  <c r="AB335" i="9"/>
  <c r="AA335" i="9"/>
  <c r="X335" i="9"/>
  <c r="W335" i="9"/>
  <c r="V335" i="9"/>
  <c r="U335" i="9"/>
  <c r="T335" i="9"/>
  <c r="S335" i="9"/>
  <c r="R335" i="9"/>
  <c r="P335" i="9"/>
  <c r="O335" i="9"/>
  <c r="N335" i="9"/>
  <c r="M335" i="9"/>
  <c r="L335" i="9"/>
  <c r="K335" i="9"/>
  <c r="J335" i="9"/>
  <c r="AG334" i="9"/>
  <c r="X334" i="9"/>
  <c r="W334" i="9"/>
  <c r="V334" i="9"/>
  <c r="U334" i="9"/>
  <c r="T334" i="9"/>
  <c r="S334" i="9"/>
  <c r="R334" i="9"/>
  <c r="Q334" i="9"/>
  <c r="P334" i="9"/>
  <c r="O334" i="9"/>
  <c r="N334" i="9"/>
  <c r="M334" i="9"/>
  <c r="L334" i="9"/>
  <c r="K334" i="9"/>
  <c r="J334" i="9"/>
  <c r="AG333" i="9"/>
  <c r="X333" i="9"/>
  <c r="W333" i="9"/>
  <c r="V333" i="9"/>
  <c r="U333" i="9"/>
  <c r="T333" i="9"/>
  <c r="S333" i="9"/>
  <c r="R333" i="9"/>
  <c r="P333" i="9"/>
  <c r="O333" i="9"/>
  <c r="N333" i="9"/>
  <c r="M333" i="9"/>
  <c r="L333" i="9"/>
  <c r="K333" i="9"/>
  <c r="J333" i="9"/>
  <c r="AG332" i="9"/>
  <c r="X332" i="9"/>
  <c r="W332" i="9"/>
  <c r="V332" i="9"/>
  <c r="U332" i="9"/>
  <c r="T332" i="9"/>
  <c r="S332" i="9"/>
  <c r="R332" i="9"/>
  <c r="P332" i="9"/>
  <c r="O332" i="9"/>
  <c r="N332" i="9"/>
  <c r="M332" i="9"/>
  <c r="L332" i="9"/>
  <c r="K332" i="9"/>
  <c r="J332" i="9"/>
  <c r="AG331" i="9"/>
  <c r="X331" i="9"/>
  <c r="W331" i="9"/>
  <c r="V331" i="9"/>
  <c r="U331" i="9"/>
  <c r="T331" i="9"/>
  <c r="S331" i="9"/>
  <c r="R331" i="9"/>
  <c r="P331" i="9"/>
  <c r="O331" i="9"/>
  <c r="N331" i="9"/>
  <c r="M331" i="9"/>
  <c r="L331" i="9"/>
  <c r="K331" i="9"/>
  <c r="J331" i="9"/>
  <c r="AG330" i="9"/>
  <c r="X330" i="9"/>
  <c r="W330" i="9"/>
  <c r="V330" i="9"/>
  <c r="U330" i="9"/>
  <c r="T330" i="9"/>
  <c r="S330" i="9"/>
  <c r="R330" i="9"/>
  <c r="P330" i="9"/>
  <c r="O330" i="9"/>
  <c r="N330" i="9"/>
  <c r="M330" i="9"/>
  <c r="L330" i="9"/>
  <c r="K330" i="9"/>
  <c r="J330" i="9"/>
  <c r="AG329" i="9"/>
  <c r="X329" i="9"/>
  <c r="W329" i="9"/>
  <c r="V329" i="9"/>
  <c r="U329" i="9"/>
  <c r="T329" i="9"/>
  <c r="S329" i="9"/>
  <c r="R329" i="9"/>
  <c r="P329" i="9"/>
  <c r="O329" i="9"/>
  <c r="N329" i="9"/>
  <c r="M329" i="9"/>
  <c r="L329" i="9"/>
  <c r="K329" i="9"/>
  <c r="J329" i="9"/>
  <c r="AG328" i="9"/>
  <c r="AF328" i="9"/>
  <c r="AE328" i="9"/>
  <c r="AD328" i="9"/>
  <c r="AC328" i="9"/>
  <c r="AB328" i="9"/>
  <c r="AA328" i="9"/>
  <c r="X328" i="9"/>
  <c r="W328" i="9"/>
  <c r="V328" i="9"/>
  <c r="U328" i="9"/>
  <c r="T328" i="9"/>
  <c r="S328" i="9"/>
  <c r="R328" i="9"/>
  <c r="P328" i="9"/>
  <c r="O328" i="9"/>
  <c r="N328" i="9"/>
  <c r="M328" i="9"/>
  <c r="L328" i="9"/>
  <c r="K328" i="9"/>
  <c r="J328" i="9"/>
  <c r="A327" i="9"/>
  <c r="L326" i="9"/>
  <c r="P325" i="9"/>
  <c r="O325" i="9"/>
  <c r="N325" i="9"/>
  <c r="M325" i="9"/>
  <c r="L325" i="9"/>
  <c r="K325" i="9"/>
  <c r="J325" i="9"/>
  <c r="O324" i="9"/>
  <c r="N324" i="9"/>
  <c r="M324" i="9"/>
  <c r="L324" i="9"/>
  <c r="K324" i="9"/>
  <c r="J324" i="9"/>
  <c r="P323" i="9"/>
  <c r="O323" i="9"/>
  <c r="N323" i="9"/>
  <c r="M323" i="9"/>
  <c r="L323" i="9"/>
  <c r="K323" i="9"/>
  <c r="J323" i="9"/>
  <c r="P322" i="9"/>
  <c r="O322" i="9"/>
  <c r="N322" i="9"/>
  <c r="M322" i="9"/>
  <c r="L322" i="9"/>
  <c r="K322" i="9"/>
  <c r="J322" i="9"/>
  <c r="P321" i="9"/>
  <c r="P320" i="9"/>
  <c r="O320" i="9"/>
  <c r="N320" i="9"/>
  <c r="M320" i="9"/>
  <c r="L320" i="9"/>
  <c r="K320" i="9"/>
  <c r="J320" i="9"/>
  <c r="P319" i="9"/>
  <c r="O319" i="9"/>
  <c r="N319" i="9"/>
  <c r="M319" i="9"/>
  <c r="L319" i="9"/>
  <c r="K319" i="9"/>
  <c r="J319" i="9"/>
  <c r="W321" i="9"/>
  <c r="P318" i="9"/>
  <c r="O318" i="9"/>
  <c r="N318" i="9"/>
  <c r="M318" i="9"/>
  <c r="L318" i="9"/>
  <c r="K318" i="9"/>
  <c r="J318" i="9"/>
  <c r="X317" i="9"/>
  <c r="W317" i="9"/>
  <c r="V317" i="9"/>
  <c r="U317" i="9"/>
  <c r="T317" i="9"/>
  <c r="S317" i="9"/>
  <c r="R317" i="9"/>
  <c r="P317" i="9"/>
  <c r="O317" i="9"/>
  <c r="N317" i="9"/>
  <c r="M317" i="9"/>
  <c r="L317" i="9"/>
  <c r="K317" i="9"/>
  <c r="J317" i="9"/>
  <c r="X316" i="9"/>
  <c r="W316" i="9"/>
  <c r="V316" i="9"/>
  <c r="U316" i="9"/>
  <c r="T316" i="9"/>
  <c r="S316" i="9"/>
  <c r="R316" i="9"/>
  <c r="P316" i="9"/>
  <c r="O316" i="9"/>
  <c r="N316" i="9"/>
  <c r="M316" i="9"/>
  <c r="L316" i="9"/>
  <c r="K316" i="9"/>
  <c r="J316" i="9"/>
  <c r="X315" i="9"/>
  <c r="W315" i="9"/>
  <c r="V315" i="9"/>
  <c r="U315" i="9"/>
  <c r="T315" i="9"/>
  <c r="S315" i="9"/>
  <c r="R315" i="9"/>
  <c r="P315" i="9"/>
  <c r="O315" i="9"/>
  <c r="N315" i="9"/>
  <c r="M315" i="9"/>
  <c r="L315" i="9"/>
  <c r="K315" i="9"/>
  <c r="J315" i="9"/>
  <c r="AP314" i="9"/>
  <c r="AO314" i="9"/>
  <c r="AN314" i="9"/>
  <c r="AM314" i="9"/>
  <c r="AL314" i="9"/>
  <c r="AK314" i="9"/>
  <c r="X314" i="9"/>
  <c r="W314" i="9"/>
  <c r="V314" i="9"/>
  <c r="U314" i="9"/>
  <c r="T314" i="9"/>
  <c r="S314" i="9"/>
  <c r="R314" i="9"/>
  <c r="P314" i="9"/>
  <c r="O314" i="9"/>
  <c r="N314" i="9"/>
  <c r="M314" i="9"/>
  <c r="L314" i="9"/>
  <c r="K314" i="9"/>
  <c r="J314" i="9"/>
  <c r="AQ313" i="9"/>
  <c r="AP313" i="9"/>
  <c r="AO313" i="9"/>
  <c r="AN313" i="9"/>
  <c r="AM313" i="9"/>
  <c r="AL313" i="9"/>
  <c r="AK313" i="9"/>
  <c r="X313" i="9"/>
  <c r="W313" i="9"/>
  <c r="V313" i="9"/>
  <c r="U313" i="9"/>
  <c r="T313" i="9"/>
  <c r="S313" i="9"/>
  <c r="R313" i="9"/>
  <c r="P313" i="9"/>
  <c r="O313" i="9"/>
  <c r="N313" i="9"/>
  <c r="M313" i="9"/>
  <c r="L313" i="9"/>
  <c r="K313" i="9"/>
  <c r="J313" i="9"/>
  <c r="AQ312" i="9"/>
  <c r="AP312" i="9"/>
  <c r="AO312" i="9"/>
  <c r="AN312" i="9"/>
  <c r="AM312" i="9"/>
  <c r="AL312" i="9"/>
  <c r="AK312" i="9"/>
  <c r="X312" i="9"/>
  <c r="W312" i="9"/>
  <c r="V312" i="9"/>
  <c r="U312" i="9"/>
  <c r="T312" i="9"/>
  <c r="S312" i="9"/>
  <c r="R312" i="9"/>
  <c r="P312" i="9"/>
  <c r="O312" i="9"/>
  <c r="N312" i="9"/>
  <c r="M312" i="9"/>
  <c r="L312" i="9"/>
  <c r="K312" i="9"/>
  <c r="J312" i="9"/>
  <c r="AQ311" i="9"/>
  <c r="AP311" i="9"/>
  <c r="AO311" i="9"/>
  <c r="AN311" i="9"/>
  <c r="AM311" i="9"/>
  <c r="AL311" i="9"/>
  <c r="AK311" i="9"/>
  <c r="X311" i="9"/>
  <c r="W311" i="9"/>
  <c r="V311" i="9"/>
  <c r="U311" i="9"/>
  <c r="T311" i="9"/>
  <c r="S311" i="9"/>
  <c r="R311" i="9"/>
  <c r="P311" i="9"/>
  <c r="O311" i="9"/>
  <c r="N311" i="9"/>
  <c r="M311" i="9"/>
  <c r="L311" i="9"/>
  <c r="K311" i="9"/>
  <c r="J311" i="9"/>
  <c r="AQ310" i="9"/>
  <c r="AP310" i="9"/>
  <c r="AO310" i="9"/>
  <c r="AN310" i="9"/>
  <c r="AM310" i="9"/>
  <c r="AL310" i="9"/>
  <c r="AK310" i="9"/>
  <c r="X310" i="9"/>
  <c r="W310" i="9"/>
  <c r="V310" i="9"/>
  <c r="U310" i="9"/>
  <c r="T310" i="9"/>
  <c r="S310" i="9"/>
  <c r="R310" i="9"/>
  <c r="P310" i="9"/>
  <c r="O310" i="9"/>
  <c r="N310" i="9"/>
  <c r="M310" i="9"/>
  <c r="L310" i="9"/>
  <c r="K310" i="9"/>
  <c r="J310" i="9"/>
  <c r="AQ309" i="9"/>
  <c r="AP309" i="9"/>
  <c r="AO309" i="9"/>
  <c r="AN309" i="9"/>
  <c r="AM309" i="9"/>
  <c r="AL309" i="9"/>
  <c r="AK309" i="9"/>
  <c r="X309" i="9"/>
  <c r="W309" i="9"/>
  <c r="V309" i="9"/>
  <c r="U309" i="9"/>
  <c r="T309" i="9"/>
  <c r="S309" i="9"/>
  <c r="R309" i="9"/>
  <c r="AQ308" i="9"/>
  <c r="AP308" i="9"/>
  <c r="AO308" i="9"/>
  <c r="AN308" i="9"/>
  <c r="AM308" i="9"/>
  <c r="AL308" i="9"/>
  <c r="AK308" i="9"/>
  <c r="X308" i="9"/>
  <c r="W308" i="9"/>
  <c r="V308" i="9"/>
  <c r="U308" i="9"/>
  <c r="T308" i="9"/>
  <c r="S308" i="9"/>
  <c r="R308" i="9"/>
  <c r="P308" i="9"/>
  <c r="O308" i="9"/>
  <c r="N308" i="9"/>
  <c r="M308" i="9"/>
  <c r="L308" i="9"/>
  <c r="K308" i="9"/>
  <c r="J308" i="9"/>
  <c r="AQ307" i="9"/>
  <c r="AP307" i="9"/>
  <c r="AO307" i="9"/>
  <c r="AN307" i="9"/>
  <c r="AM307" i="9"/>
  <c r="AL307" i="9"/>
  <c r="AK307" i="9"/>
  <c r="X307" i="9"/>
  <c r="W307" i="9"/>
  <c r="V307" i="9"/>
  <c r="U307" i="9"/>
  <c r="T307" i="9"/>
  <c r="S307" i="9"/>
  <c r="R307" i="9"/>
  <c r="P307" i="9"/>
  <c r="O307" i="9"/>
  <c r="N307" i="9"/>
  <c r="M307" i="9"/>
  <c r="L307" i="9"/>
  <c r="K307" i="9"/>
  <c r="J307" i="9"/>
  <c r="X306" i="9"/>
  <c r="W306" i="9"/>
  <c r="V306" i="9"/>
  <c r="U306" i="9"/>
  <c r="T306" i="9"/>
  <c r="S306" i="9"/>
  <c r="R306" i="9"/>
  <c r="P306" i="9"/>
  <c r="O306" i="9"/>
  <c r="N306" i="9"/>
  <c r="M306" i="9"/>
  <c r="L306" i="9"/>
  <c r="K306" i="9"/>
  <c r="J306" i="9"/>
  <c r="X305" i="9"/>
  <c r="W305" i="9"/>
  <c r="V305" i="9"/>
  <c r="U305" i="9"/>
  <c r="T305" i="9"/>
  <c r="S305" i="9"/>
  <c r="R305" i="9"/>
  <c r="P305" i="9"/>
  <c r="O305" i="9"/>
  <c r="N305" i="9"/>
  <c r="M305" i="9"/>
  <c r="L305" i="9"/>
  <c r="K305" i="9"/>
  <c r="J305" i="9"/>
  <c r="X304" i="9"/>
  <c r="W304" i="9"/>
  <c r="V304" i="9"/>
  <c r="U304" i="9"/>
  <c r="T304" i="9"/>
  <c r="S304" i="9"/>
  <c r="R304" i="9"/>
  <c r="P304" i="9"/>
  <c r="O304" i="9"/>
  <c r="N304" i="9"/>
  <c r="M304" i="9"/>
  <c r="L304" i="9"/>
  <c r="K304" i="9"/>
  <c r="J304" i="9"/>
  <c r="X303" i="9"/>
  <c r="W303" i="9"/>
  <c r="V303" i="9"/>
  <c r="U303" i="9"/>
  <c r="T303" i="9"/>
  <c r="S303" i="9"/>
  <c r="R303" i="9"/>
  <c r="P303" i="9"/>
  <c r="O303" i="9"/>
  <c r="N303" i="9"/>
  <c r="M303" i="9"/>
  <c r="L303" i="9"/>
  <c r="K303" i="9"/>
  <c r="J303" i="9"/>
  <c r="A302" i="9"/>
  <c r="O301" i="9"/>
  <c r="N301" i="9"/>
  <c r="K301" i="9"/>
  <c r="O300" i="9"/>
  <c r="N300" i="9"/>
  <c r="K300" i="9"/>
  <c r="P299" i="9"/>
  <c r="O299" i="9"/>
  <c r="N299" i="9"/>
  <c r="M299" i="9"/>
  <c r="L299" i="9"/>
  <c r="K299" i="9"/>
  <c r="J299" i="9"/>
  <c r="AP298" i="9"/>
  <c r="AO298" i="9"/>
  <c r="AN298" i="9"/>
  <c r="AM298" i="9"/>
  <c r="AL298" i="9"/>
  <c r="AK298" i="9"/>
  <c r="O298" i="9"/>
  <c r="N298" i="9"/>
  <c r="M298" i="9"/>
  <c r="L298" i="9"/>
  <c r="K298" i="9"/>
  <c r="J298" i="9"/>
  <c r="AQ297" i="9"/>
  <c r="AP297" i="9"/>
  <c r="AO297" i="9"/>
  <c r="AN297" i="9"/>
  <c r="AM297" i="9"/>
  <c r="AL297" i="9"/>
  <c r="AK297" i="9"/>
  <c r="P297" i="9"/>
  <c r="AQ296" i="9"/>
  <c r="AP296" i="9"/>
  <c r="AO296" i="9"/>
  <c r="AN296" i="9"/>
  <c r="AM296" i="9"/>
  <c r="AL296" i="9"/>
  <c r="AK296" i="9"/>
  <c r="P296" i="9"/>
  <c r="AQ295" i="9"/>
  <c r="AP295" i="9"/>
  <c r="AO295" i="9"/>
  <c r="AN295" i="9"/>
  <c r="AM295" i="9"/>
  <c r="AL295" i="9"/>
  <c r="AK295" i="9"/>
  <c r="P295" i="9"/>
  <c r="AQ294" i="9"/>
  <c r="AP294" i="9"/>
  <c r="AO294" i="9"/>
  <c r="AN294" i="9"/>
  <c r="AM294" i="9"/>
  <c r="AL294" i="9"/>
  <c r="AK294" i="9"/>
  <c r="P294" i="9"/>
  <c r="AQ293" i="9"/>
  <c r="AP293" i="9"/>
  <c r="AO293" i="9"/>
  <c r="AN293" i="9"/>
  <c r="AM293" i="9"/>
  <c r="AL293" i="9"/>
  <c r="AK293" i="9"/>
  <c r="P293" i="9"/>
  <c r="AQ292" i="9"/>
  <c r="AP292" i="9"/>
  <c r="AO292" i="9"/>
  <c r="AN292" i="9"/>
  <c r="AM292" i="9"/>
  <c r="AL292" i="9"/>
  <c r="AK292" i="9"/>
  <c r="P292" i="9"/>
  <c r="AQ291" i="9"/>
  <c r="AP291" i="9"/>
  <c r="AO291" i="9"/>
  <c r="AN291" i="9"/>
  <c r="AM291" i="9"/>
  <c r="AL291" i="9"/>
  <c r="AK291" i="9"/>
  <c r="P291" i="9"/>
  <c r="O291" i="9"/>
  <c r="N291" i="9"/>
  <c r="M291" i="9"/>
  <c r="L291" i="9"/>
  <c r="K291" i="9"/>
  <c r="J291" i="9"/>
  <c r="AQ290" i="9"/>
  <c r="AP290" i="9"/>
  <c r="AO290" i="9"/>
  <c r="AN290" i="9"/>
  <c r="AM290" i="9"/>
  <c r="AL290" i="9"/>
  <c r="AK290" i="9"/>
  <c r="P290" i="9"/>
  <c r="AQ289" i="9"/>
  <c r="AP289" i="9"/>
  <c r="AO289" i="9"/>
  <c r="AN289" i="9"/>
  <c r="AM289" i="9"/>
  <c r="AL289" i="9"/>
  <c r="AK289" i="9"/>
  <c r="P289" i="9"/>
  <c r="AQ288" i="9"/>
  <c r="AP288" i="9"/>
  <c r="AO288" i="9"/>
  <c r="AN288" i="9"/>
  <c r="AM288" i="9"/>
  <c r="AL288" i="9"/>
  <c r="AK288" i="9"/>
  <c r="P288" i="9"/>
  <c r="AQ287" i="9"/>
  <c r="AP287" i="9"/>
  <c r="AO287" i="9"/>
  <c r="AN287" i="9"/>
  <c r="AM287" i="9"/>
  <c r="AL287" i="9"/>
  <c r="AK287" i="9"/>
  <c r="P287" i="9"/>
  <c r="AQ286" i="9"/>
  <c r="AP286" i="9"/>
  <c r="AO286" i="9"/>
  <c r="AN286" i="9"/>
  <c r="AM286" i="9"/>
  <c r="AL286" i="9"/>
  <c r="AK286" i="9"/>
  <c r="P286" i="9"/>
  <c r="AQ285" i="9"/>
  <c r="AP285" i="9"/>
  <c r="AO285" i="9"/>
  <c r="AN285" i="9"/>
  <c r="AM285" i="9"/>
  <c r="AL285" i="9"/>
  <c r="AK285" i="9"/>
  <c r="P285" i="9"/>
  <c r="AQ284" i="9"/>
  <c r="AP284" i="9"/>
  <c r="AO284" i="9"/>
  <c r="AN284" i="9"/>
  <c r="AM284" i="9"/>
  <c r="AL284" i="9"/>
  <c r="AK284" i="9"/>
  <c r="P284" i="9"/>
  <c r="O284" i="9"/>
  <c r="N284" i="9"/>
  <c r="M284" i="9"/>
  <c r="L284" i="9"/>
  <c r="K284" i="9"/>
  <c r="J284" i="9"/>
  <c r="P281" i="9"/>
  <c r="O281" i="9"/>
  <c r="N281" i="9"/>
  <c r="M281" i="9"/>
  <c r="L281" i="9"/>
  <c r="K281" i="9"/>
  <c r="J281" i="9"/>
  <c r="P280" i="9"/>
  <c r="O280" i="9"/>
  <c r="N280" i="9"/>
  <c r="M280" i="9"/>
  <c r="L280" i="9"/>
  <c r="K280" i="9"/>
  <c r="J280" i="9"/>
  <c r="R269" i="9"/>
  <c r="A258" i="9"/>
  <c r="AG257" i="9"/>
  <c r="AE257" i="9"/>
  <c r="AD257" i="9"/>
  <c r="AC257" i="9"/>
  <c r="AB257" i="9"/>
  <c r="AA257" i="9"/>
  <c r="O257" i="9"/>
  <c r="N257" i="9"/>
  <c r="M257" i="9"/>
  <c r="L257" i="9"/>
  <c r="K257" i="9"/>
  <c r="J257" i="9"/>
  <c r="AG256" i="9"/>
  <c r="AF256" i="9"/>
  <c r="AE256" i="9"/>
  <c r="AD256" i="9"/>
  <c r="AC256" i="9"/>
  <c r="AB256" i="9"/>
  <c r="AA256" i="9"/>
  <c r="O256" i="9"/>
  <c r="N256" i="9"/>
  <c r="M256" i="9"/>
  <c r="L256" i="9"/>
  <c r="K256" i="9"/>
  <c r="J256" i="9"/>
  <c r="AG255" i="9"/>
  <c r="AF255" i="9"/>
  <c r="AE255" i="9"/>
  <c r="AD255" i="9"/>
  <c r="AC255" i="9"/>
  <c r="AB255" i="9"/>
  <c r="AA255" i="9"/>
  <c r="O255" i="9"/>
  <c r="N255" i="9"/>
  <c r="M255" i="9"/>
  <c r="L255" i="9"/>
  <c r="K255" i="9"/>
  <c r="J255" i="9"/>
  <c r="AG254" i="9"/>
  <c r="AF254" i="9"/>
  <c r="AE254" i="9"/>
  <c r="AD254" i="9"/>
  <c r="AC254" i="9"/>
  <c r="AB254" i="9"/>
  <c r="AA254" i="9"/>
  <c r="O254" i="9"/>
  <c r="N254" i="9"/>
  <c r="M254" i="9"/>
  <c r="L254" i="9"/>
  <c r="K254" i="9"/>
  <c r="J254" i="9"/>
  <c r="AG253" i="9"/>
  <c r="AF253" i="9"/>
  <c r="AE253" i="9"/>
  <c r="AD253" i="9"/>
  <c r="AC253" i="9"/>
  <c r="AB253" i="9"/>
  <c r="AA253" i="9"/>
  <c r="O253" i="9"/>
  <c r="N253" i="9"/>
  <c r="M253" i="9"/>
  <c r="L253" i="9"/>
  <c r="K253" i="9"/>
  <c r="J253" i="9"/>
  <c r="AG252" i="9"/>
  <c r="AF252" i="9"/>
  <c r="AE252" i="9"/>
  <c r="AD252" i="9"/>
  <c r="AC252" i="9"/>
  <c r="AB252" i="9"/>
  <c r="AA252" i="9"/>
  <c r="O252" i="9"/>
  <c r="N252" i="9"/>
  <c r="M252" i="9"/>
  <c r="L252" i="9"/>
  <c r="K252" i="9"/>
  <c r="J252" i="9"/>
  <c r="AG251" i="9"/>
  <c r="AF251" i="9"/>
  <c r="AE251" i="9"/>
  <c r="AD251" i="9"/>
  <c r="AC251" i="9"/>
  <c r="AB251" i="9"/>
  <c r="AA251" i="9"/>
  <c r="O251" i="9"/>
  <c r="N251" i="9"/>
  <c r="M251" i="9"/>
  <c r="L251" i="9"/>
  <c r="K251" i="9"/>
  <c r="J251" i="9"/>
  <c r="W250" i="9"/>
  <c r="V250" i="9"/>
  <c r="U250" i="9"/>
  <c r="T250" i="9"/>
  <c r="S250" i="9"/>
  <c r="R250" i="9"/>
  <c r="AG249" i="9"/>
  <c r="X249" i="9"/>
  <c r="W249" i="9"/>
  <c r="V249" i="9"/>
  <c r="U249" i="9"/>
  <c r="T249" i="9"/>
  <c r="S249" i="9"/>
  <c r="R249" i="9"/>
  <c r="Q249" i="9"/>
  <c r="P249" i="9"/>
  <c r="AG248" i="9"/>
  <c r="X248" i="9"/>
  <c r="W248" i="9"/>
  <c r="V248" i="9"/>
  <c r="U248" i="9"/>
  <c r="T248" i="9"/>
  <c r="S248" i="9"/>
  <c r="R248" i="9"/>
  <c r="P248" i="9"/>
  <c r="AG247" i="9"/>
  <c r="X247" i="9"/>
  <c r="W247" i="9"/>
  <c r="V247" i="9"/>
  <c r="U247" i="9"/>
  <c r="T247" i="9"/>
  <c r="S247" i="9"/>
  <c r="R247" i="9"/>
  <c r="P247" i="9"/>
  <c r="AG246" i="9"/>
  <c r="X246" i="9"/>
  <c r="W246" i="9"/>
  <c r="V246" i="9"/>
  <c r="U246" i="9"/>
  <c r="T246" i="9"/>
  <c r="S246" i="9"/>
  <c r="R246" i="9"/>
  <c r="P246" i="9"/>
  <c r="AG245" i="9"/>
  <c r="X245" i="9"/>
  <c r="W245" i="9"/>
  <c r="V245" i="9"/>
  <c r="U245" i="9"/>
  <c r="T245" i="9"/>
  <c r="S245" i="9"/>
  <c r="R245" i="9"/>
  <c r="P245" i="9"/>
  <c r="AG244" i="9"/>
  <c r="X244" i="9"/>
  <c r="W244" i="9"/>
  <c r="V244" i="9"/>
  <c r="U244" i="9"/>
  <c r="T244" i="9"/>
  <c r="S244" i="9"/>
  <c r="R244" i="9"/>
  <c r="P244" i="9"/>
  <c r="AG243" i="9"/>
  <c r="AF243" i="9"/>
  <c r="AE243" i="9"/>
  <c r="AD243" i="9"/>
  <c r="AC243" i="9"/>
  <c r="AB243" i="9"/>
  <c r="AA243" i="9"/>
  <c r="X243" i="9"/>
  <c r="W243" i="9"/>
  <c r="V243" i="9"/>
  <c r="U243" i="9"/>
  <c r="T243" i="9"/>
  <c r="S243" i="9"/>
  <c r="R243" i="9"/>
  <c r="P243" i="9"/>
  <c r="O243" i="9"/>
  <c r="N243" i="9"/>
  <c r="M243" i="9"/>
  <c r="L243" i="9"/>
  <c r="K243" i="9"/>
  <c r="J243" i="9"/>
  <c r="AG242" i="9"/>
  <c r="X242" i="9"/>
  <c r="W242" i="9"/>
  <c r="V242" i="9"/>
  <c r="U242" i="9"/>
  <c r="T242" i="9"/>
  <c r="S242" i="9"/>
  <c r="R242" i="9"/>
  <c r="Q242" i="9"/>
  <c r="P242" i="9"/>
  <c r="O242" i="9"/>
  <c r="N242" i="9"/>
  <c r="M242" i="9"/>
  <c r="L242" i="9"/>
  <c r="K242" i="9"/>
  <c r="J242" i="9"/>
  <c r="AG241" i="9"/>
  <c r="X241" i="9"/>
  <c r="W241" i="9"/>
  <c r="V241" i="9"/>
  <c r="U241" i="9"/>
  <c r="T241" i="9"/>
  <c r="S241" i="9"/>
  <c r="R241" i="9"/>
  <c r="P241" i="9"/>
  <c r="O241" i="9"/>
  <c r="N241" i="9"/>
  <c r="M241" i="9"/>
  <c r="L241" i="9"/>
  <c r="K241" i="9"/>
  <c r="J241" i="9"/>
  <c r="AG240" i="9"/>
  <c r="X240" i="9"/>
  <c r="W240" i="9"/>
  <c r="V240" i="9"/>
  <c r="U240" i="9"/>
  <c r="T240" i="9"/>
  <c r="S240" i="9"/>
  <c r="R240" i="9"/>
  <c r="P240" i="9"/>
  <c r="O240" i="9"/>
  <c r="N240" i="9"/>
  <c r="M240" i="9"/>
  <c r="L240" i="9"/>
  <c r="K240" i="9"/>
  <c r="J240" i="9"/>
  <c r="AG239" i="9"/>
  <c r="X239" i="9"/>
  <c r="W239" i="9"/>
  <c r="V239" i="9"/>
  <c r="U239" i="9"/>
  <c r="T239" i="9"/>
  <c r="S239" i="9"/>
  <c r="R239" i="9"/>
  <c r="P239" i="9"/>
  <c r="O239" i="9"/>
  <c r="N239" i="9"/>
  <c r="M239" i="9"/>
  <c r="L239" i="9"/>
  <c r="K239" i="9"/>
  <c r="J239" i="9"/>
  <c r="AG238" i="9"/>
  <c r="X238" i="9"/>
  <c r="W238" i="9"/>
  <c r="V238" i="9"/>
  <c r="U238" i="9"/>
  <c r="T238" i="9"/>
  <c r="S238" i="9"/>
  <c r="R238" i="9"/>
  <c r="P238" i="9"/>
  <c r="O238" i="9"/>
  <c r="N238" i="9"/>
  <c r="M238" i="9"/>
  <c r="L238" i="9"/>
  <c r="K238" i="9"/>
  <c r="J238" i="9"/>
  <c r="AG237" i="9"/>
  <c r="X237" i="9"/>
  <c r="W237" i="9"/>
  <c r="V237" i="9"/>
  <c r="U237" i="9"/>
  <c r="T237" i="9"/>
  <c r="S237" i="9"/>
  <c r="R237" i="9"/>
  <c r="P237" i="9"/>
  <c r="O237" i="9"/>
  <c r="N237" i="9"/>
  <c r="M237" i="9"/>
  <c r="L237" i="9"/>
  <c r="K237" i="9"/>
  <c r="J237" i="9"/>
  <c r="AG236" i="9"/>
  <c r="AF236" i="9"/>
  <c r="AE236" i="9"/>
  <c r="AD236" i="9"/>
  <c r="AC236" i="9"/>
  <c r="AB236" i="9"/>
  <c r="AA236" i="9"/>
  <c r="X236" i="9"/>
  <c r="W236" i="9"/>
  <c r="V236" i="9"/>
  <c r="U236" i="9"/>
  <c r="T236" i="9"/>
  <c r="S236" i="9"/>
  <c r="R236" i="9"/>
  <c r="P236" i="9"/>
  <c r="O236" i="9"/>
  <c r="N236" i="9"/>
  <c r="M236" i="9"/>
  <c r="L236" i="9"/>
  <c r="K236" i="9"/>
  <c r="J236" i="9"/>
  <c r="A235" i="9"/>
  <c r="P234" i="9"/>
  <c r="L234" i="9"/>
  <c r="P233" i="9"/>
  <c r="O233" i="9"/>
  <c r="N233" i="9"/>
  <c r="M233" i="9"/>
  <c r="L233" i="9"/>
  <c r="K233" i="9"/>
  <c r="J233" i="9"/>
  <c r="O232" i="9"/>
  <c r="N232" i="9"/>
  <c r="M232" i="9"/>
  <c r="L232" i="9"/>
  <c r="K232" i="9"/>
  <c r="J232" i="9"/>
  <c r="P231" i="9"/>
  <c r="O231" i="9"/>
  <c r="N231" i="9"/>
  <c r="M231" i="9"/>
  <c r="L231" i="9"/>
  <c r="K231" i="9"/>
  <c r="J231" i="9"/>
  <c r="P230" i="9"/>
  <c r="O230" i="9"/>
  <c r="N230" i="9"/>
  <c r="M230" i="9"/>
  <c r="L230" i="9"/>
  <c r="K230" i="9"/>
  <c r="J230" i="9"/>
  <c r="P229" i="9"/>
  <c r="P228" i="9"/>
  <c r="O228" i="9"/>
  <c r="N228" i="9"/>
  <c r="M228" i="9"/>
  <c r="L228" i="9"/>
  <c r="K228" i="9"/>
  <c r="J228" i="9"/>
  <c r="P227" i="9"/>
  <c r="O227" i="9"/>
  <c r="N227" i="9"/>
  <c r="M227" i="9"/>
  <c r="L227" i="9"/>
  <c r="K227" i="9"/>
  <c r="J227" i="9"/>
  <c r="P226" i="9"/>
  <c r="O226" i="9"/>
  <c r="N226" i="9"/>
  <c r="M226" i="9"/>
  <c r="L226" i="9"/>
  <c r="K226" i="9"/>
  <c r="J226" i="9"/>
  <c r="X225" i="9"/>
  <c r="W225" i="9"/>
  <c r="V225" i="9"/>
  <c r="U225" i="9"/>
  <c r="T225" i="9"/>
  <c r="S225" i="9"/>
  <c r="R225" i="9"/>
  <c r="P225" i="9"/>
  <c r="O225" i="9"/>
  <c r="N225" i="9"/>
  <c r="M225" i="9"/>
  <c r="L225" i="9"/>
  <c r="K225" i="9"/>
  <c r="J225" i="9"/>
  <c r="X224" i="9"/>
  <c r="W224" i="9"/>
  <c r="V224" i="9"/>
  <c r="U224" i="9"/>
  <c r="T224" i="9"/>
  <c r="S224" i="9"/>
  <c r="R224" i="9"/>
  <c r="P224" i="9"/>
  <c r="O224" i="9"/>
  <c r="N224" i="9"/>
  <c r="M224" i="9"/>
  <c r="L224" i="9"/>
  <c r="K224" i="9"/>
  <c r="J224" i="9"/>
  <c r="X223" i="9"/>
  <c r="W223" i="9"/>
  <c r="V223" i="9"/>
  <c r="U223" i="9"/>
  <c r="T223" i="9"/>
  <c r="S223" i="9"/>
  <c r="R223" i="9"/>
  <c r="P223" i="9"/>
  <c r="O223" i="9"/>
  <c r="N223" i="9"/>
  <c r="M223" i="9"/>
  <c r="L223" i="9"/>
  <c r="K223" i="9"/>
  <c r="J223" i="9"/>
  <c r="AP222" i="9"/>
  <c r="AO222" i="9"/>
  <c r="AN222" i="9"/>
  <c r="AM222" i="9"/>
  <c r="AL222" i="9"/>
  <c r="AK222" i="9"/>
  <c r="X222" i="9"/>
  <c r="W222" i="9"/>
  <c r="V222" i="9"/>
  <c r="U222" i="9"/>
  <c r="T222" i="9"/>
  <c r="S222" i="9"/>
  <c r="R222" i="9"/>
  <c r="P222" i="9"/>
  <c r="O222" i="9"/>
  <c r="N222" i="9"/>
  <c r="M222" i="9"/>
  <c r="L222" i="9"/>
  <c r="K222" i="9"/>
  <c r="J222" i="9"/>
  <c r="AQ221" i="9"/>
  <c r="AP221" i="9"/>
  <c r="AO221" i="9"/>
  <c r="AN221" i="9"/>
  <c r="AM221" i="9"/>
  <c r="AL221" i="9"/>
  <c r="AK221" i="9"/>
  <c r="X221" i="9"/>
  <c r="W221" i="9"/>
  <c r="V221" i="9"/>
  <c r="U221" i="9"/>
  <c r="T221" i="9"/>
  <c r="S221" i="9"/>
  <c r="R221" i="9"/>
  <c r="P221" i="9"/>
  <c r="O221" i="9"/>
  <c r="N221" i="9"/>
  <c r="M221" i="9"/>
  <c r="L221" i="9"/>
  <c r="K221" i="9"/>
  <c r="J221" i="9"/>
  <c r="AQ220" i="9"/>
  <c r="AP220" i="9"/>
  <c r="AO220" i="9"/>
  <c r="AN220" i="9"/>
  <c r="AM220" i="9"/>
  <c r="AL220" i="9"/>
  <c r="AK220" i="9"/>
  <c r="X220" i="9"/>
  <c r="W220" i="9"/>
  <c r="V220" i="9"/>
  <c r="U220" i="9"/>
  <c r="T220" i="9"/>
  <c r="S220" i="9"/>
  <c r="R220" i="9"/>
  <c r="P220" i="9"/>
  <c r="O220" i="9"/>
  <c r="N220" i="9"/>
  <c r="M220" i="9"/>
  <c r="L220" i="9"/>
  <c r="K220" i="9"/>
  <c r="J220" i="9"/>
  <c r="AQ219" i="9"/>
  <c r="AP219" i="9"/>
  <c r="AO219" i="9"/>
  <c r="AN219" i="9"/>
  <c r="AM219" i="9"/>
  <c r="AL219" i="9"/>
  <c r="AK219" i="9"/>
  <c r="X219" i="9"/>
  <c r="W219" i="9"/>
  <c r="V219" i="9"/>
  <c r="U219" i="9"/>
  <c r="T219" i="9"/>
  <c r="S219" i="9"/>
  <c r="R219" i="9"/>
  <c r="P219" i="9"/>
  <c r="O219" i="9"/>
  <c r="N219" i="9"/>
  <c r="M219" i="9"/>
  <c r="L219" i="9"/>
  <c r="K219" i="9"/>
  <c r="J219" i="9"/>
  <c r="AQ218" i="9"/>
  <c r="AP218" i="9"/>
  <c r="AO218" i="9"/>
  <c r="AN218" i="9"/>
  <c r="AM218" i="9"/>
  <c r="AL218" i="9"/>
  <c r="AK218" i="9"/>
  <c r="X218" i="9"/>
  <c r="W218" i="9"/>
  <c r="V218" i="9"/>
  <c r="U218" i="9"/>
  <c r="T218" i="9"/>
  <c r="S218" i="9"/>
  <c r="R218" i="9"/>
  <c r="P218" i="9"/>
  <c r="O218" i="9"/>
  <c r="N218" i="9"/>
  <c r="M218" i="9"/>
  <c r="L218" i="9"/>
  <c r="K218" i="9"/>
  <c r="J218" i="9"/>
  <c r="AQ217" i="9"/>
  <c r="AP217" i="9"/>
  <c r="AO217" i="9"/>
  <c r="AN217" i="9"/>
  <c r="AM217" i="9"/>
  <c r="AL217" i="9"/>
  <c r="AK217" i="9"/>
  <c r="X217" i="9"/>
  <c r="W217" i="9"/>
  <c r="V217" i="9"/>
  <c r="U217" i="9"/>
  <c r="T217" i="9"/>
  <c r="S217" i="9"/>
  <c r="R217" i="9"/>
  <c r="AQ216" i="9"/>
  <c r="AP216" i="9"/>
  <c r="AO216" i="9"/>
  <c r="AN216" i="9"/>
  <c r="AM216" i="9"/>
  <c r="AL216" i="9"/>
  <c r="AK216" i="9"/>
  <c r="X216" i="9"/>
  <c r="W216" i="9"/>
  <c r="V216" i="9"/>
  <c r="U216" i="9"/>
  <c r="T216" i="9"/>
  <c r="S216" i="9"/>
  <c r="R216" i="9"/>
  <c r="P216" i="9"/>
  <c r="O216" i="9"/>
  <c r="N216" i="9"/>
  <c r="M216" i="9"/>
  <c r="L216" i="9"/>
  <c r="K216" i="9"/>
  <c r="J216" i="9"/>
  <c r="AQ215" i="9"/>
  <c r="AP215" i="9"/>
  <c r="AO215" i="9"/>
  <c r="AN215" i="9"/>
  <c r="AM215" i="9"/>
  <c r="AL215" i="9"/>
  <c r="AK215" i="9"/>
  <c r="X215" i="9"/>
  <c r="W215" i="9"/>
  <c r="V215" i="9"/>
  <c r="U215" i="9"/>
  <c r="T215" i="9"/>
  <c r="S215" i="9"/>
  <c r="R215" i="9"/>
  <c r="P215" i="9"/>
  <c r="O215" i="9"/>
  <c r="N215" i="9"/>
  <c r="M215" i="9"/>
  <c r="L215" i="9"/>
  <c r="K215" i="9"/>
  <c r="J215" i="9"/>
  <c r="X214" i="9"/>
  <c r="W214" i="9"/>
  <c r="V214" i="9"/>
  <c r="U214" i="9"/>
  <c r="T214" i="9"/>
  <c r="S214" i="9"/>
  <c r="R214" i="9"/>
  <c r="P214" i="9"/>
  <c r="O214" i="9"/>
  <c r="N214" i="9"/>
  <c r="M214" i="9"/>
  <c r="L214" i="9"/>
  <c r="K214" i="9"/>
  <c r="J214" i="9"/>
  <c r="X213" i="9"/>
  <c r="W213" i="9"/>
  <c r="V213" i="9"/>
  <c r="U213" i="9"/>
  <c r="T213" i="9"/>
  <c r="S213" i="9"/>
  <c r="R213" i="9"/>
  <c r="P213" i="9"/>
  <c r="O213" i="9"/>
  <c r="N213" i="9"/>
  <c r="M213" i="9"/>
  <c r="L213" i="9"/>
  <c r="K213" i="9"/>
  <c r="J213" i="9"/>
  <c r="X212" i="9"/>
  <c r="W212" i="9"/>
  <c r="V212" i="9"/>
  <c r="U212" i="9"/>
  <c r="T212" i="9"/>
  <c r="S212" i="9"/>
  <c r="R212" i="9"/>
  <c r="P212" i="9"/>
  <c r="O212" i="9"/>
  <c r="N212" i="9"/>
  <c r="M212" i="9"/>
  <c r="L212" i="9"/>
  <c r="K212" i="9"/>
  <c r="J212" i="9"/>
  <c r="X211" i="9"/>
  <c r="W211" i="9"/>
  <c r="V211" i="9"/>
  <c r="U211" i="9"/>
  <c r="T211" i="9"/>
  <c r="S211" i="9"/>
  <c r="R211" i="9"/>
  <c r="P211" i="9"/>
  <c r="O211" i="9"/>
  <c r="N211" i="9"/>
  <c r="M211" i="9"/>
  <c r="L211" i="9"/>
  <c r="K211" i="9"/>
  <c r="J211" i="9"/>
  <c r="O209" i="9"/>
  <c r="N209" i="9"/>
  <c r="K209" i="9"/>
  <c r="A209" i="9"/>
  <c r="O208" i="9"/>
  <c r="N208" i="9"/>
  <c r="K208" i="9"/>
  <c r="P207" i="9"/>
  <c r="O207" i="9"/>
  <c r="N207" i="9"/>
  <c r="M207" i="9"/>
  <c r="L207" i="9"/>
  <c r="K207" i="9"/>
  <c r="J207" i="9"/>
  <c r="AP206" i="9"/>
  <c r="AO206" i="9"/>
  <c r="AN206" i="9"/>
  <c r="AM206" i="9"/>
  <c r="AL206" i="9"/>
  <c r="AK206" i="9"/>
  <c r="O206" i="9"/>
  <c r="N206" i="9"/>
  <c r="M206" i="9"/>
  <c r="L206" i="9"/>
  <c r="K206" i="9"/>
  <c r="J206" i="9"/>
  <c r="AQ205" i="9"/>
  <c r="AP205" i="9"/>
  <c r="AO205" i="9"/>
  <c r="AN205" i="9"/>
  <c r="AM205" i="9"/>
  <c r="AL205" i="9"/>
  <c r="AK205" i="9"/>
  <c r="P205" i="9"/>
  <c r="AQ204" i="9"/>
  <c r="AP204" i="9"/>
  <c r="AO204" i="9"/>
  <c r="AN204" i="9"/>
  <c r="AM204" i="9"/>
  <c r="AL204" i="9"/>
  <c r="AK204" i="9"/>
  <c r="P204" i="9"/>
  <c r="AQ203" i="9"/>
  <c r="AP203" i="9"/>
  <c r="AO203" i="9"/>
  <c r="AN203" i="9"/>
  <c r="AM203" i="9"/>
  <c r="AL203" i="9"/>
  <c r="AK203" i="9"/>
  <c r="P203" i="9"/>
  <c r="AQ202" i="9"/>
  <c r="AP202" i="9"/>
  <c r="AO202" i="9"/>
  <c r="AN202" i="9"/>
  <c r="AM202" i="9"/>
  <c r="AL202" i="9"/>
  <c r="AK202" i="9"/>
  <c r="P202" i="9"/>
  <c r="AQ201" i="9"/>
  <c r="AP201" i="9"/>
  <c r="AO201" i="9"/>
  <c r="AN201" i="9"/>
  <c r="AM201" i="9"/>
  <c r="AL201" i="9"/>
  <c r="AK201" i="9"/>
  <c r="P201" i="9"/>
  <c r="AQ200" i="9"/>
  <c r="AP200" i="9"/>
  <c r="AO200" i="9"/>
  <c r="AN200" i="9"/>
  <c r="AM200" i="9"/>
  <c r="AL200" i="9"/>
  <c r="AK200" i="9"/>
  <c r="P200" i="9"/>
  <c r="AQ199" i="9"/>
  <c r="AP199" i="9"/>
  <c r="AO199" i="9"/>
  <c r="AN199" i="9"/>
  <c r="AM199" i="9"/>
  <c r="AL199" i="9"/>
  <c r="AK199" i="9"/>
  <c r="P199" i="9"/>
  <c r="O199" i="9"/>
  <c r="N199" i="9"/>
  <c r="M199" i="9"/>
  <c r="L199" i="9"/>
  <c r="K199" i="9"/>
  <c r="J199" i="9"/>
  <c r="AQ198" i="9"/>
  <c r="AP198" i="9"/>
  <c r="AO198" i="9"/>
  <c r="AN198" i="9"/>
  <c r="AM198" i="9"/>
  <c r="AL198" i="9"/>
  <c r="AK198" i="9"/>
  <c r="P198" i="9"/>
  <c r="AQ197" i="9"/>
  <c r="AP197" i="9"/>
  <c r="AO197" i="9"/>
  <c r="AN197" i="9"/>
  <c r="AM197" i="9"/>
  <c r="AL197" i="9"/>
  <c r="AK197" i="9"/>
  <c r="P197" i="9"/>
  <c r="AQ196" i="9"/>
  <c r="AP196" i="9"/>
  <c r="AO196" i="9"/>
  <c r="AN196" i="9"/>
  <c r="AM196" i="9"/>
  <c r="AL196" i="9"/>
  <c r="AK196" i="9"/>
  <c r="P196" i="9"/>
  <c r="AQ195" i="9"/>
  <c r="AP195" i="9"/>
  <c r="AO195" i="9"/>
  <c r="AN195" i="9"/>
  <c r="AM195" i="9"/>
  <c r="AL195" i="9"/>
  <c r="AK195" i="9"/>
  <c r="P195" i="9"/>
  <c r="AQ194" i="9"/>
  <c r="AP194" i="9"/>
  <c r="AO194" i="9"/>
  <c r="AN194" i="9"/>
  <c r="AM194" i="9"/>
  <c r="AL194" i="9"/>
  <c r="AK194" i="9"/>
  <c r="P194" i="9"/>
  <c r="AQ193" i="9"/>
  <c r="AP193" i="9"/>
  <c r="AO193" i="9"/>
  <c r="AN193" i="9"/>
  <c r="AM193" i="9"/>
  <c r="AL193" i="9"/>
  <c r="AK193" i="9"/>
  <c r="P193" i="9"/>
  <c r="AQ192" i="9"/>
  <c r="AP192" i="9"/>
  <c r="AO192" i="9"/>
  <c r="AN192" i="9"/>
  <c r="AM192" i="9"/>
  <c r="AL192" i="9"/>
  <c r="AK192" i="9"/>
  <c r="P192" i="9"/>
  <c r="O192" i="9"/>
  <c r="N192" i="9"/>
  <c r="M192" i="9"/>
  <c r="L192" i="9"/>
  <c r="K192" i="9"/>
  <c r="J192" i="9"/>
  <c r="P189" i="9"/>
  <c r="O189" i="9"/>
  <c r="N189" i="9"/>
  <c r="M189" i="9"/>
  <c r="L189" i="9"/>
  <c r="K189" i="9"/>
  <c r="J189" i="9"/>
  <c r="P188" i="9"/>
  <c r="O188" i="9"/>
  <c r="N188" i="9"/>
  <c r="M188" i="9"/>
  <c r="L188" i="9"/>
  <c r="K188" i="9"/>
  <c r="J188" i="9"/>
  <c r="R177" i="9"/>
  <c r="A166" i="9"/>
  <c r="AG165" i="9"/>
  <c r="AE165" i="9"/>
  <c r="AD165" i="9"/>
  <c r="AC165" i="9"/>
  <c r="AB165" i="9"/>
  <c r="AA165" i="9"/>
  <c r="O165" i="9"/>
  <c r="N165" i="9"/>
  <c r="M165" i="9"/>
  <c r="L165" i="9"/>
  <c r="K165" i="9"/>
  <c r="J165" i="9"/>
  <c r="AG164" i="9"/>
  <c r="AF164" i="9"/>
  <c r="AE164" i="9"/>
  <c r="AD164" i="9"/>
  <c r="AC164" i="9"/>
  <c r="AB164" i="9"/>
  <c r="AA164" i="9"/>
  <c r="O164" i="9"/>
  <c r="N164" i="9"/>
  <c r="M164" i="9"/>
  <c r="L164" i="9"/>
  <c r="K164" i="9"/>
  <c r="J164" i="9"/>
  <c r="AG163" i="9"/>
  <c r="AF163" i="9"/>
  <c r="AE163" i="9"/>
  <c r="AD163" i="9"/>
  <c r="AC163" i="9"/>
  <c r="AB163" i="9"/>
  <c r="AA163" i="9"/>
  <c r="O163" i="9"/>
  <c r="N163" i="9"/>
  <c r="M163" i="9"/>
  <c r="L163" i="9"/>
  <c r="K163" i="9"/>
  <c r="J163" i="9"/>
  <c r="AG162" i="9"/>
  <c r="AF162" i="9"/>
  <c r="AE162" i="9"/>
  <c r="AD162" i="9"/>
  <c r="AC162" i="9"/>
  <c r="AB162" i="9"/>
  <c r="AA162" i="9"/>
  <c r="O162" i="9"/>
  <c r="N162" i="9"/>
  <c r="M162" i="9"/>
  <c r="L162" i="9"/>
  <c r="K162" i="9"/>
  <c r="J162" i="9"/>
  <c r="AG161" i="9"/>
  <c r="AF161" i="9"/>
  <c r="AE161" i="9"/>
  <c r="AD161" i="9"/>
  <c r="AC161" i="9"/>
  <c r="AB161" i="9"/>
  <c r="AA161" i="9"/>
  <c r="O161" i="9"/>
  <c r="N161" i="9"/>
  <c r="M161" i="9"/>
  <c r="L161" i="9"/>
  <c r="K161" i="9"/>
  <c r="J161" i="9"/>
  <c r="AG160" i="9"/>
  <c r="AF160" i="9"/>
  <c r="AE160" i="9"/>
  <c r="AD160" i="9"/>
  <c r="AC160" i="9"/>
  <c r="AB160" i="9"/>
  <c r="AA160" i="9"/>
  <c r="O160" i="9"/>
  <c r="N160" i="9"/>
  <c r="M160" i="9"/>
  <c r="L160" i="9"/>
  <c r="K160" i="9"/>
  <c r="J160" i="9"/>
  <c r="AG159" i="9"/>
  <c r="AF159" i="9"/>
  <c r="AE159" i="9"/>
  <c r="AD159" i="9"/>
  <c r="AC159" i="9"/>
  <c r="AB159" i="9"/>
  <c r="AA159" i="9"/>
  <c r="O159" i="9"/>
  <c r="N159" i="9"/>
  <c r="M159" i="9"/>
  <c r="L159" i="9"/>
  <c r="K159" i="9"/>
  <c r="J159" i="9"/>
  <c r="W158" i="9"/>
  <c r="V158" i="9"/>
  <c r="U158" i="9"/>
  <c r="T158" i="9"/>
  <c r="S158" i="9"/>
  <c r="R158" i="9"/>
  <c r="AG157" i="9"/>
  <c r="X157" i="9"/>
  <c r="W157" i="9"/>
  <c r="V157" i="9"/>
  <c r="U157" i="9"/>
  <c r="T157" i="9"/>
  <c r="S157" i="9"/>
  <c r="R157" i="9"/>
  <c r="Q157" i="9"/>
  <c r="P157" i="9"/>
  <c r="AG156" i="9"/>
  <c r="X156" i="9"/>
  <c r="W156" i="9"/>
  <c r="V156" i="9"/>
  <c r="U156" i="9"/>
  <c r="T156" i="9"/>
  <c r="S156" i="9"/>
  <c r="R156" i="9"/>
  <c r="P156" i="9"/>
  <c r="AG155" i="9"/>
  <c r="X155" i="9"/>
  <c r="W155" i="9"/>
  <c r="V155" i="9"/>
  <c r="U155" i="9"/>
  <c r="T155" i="9"/>
  <c r="S155" i="9"/>
  <c r="R155" i="9"/>
  <c r="P155" i="9"/>
  <c r="AG154" i="9"/>
  <c r="X154" i="9"/>
  <c r="W154" i="9"/>
  <c r="V154" i="9"/>
  <c r="U154" i="9"/>
  <c r="T154" i="9"/>
  <c r="S154" i="9"/>
  <c r="R154" i="9"/>
  <c r="P154" i="9"/>
  <c r="AG153" i="9"/>
  <c r="X153" i="9"/>
  <c r="W153" i="9"/>
  <c r="V153" i="9"/>
  <c r="U153" i="9"/>
  <c r="T153" i="9"/>
  <c r="S153" i="9"/>
  <c r="R153" i="9"/>
  <c r="P153" i="9"/>
  <c r="AG152" i="9"/>
  <c r="X152" i="9"/>
  <c r="W152" i="9"/>
  <c r="V152" i="9"/>
  <c r="U152" i="9"/>
  <c r="T152" i="9"/>
  <c r="S152" i="9"/>
  <c r="R152" i="9"/>
  <c r="P152" i="9"/>
  <c r="AG151" i="9"/>
  <c r="AF151" i="9"/>
  <c r="AE151" i="9"/>
  <c r="AD151" i="9"/>
  <c r="AC151" i="9"/>
  <c r="AB151" i="9"/>
  <c r="AA151" i="9"/>
  <c r="X151" i="9"/>
  <c r="W151" i="9"/>
  <c r="V151" i="9"/>
  <c r="U151" i="9"/>
  <c r="T151" i="9"/>
  <c r="S151" i="9"/>
  <c r="R151" i="9"/>
  <c r="P151" i="9"/>
  <c r="O151" i="9"/>
  <c r="N151" i="9"/>
  <c r="M151" i="9"/>
  <c r="L151" i="9"/>
  <c r="K151" i="9"/>
  <c r="J151" i="9"/>
  <c r="AG150" i="9"/>
  <c r="X150" i="9"/>
  <c r="W150" i="9"/>
  <c r="V150" i="9"/>
  <c r="U150" i="9"/>
  <c r="T150" i="9"/>
  <c r="S150" i="9"/>
  <c r="R150" i="9"/>
  <c r="Q150" i="9"/>
  <c r="P150" i="9"/>
  <c r="O150" i="9"/>
  <c r="N150" i="9"/>
  <c r="M150" i="9"/>
  <c r="L150" i="9"/>
  <c r="K150" i="9"/>
  <c r="J150" i="9"/>
  <c r="AG149" i="9"/>
  <c r="X149" i="9"/>
  <c r="W149" i="9"/>
  <c r="V149" i="9"/>
  <c r="U149" i="9"/>
  <c r="T149" i="9"/>
  <c r="S149" i="9"/>
  <c r="R149" i="9"/>
  <c r="P149" i="9"/>
  <c r="O149" i="9"/>
  <c r="N149" i="9"/>
  <c r="M149" i="9"/>
  <c r="L149" i="9"/>
  <c r="K149" i="9"/>
  <c r="J149" i="9"/>
  <c r="AG148" i="9"/>
  <c r="X148" i="9"/>
  <c r="W148" i="9"/>
  <c r="V148" i="9"/>
  <c r="U148" i="9"/>
  <c r="T148" i="9"/>
  <c r="S148" i="9"/>
  <c r="R148" i="9"/>
  <c r="P148" i="9"/>
  <c r="O148" i="9"/>
  <c r="N148" i="9"/>
  <c r="M148" i="9"/>
  <c r="L148" i="9"/>
  <c r="K148" i="9"/>
  <c r="J148" i="9"/>
  <c r="AG147" i="9"/>
  <c r="X147" i="9"/>
  <c r="W147" i="9"/>
  <c r="V147" i="9"/>
  <c r="U147" i="9"/>
  <c r="T147" i="9"/>
  <c r="S147" i="9"/>
  <c r="R147" i="9"/>
  <c r="P147" i="9"/>
  <c r="O147" i="9"/>
  <c r="N147" i="9"/>
  <c r="M147" i="9"/>
  <c r="L147" i="9"/>
  <c r="K147" i="9"/>
  <c r="J147" i="9"/>
  <c r="AG146" i="9"/>
  <c r="X146" i="9"/>
  <c r="W146" i="9"/>
  <c r="V146" i="9"/>
  <c r="U146" i="9"/>
  <c r="T146" i="9"/>
  <c r="S146" i="9"/>
  <c r="R146" i="9"/>
  <c r="P146" i="9"/>
  <c r="O146" i="9"/>
  <c r="N146" i="9"/>
  <c r="M146" i="9"/>
  <c r="L146" i="9"/>
  <c r="K146" i="9"/>
  <c r="J146" i="9"/>
  <c r="AG145" i="9"/>
  <c r="X145" i="9"/>
  <c r="W145" i="9"/>
  <c r="V145" i="9"/>
  <c r="U145" i="9"/>
  <c r="T145" i="9"/>
  <c r="S145" i="9"/>
  <c r="R145" i="9"/>
  <c r="P145" i="9"/>
  <c r="O145" i="9"/>
  <c r="N145" i="9"/>
  <c r="M145" i="9"/>
  <c r="L145" i="9"/>
  <c r="K145" i="9"/>
  <c r="J145" i="9"/>
  <c r="AG144" i="9"/>
  <c r="AF144" i="9"/>
  <c r="AE144" i="9"/>
  <c r="AD144" i="9"/>
  <c r="AC144" i="9"/>
  <c r="AB144" i="9"/>
  <c r="AA144" i="9"/>
  <c r="X144" i="9"/>
  <c r="W144" i="9"/>
  <c r="V144" i="9"/>
  <c r="U144" i="9"/>
  <c r="T144" i="9"/>
  <c r="S144" i="9"/>
  <c r="R144" i="9"/>
  <c r="P144" i="9"/>
  <c r="O144" i="9"/>
  <c r="N144" i="9"/>
  <c r="M144" i="9"/>
  <c r="L144" i="9"/>
  <c r="K144" i="9"/>
  <c r="J144" i="9"/>
  <c r="A143" i="9"/>
  <c r="L142" i="9"/>
  <c r="P141" i="9"/>
  <c r="O141" i="9"/>
  <c r="N141" i="9"/>
  <c r="M141" i="9"/>
  <c r="L141" i="9"/>
  <c r="K141" i="9"/>
  <c r="J141" i="9"/>
  <c r="O140" i="9"/>
  <c r="N140" i="9"/>
  <c r="M140" i="9"/>
  <c r="L140" i="9"/>
  <c r="K140" i="9"/>
  <c r="J140" i="9"/>
  <c r="P139" i="9"/>
  <c r="O139" i="9"/>
  <c r="N139" i="9"/>
  <c r="M139" i="9"/>
  <c r="L139" i="9"/>
  <c r="K139" i="9"/>
  <c r="J139" i="9"/>
  <c r="P138" i="9"/>
  <c r="O138" i="9"/>
  <c r="N138" i="9"/>
  <c r="M138" i="9"/>
  <c r="L138" i="9"/>
  <c r="K138" i="9"/>
  <c r="J138" i="9"/>
  <c r="P137" i="9"/>
  <c r="Q136" i="9"/>
  <c r="P136" i="9"/>
  <c r="O136" i="9"/>
  <c r="N136" i="9"/>
  <c r="M136" i="9"/>
  <c r="L136" i="9"/>
  <c r="K136" i="9"/>
  <c r="J136" i="9"/>
  <c r="P135" i="9"/>
  <c r="O135" i="9"/>
  <c r="N135" i="9"/>
  <c r="M135" i="9"/>
  <c r="L135" i="9"/>
  <c r="K135" i="9"/>
  <c r="J135" i="9"/>
  <c r="P134" i="9"/>
  <c r="O134" i="9"/>
  <c r="N134" i="9"/>
  <c r="M134" i="9"/>
  <c r="L134" i="9"/>
  <c r="K134" i="9"/>
  <c r="J134" i="9"/>
  <c r="X133" i="9"/>
  <c r="W133" i="9"/>
  <c r="V133" i="9"/>
  <c r="U133" i="9"/>
  <c r="T133" i="9"/>
  <c r="S133" i="9"/>
  <c r="R133" i="9"/>
  <c r="P133" i="9"/>
  <c r="O133" i="9"/>
  <c r="N133" i="9"/>
  <c r="M133" i="9"/>
  <c r="L133" i="9"/>
  <c r="K133" i="9"/>
  <c r="J133" i="9"/>
  <c r="X132" i="9"/>
  <c r="W132" i="9"/>
  <c r="V132" i="9"/>
  <c r="U132" i="9"/>
  <c r="T132" i="9"/>
  <c r="S132" i="9"/>
  <c r="R132" i="9"/>
  <c r="P132" i="9"/>
  <c r="O132" i="9"/>
  <c r="N132" i="9"/>
  <c r="M132" i="9"/>
  <c r="L132" i="9"/>
  <c r="K132" i="9"/>
  <c r="J132" i="9"/>
  <c r="X131" i="9"/>
  <c r="W131" i="9"/>
  <c r="V131" i="9"/>
  <c r="U131" i="9"/>
  <c r="T131" i="9"/>
  <c r="S131" i="9"/>
  <c r="R131" i="9"/>
  <c r="P131" i="9"/>
  <c r="O131" i="9"/>
  <c r="N131" i="9"/>
  <c r="M131" i="9"/>
  <c r="L131" i="9"/>
  <c r="K131" i="9"/>
  <c r="J131" i="9"/>
  <c r="AP130" i="9"/>
  <c r="AO130" i="9"/>
  <c r="AN130" i="9"/>
  <c r="AM130" i="9"/>
  <c r="AL130" i="9"/>
  <c r="AK130" i="9"/>
  <c r="X130" i="9"/>
  <c r="W130" i="9"/>
  <c r="V130" i="9"/>
  <c r="U130" i="9"/>
  <c r="T130" i="9"/>
  <c r="S130" i="9"/>
  <c r="R130" i="9"/>
  <c r="P130" i="9"/>
  <c r="O130" i="9"/>
  <c r="N130" i="9"/>
  <c r="M130" i="9"/>
  <c r="L130" i="9"/>
  <c r="K130" i="9"/>
  <c r="J130" i="9"/>
  <c r="AQ129" i="9"/>
  <c r="AP129" i="9"/>
  <c r="AO129" i="9"/>
  <c r="AN129" i="9"/>
  <c r="AM129" i="9"/>
  <c r="AL129" i="9"/>
  <c r="AK129" i="9"/>
  <c r="X129" i="9"/>
  <c r="W129" i="9"/>
  <c r="V129" i="9"/>
  <c r="U129" i="9"/>
  <c r="T129" i="9"/>
  <c r="S129" i="9"/>
  <c r="R129" i="9"/>
  <c r="P129" i="9"/>
  <c r="O129" i="9"/>
  <c r="N129" i="9"/>
  <c r="M129" i="9"/>
  <c r="L129" i="9"/>
  <c r="K129" i="9"/>
  <c r="J129" i="9"/>
  <c r="AQ128" i="9"/>
  <c r="AP128" i="9"/>
  <c r="AO128" i="9"/>
  <c r="AN128" i="9"/>
  <c r="AM128" i="9"/>
  <c r="AL128" i="9"/>
  <c r="AK128" i="9"/>
  <c r="X128" i="9"/>
  <c r="W128" i="9"/>
  <c r="V128" i="9"/>
  <c r="U128" i="9"/>
  <c r="T128" i="9"/>
  <c r="S128" i="9"/>
  <c r="R128" i="9"/>
  <c r="P128" i="9"/>
  <c r="O128" i="9"/>
  <c r="N128" i="9"/>
  <c r="M128" i="9"/>
  <c r="L128" i="9"/>
  <c r="K128" i="9"/>
  <c r="J128" i="9"/>
  <c r="AQ127" i="9"/>
  <c r="AP127" i="9"/>
  <c r="AO127" i="9"/>
  <c r="AN127" i="9"/>
  <c r="AM127" i="9"/>
  <c r="AL127" i="9"/>
  <c r="AK127" i="9"/>
  <c r="X127" i="9"/>
  <c r="W127" i="9"/>
  <c r="V127" i="9"/>
  <c r="U127" i="9"/>
  <c r="T127" i="9"/>
  <c r="S127" i="9"/>
  <c r="R127" i="9"/>
  <c r="P127" i="9"/>
  <c r="O127" i="9"/>
  <c r="N127" i="9"/>
  <c r="M127" i="9"/>
  <c r="L127" i="9"/>
  <c r="K127" i="9"/>
  <c r="J127" i="9"/>
  <c r="AQ126" i="9"/>
  <c r="AP126" i="9"/>
  <c r="AO126" i="9"/>
  <c r="AN126" i="9"/>
  <c r="AM126" i="9"/>
  <c r="AL126" i="9"/>
  <c r="AK126" i="9"/>
  <c r="X126" i="9"/>
  <c r="W126" i="9"/>
  <c r="V126" i="9"/>
  <c r="U126" i="9"/>
  <c r="T126" i="9"/>
  <c r="S126" i="9"/>
  <c r="R126" i="9"/>
  <c r="P126" i="9"/>
  <c r="O126" i="9"/>
  <c r="N126" i="9"/>
  <c r="M126" i="9"/>
  <c r="L126" i="9"/>
  <c r="K126" i="9"/>
  <c r="J126" i="9"/>
  <c r="AQ125" i="9"/>
  <c r="AP125" i="9"/>
  <c r="AO125" i="9"/>
  <c r="AN125" i="9"/>
  <c r="AM125" i="9"/>
  <c r="AL125" i="9"/>
  <c r="AK125" i="9"/>
  <c r="X125" i="9"/>
  <c r="W125" i="9"/>
  <c r="V125" i="9"/>
  <c r="U125" i="9"/>
  <c r="T125" i="9"/>
  <c r="S125" i="9"/>
  <c r="R125" i="9"/>
  <c r="AQ124" i="9"/>
  <c r="AP124" i="9"/>
  <c r="AO124" i="9"/>
  <c r="AN124" i="9"/>
  <c r="AM124" i="9"/>
  <c r="AL124" i="9"/>
  <c r="AK124" i="9"/>
  <c r="X124" i="9"/>
  <c r="W124" i="9"/>
  <c r="V124" i="9"/>
  <c r="U124" i="9"/>
  <c r="T124" i="9"/>
  <c r="S124" i="9"/>
  <c r="R124" i="9"/>
  <c r="P124" i="9"/>
  <c r="O124" i="9"/>
  <c r="N124" i="9"/>
  <c r="M124" i="9"/>
  <c r="L124" i="9"/>
  <c r="K124" i="9"/>
  <c r="J124" i="9"/>
  <c r="AQ123" i="9"/>
  <c r="AP123" i="9"/>
  <c r="AO123" i="9"/>
  <c r="AN123" i="9"/>
  <c r="AM123" i="9"/>
  <c r="AL123" i="9"/>
  <c r="AK123" i="9"/>
  <c r="X123" i="9"/>
  <c r="W123" i="9"/>
  <c r="V123" i="9"/>
  <c r="U123" i="9"/>
  <c r="T123" i="9"/>
  <c r="S123" i="9"/>
  <c r="R123" i="9"/>
  <c r="P123" i="9"/>
  <c r="O123" i="9"/>
  <c r="N123" i="9"/>
  <c r="M123" i="9"/>
  <c r="L123" i="9"/>
  <c r="K123" i="9"/>
  <c r="J123" i="9"/>
  <c r="X122" i="9"/>
  <c r="W122" i="9"/>
  <c r="V122" i="9"/>
  <c r="U122" i="9"/>
  <c r="T122" i="9"/>
  <c r="S122" i="9"/>
  <c r="R122" i="9"/>
  <c r="P122" i="9"/>
  <c r="O122" i="9"/>
  <c r="N122" i="9"/>
  <c r="M122" i="9"/>
  <c r="L122" i="9"/>
  <c r="K122" i="9"/>
  <c r="J122" i="9"/>
  <c r="X121" i="9"/>
  <c r="W121" i="9"/>
  <c r="V121" i="9"/>
  <c r="U121" i="9"/>
  <c r="T121" i="9"/>
  <c r="S121" i="9"/>
  <c r="R121" i="9"/>
  <c r="P121" i="9"/>
  <c r="O121" i="9"/>
  <c r="N121" i="9"/>
  <c r="M121" i="9"/>
  <c r="L121" i="9"/>
  <c r="K121" i="9"/>
  <c r="J121" i="9"/>
  <c r="X120" i="9"/>
  <c r="W120" i="9"/>
  <c r="V120" i="9"/>
  <c r="U120" i="9"/>
  <c r="T120" i="9"/>
  <c r="S120" i="9"/>
  <c r="R120" i="9"/>
  <c r="P120" i="9"/>
  <c r="O120" i="9"/>
  <c r="N120" i="9"/>
  <c r="M120" i="9"/>
  <c r="L120" i="9"/>
  <c r="K120" i="9"/>
  <c r="J120" i="9"/>
  <c r="X119" i="9"/>
  <c r="W119" i="9"/>
  <c r="V119" i="9"/>
  <c r="U119" i="9"/>
  <c r="T119" i="9"/>
  <c r="S119" i="9"/>
  <c r="R119" i="9"/>
  <c r="P119" i="9"/>
  <c r="O119" i="9"/>
  <c r="N119" i="9"/>
  <c r="M119" i="9"/>
  <c r="L119" i="9"/>
  <c r="K119" i="9"/>
  <c r="J119" i="9"/>
  <c r="O117" i="9"/>
  <c r="N117" i="9"/>
  <c r="K117" i="9"/>
  <c r="A117" i="9"/>
  <c r="O116" i="9"/>
  <c r="N116" i="9"/>
  <c r="K116" i="9"/>
  <c r="P115" i="9"/>
  <c r="O115" i="9"/>
  <c r="N115" i="9"/>
  <c r="M115" i="9"/>
  <c r="L115" i="9"/>
  <c r="K115" i="9"/>
  <c r="J115" i="9"/>
  <c r="AP114" i="9"/>
  <c r="AO114" i="9"/>
  <c r="AN114" i="9"/>
  <c r="AM114" i="9"/>
  <c r="AL114" i="9"/>
  <c r="AK114" i="9"/>
  <c r="O114" i="9"/>
  <c r="N114" i="9"/>
  <c r="M114" i="9"/>
  <c r="L114" i="9"/>
  <c r="K114" i="9"/>
  <c r="J114" i="9"/>
  <c r="AQ113" i="9"/>
  <c r="AP113" i="9"/>
  <c r="AO113" i="9"/>
  <c r="AN113" i="9"/>
  <c r="AM113" i="9"/>
  <c r="AL113" i="9"/>
  <c r="AK113" i="9"/>
  <c r="P113" i="9"/>
  <c r="AQ112" i="9"/>
  <c r="AP112" i="9"/>
  <c r="AO112" i="9"/>
  <c r="AN112" i="9"/>
  <c r="AM112" i="9"/>
  <c r="AL112" i="9"/>
  <c r="AK112" i="9"/>
  <c r="P112" i="9"/>
  <c r="AQ111" i="9"/>
  <c r="AP111" i="9"/>
  <c r="AO111" i="9"/>
  <c r="AN111" i="9"/>
  <c r="AM111" i="9"/>
  <c r="AL111" i="9"/>
  <c r="AK111" i="9"/>
  <c r="P111" i="9"/>
  <c r="AQ110" i="9"/>
  <c r="AP110" i="9"/>
  <c r="AO110" i="9"/>
  <c r="AN110" i="9"/>
  <c r="AM110" i="9"/>
  <c r="AL110" i="9"/>
  <c r="AK110" i="9"/>
  <c r="P110" i="9"/>
  <c r="AQ109" i="9"/>
  <c r="AP109" i="9"/>
  <c r="AO109" i="9"/>
  <c r="AN109" i="9"/>
  <c r="AM109" i="9"/>
  <c r="AL109" i="9"/>
  <c r="AK109" i="9"/>
  <c r="P109" i="9"/>
  <c r="AQ108" i="9"/>
  <c r="AP108" i="9"/>
  <c r="AO108" i="9"/>
  <c r="AN108" i="9"/>
  <c r="AM108" i="9"/>
  <c r="AL108" i="9"/>
  <c r="AK108" i="9"/>
  <c r="P108" i="9"/>
  <c r="AQ107" i="9"/>
  <c r="AP107" i="9"/>
  <c r="AO107" i="9"/>
  <c r="AN107" i="9"/>
  <c r="AM107" i="9"/>
  <c r="AL107" i="9"/>
  <c r="AK107" i="9"/>
  <c r="P107" i="9"/>
  <c r="O107" i="9"/>
  <c r="N107" i="9"/>
  <c r="M107" i="9"/>
  <c r="L107" i="9"/>
  <c r="K107" i="9"/>
  <c r="J107" i="9"/>
  <c r="AQ106" i="9"/>
  <c r="AP106" i="9"/>
  <c r="AO106" i="9"/>
  <c r="AN106" i="9"/>
  <c r="AM106" i="9"/>
  <c r="AL106" i="9"/>
  <c r="AK106" i="9"/>
  <c r="P106" i="9"/>
  <c r="AQ105" i="9"/>
  <c r="AP105" i="9"/>
  <c r="AO105" i="9"/>
  <c r="AN105" i="9"/>
  <c r="AM105" i="9"/>
  <c r="AL105" i="9"/>
  <c r="AK105" i="9"/>
  <c r="P105" i="9"/>
  <c r="AQ104" i="9"/>
  <c r="AP104" i="9"/>
  <c r="AO104" i="9"/>
  <c r="AN104" i="9"/>
  <c r="AM104" i="9"/>
  <c r="AL104" i="9"/>
  <c r="AK104" i="9"/>
  <c r="P104" i="9"/>
  <c r="AQ103" i="9"/>
  <c r="AP103" i="9"/>
  <c r="AO103" i="9"/>
  <c r="AN103" i="9"/>
  <c r="AM103" i="9"/>
  <c r="AL103" i="9"/>
  <c r="AK103" i="9"/>
  <c r="P103" i="9"/>
  <c r="AQ102" i="9"/>
  <c r="AP102" i="9"/>
  <c r="AO102" i="9"/>
  <c r="AN102" i="9"/>
  <c r="AM102" i="9"/>
  <c r="AL102" i="9"/>
  <c r="AK102" i="9"/>
  <c r="P102" i="9"/>
  <c r="AQ101" i="9"/>
  <c r="AP101" i="9"/>
  <c r="AO101" i="9"/>
  <c r="AN101" i="9"/>
  <c r="AM101" i="9"/>
  <c r="AL101" i="9"/>
  <c r="AK101" i="9"/>
  <c r="P101" i="9"/>
  <c r="AQ100" i="9"/>
  <c r="AP100" i="9"/>
  <c r="AO100" i="9"/>
  <c r="AN100" i="9"/>
  <c r="AM100" i="9"/>
  <c r="AL100" i="9"/>
  <c r="AK100" i="9"/>
  <c r="P100" i="9"/>
  <c r="O100" i="9"/>
  <c r="N100" i="9"/>
  <c r="M100" i="9"/>
  <c r="L100" i="9"/>
  <c r="K100" i="9"/>
  <c r="J100" i="9"/>
  <c r="P97" i="9"/>
  <c r="O97" i="9"/>
  <c r="N97" i="9"/>
  <c r="M97" i="9"/>
  <c r="L97" i="9"/>
  <c r="K97" i="9"/>
  <c r="J97" i="9"/>
  <c r="P96" i="9"/>
  <c r="O96" i="9"/>
  <c r="N96" i="9"/>
  <c r="M96" i="9"/>
  <c r="L96" i="9"/>
  <c r="K96" i="9"/>
  <c r="J96" i="9"/>
  <c r="R84" i="9"/>
  <c r="A73" i="9"/>
  <c r="AG71" i="9"/>
  <c r="AE71" i="9"/>
  <c r="AD71" i="9"/>
  <c r="AC71" i="9"/>
  <c r="AB71" i="9"/>
  <c r="AA71" i="9"/>
  <c r="O71" i="9"/>
  <c r="N71" i="9"/>
  <c r="M71" i="9"/>
  <c r="L71" i="9"/>
  <c r="K71" i="9"/>
  <c r="J71" i="9"/>
  <c r="AG70" i="9"/>
  <c r="AF70" i="9"/>
  <c r="AE70" i="9"/>
  <c r="AD70" i="9"/>
  <c r="AC70" i="9"/>
  <c r="AB70" i="9"/>
  <c r="AA70" i="9"/>
  <c r="O70" i="9"/>
  <c r="N70" i="9"/>
  <c r="M70" i="9"/>
  <c r="L70" i="9"/>
  <c r="K70" i="9"/>
  <c r="J70" i="9"/>
  <c r="AG69" i="9"/>
  <c r="AF69" i="9"/>
  <c r="AE69" i="9"/>
  <c r="AD69" i="9"/>
  <c r="AC69" i="9"/>
  <c r="AB69" i="9"/>
  <c r="AA69" i="9"/>
  <c r="O69" i="9"/>
  <c r="N69" i="9"/>
  <c r="M69" i="9"/>
  <c r="L69" i="9"/>
  <c r="K69" i="9"/>
  <c r="J69" i="9"/>
  <c r="AG68" i="9"/>
  <c r="AF68" i="9"/>
  <c r="AE68" i="9"/>
  <c r="AD68" i="9"/>
  <c r="AC68" i="9"/>
  <c r="AB68" i="9"/>
  <c r="AA68" i="9"/>
  <c r="O68" i="9"/>
  <c r="N68" i="9"/>
  <c r="M68" i="9"/>
  <c r="L68" i="9"/>
  <c r="K68" i="9"/>
  <c r="J68" i="9"/>
  <c r="AG67" i="9"/>
  <c r="AF67" i="9"/>
  <c r="AE67" i="9"/>
  <c r="AD67" i="9"/>
  <c r="AC67" i="9"/>
  <c r="AB67" i="9"/>
  <c r="AA67" i="9"/>
  <c r="O67" i="9"/>
  <c r="N67" i="9"/>
  <c r="M67" i="9"/>
  <c r="L67" i="9"/>
  <c r="K67" i="9"/>
  <c r="J67" i="9"/>
  <c r="AG66" i="9"/>
  <c r="AF66" i="9"/>
  <c r="AE66" i="9"/>
  <c r="AD66" i="9"/>
  <c r="AC66" i="9"/>
  <c r="AB66" i="9"/>
  <c r="AA66" i="9"/>
  <c r="O66" i="9"/>
  <c r="N66" i="9"/>
  <c r="M66" i="9"/>
  <c r="L66" i="9"/>
  <c r="K66" i="9"/>
  <c r="J66" i="9"/>
  <c r="AG65" i="9"/>
  <c r="AF65" i="9"/>
  <c r="AE65" i="9"/>
  <c r="AD65" i="9"/>
  <c r="AC65" i="9"/>
  <c r="AB65" i="9"/>
  <c r="AA65" i="9"/>
  <c r="O65" i="9"/>
  <c r="N65" i="9"/>
  <c r="M65" i="9"/>
  <c r="L65" i="9"/>
  <c r="K65" i="9"/>
  <c r="J65" i="9"/>
  <c r="W64" i="9"/>
  <c r="V64" i="9"/>
  <c r="U64" i="9"/>
  <c r="T64" i="9"/>
  <c r="S64" i="9"/>
  <c r="R64" i="9"/>
  <c r="AG63" i="9"/>
  <c r="X63" i="9"/>
  <c r="W63" i="9"/>
  <c r="V63" i="9"/>
  <c r="U63" i="9"/>
  <c r="T63" i="9"/>
  <c r="S63" i="9"/>
  <c r="R63" i="9"/>
  <c r="Q63" i="9"/>
  <c r="P63" i="9"/>
  <c r="AG62" i="9"/>
  <c r="X62" i="9"/>
  <c r="W62" i="9"/>
  <c r="V62" i="9"/>
  <c r="U62" i="9"/>
  <c r="T62" i="9"/>
  <c r="S62" i="9"/>
  <c r="R62" i="9"/>
  <c r="P62" i="9"/>
  <c r="AG61" i="9"/>
  <c r="X61" i="9"/>
  <c r="W61" i="9"/>
  <c r="V61" i="9"/>
  <c r="U61" i="9"/>
  <c r="T61" i="9"/>
  <c r="S61" i="9"/>
  <c r="R61" i="9"/>
  <c r="P61" i="9"/>
  <c r="AG60" i="9"/>
  <c r="X60" i="9"/>
  <c r="W60" i="9"/>
  <c r="V60" i="9"/>
  <c r="U60" i="9"/>
  <c r="T60" i="9"/>
  <c r="S60" i="9"/>
  <c r="R60" i="9"/>
  <c r="P60" i="9"/>
  <c r="AG59" i="9"/>
  <c r="X59" i="9"/>
  <c r="W59" i="9"/>
  <c r="V59" i="9"/>
  <c r="U59" i="9"/>
  <c r="T59" i="9"/>
  <c r="S59" i="9"/>
  <c r="R59" i="9"/>
  <c r="P59" i="9"/>
  <c r="AG58" i="9"/>
  <c r="X58" i="9"/>
  <c r="W58" i="9"/>
  <c r="V58" i="9"/>
  <c r="U58" i="9"/>
  <c r="T58" i="9"/>
  <c r="S58" i="9"/>
  <c r="R58" i="9"/>
  <c r="P58" i="9"/>
  <c r="AG57" i="9"/>
  <c r="AF57" i="9"/>
  <c r="AE57" i="9"/>
  <c r="AD57" i="9"/>
  <c r="AC57" i="9"/>
  <c r="AB57" i="9"/>
  <c r="AA57" i="9"/>
  <c r="X57" i="9"/>
  <c r="W57" i="9"/>
  <c r="V57" i="9"/>
  <c r="U57" i="9"/>
  <c r="T57" i="9"/>
  <c r="S57" i="9"/>
  <c r="R57" i="9"/>
  <c r="P57" i="9"/>
  <c r="O57" i="9"/>
  <c r="N57" i="9"/>
  <c r="M57" i="9"/>
  <c r="L57" i="9"/>
  <c r="K57" i="9"/>
  <c r="J57" i="9"/>
  <c r="AG56" i="9"/>
  <c r="X56" i="9"/>
  <c r="W56" i="9"/>
  <c r="V56" i="9"/>
  <c r="U56" i="9"/>
  <c r="T56" i="9"/>
  <c r="S56" i="9"/>
  <c r="R56" i="9"/>
  <c r="Q56" i="9"/>
  <c r="P56" i="9"/>
  <c r="O56" i="9"/>
  <c r="N56" i="9"/>
  <c r="M56" i="9"/>
  <c r="L56" i="9"/>
  <c r="K56" i="9"/>
  <c r="J56" i="9"/>
  <c r="AG55" i="9"/>
  <c r="X55" i="9"/>
  <c r="W55" i="9"/>
  <c r="V55" i="9"/>
  <c r="U55" i="9"/>
  <c r="T55" i="9"/>
  <c r="S55" i="9"/>
  <c r="R55" i="9"/>
  <c r="P55" i="9"/>
  <c r="O55" i="9"/>
  <c r="N55" i="9"/>
  <c r="M55" i="9"/>
  <c r="L55" i="9"/>
  <c r="K55" i="9"/>
  <c r="J55" i="9"/>
  <c r="AG54" i="9"/>
  <c r="X54" i="9"/>
  <c r="W54" i="9"/>
  <c r="V54" i="9"/>
  <c r="U54" i="9"/>
  <c r="T54" i="9"/>
  <c r="S54" i="9"/>
  <c r="R54" i="9"/>
  <c r="P54" i="9"/>
  <c r="O54" i="9"/>
  <c r="N54" i="9"/>
  <c r="M54" i="9"/>
  <c r="L54" i="9"/>
  <c r="K54" i="9"/>
  <c r="J54" i="9"/>
  <c r="AG53" i="9"/>
  <c r="X53" i="9"/>
  <c r="W53" i="9"/>
  <c r="V53" i="9"/>
  <c r="U53" i="9"/>
  <c r="T53" i="9"/>
  <c r="S53" i="9"/>
  <c r="R53" i="9"/>
  <c r="P53" i="9"/>
  <c r="O53" i="9"/>
  <c r="N53" i="9"/>
  <c r="M53" i="9"/>
  <c r="L53" i="9"/>
  <c r="K53" i="9"/>
  <c r="J53" i="9"/>
  <c r="AG52" i="9"/>
  <c r="X52" i="9"/>
  <c r="W52" i="9"/>
  <c r="V52" i="9"/>
  <c r="U52" i="9"/>
  <c r="T52" i="9"/>
  <c r="S52" i="9"/>
  <c r="R52" i="9"/>
  <c r="P52" i="9"/>
  <c r="O52" i="9"/>
  <c r="N52" i="9"/>
  <c r="M52" i="9"/>
  <c r="L52" i="9"/>
  <c r="K52" i="9"/>
  <c r="J52" i="9"/>
  <c r="AG51" i="9"/>
  <c r="X51" i="9"/>
  <c r="W51" i="9"/>
  <c r="V51" i="9"/>
  <c r="U51" i="9"/>
  <c r="T51" i="9"/>
  <c r="S51" i="9"/>
  <c r="R51" i="9"/>
  <c r="P51" i="9"/>
  <c r="O51" i="9"/>
  <c r="N51" i="9"/>
  <c r="M51" i="9"/>
  <c r="L51" i="9"/>
  <c r="K51" i="9"/>
  <c r="J51" i="9"/>
  <c r="AG50" i="9"/>
  <c r="AF50" i="9"/>
  <c r="AE50" i="9"/>
  <c r="AD50" i="9"/>
  <c r="AC50" i="9"/>
  <c r="AB50" i="9"/>
  <c r="AA50" i="9"/>
  <c r="X50" i="9"/>
  <c r="W50" i="9"/>
  <c r="V50" i="9"/>
  <c r="U50" i="9"/>
  <c r="T50" i="9"/>
  <c r="S50" i="9"/>
  <c r="R50" i="9"/>
  <c r="P50" i="9"/>
  <c r="O50" i="9"/>
  <c r="N50" i="9"/>
  <c r="M50" i="9"/>
  <c r="L50" i="9"/>
  <c r="K50" i="9"/>
  <c r="J50" i="9"/>
  <c r="A49" i="9"/>
  <c r="L48" i="9"/>
  <c r="P47" i="9"/>
  <c r="O47" i="9"/>
  <c r="N47" i="9"/>
  <c r="M47" i="9"/>
  <c r="L47" i="9"/>
  <c r="K47" i="9"/>
  <c r="J47" i="9"/>
  <c r="O46" i="9"/>
  <c r="N46" i="9"/>
  <c r="M46" i="9"/>
  <c r="L46" i="9"/>
  <c r="K46" i="9"/>
  <c r="J46" i="9"/>
  <c r="P45" i="9"/>
  <c r="O45" i="9"/>
  <c r="N45" i="9"/>
  <c r="M45" i="9"/>
  <c r="L45" i="9"/>
  <c r="K45" i="9"/>
  <c r="J45" i="9"/>
  <c r="P44" i="9"/>
  <c r="O44" i="9"/>
  <c r="N44" i="9"/>
  <c r="M44" i="9"/>
  <c r="L44" i="9"/>
  <c r="K44" i="9"/>
  <c r="J44" i="9"/>
  <c r="Q43" i="9"/>
  <c r="P43" i="9"/>
  <c r="P42" i="9"/>
  <c r="O42" i="9"/>
  <c r="N42" i="9"/>
  <c r="M42" i="9"/>
  <c r="L42" i="9"/>
  <c r="K42" i="9"/>
  <c r="J42" i="9"/>
  <c r="P41" i="9"/>
  <c r="O41" i="9"/>
  <c r="N41" i="9"/>
  <c r="M41" i="9"/>
  <c r="L41" i="9"/>
  <c r="K41" i="9"/>
  <c r="J41" i="9"/>
  <c r="P40" i="9"/>
  <c r="O40" i="9"/>
  <c r="N40" i="9"/>
  <c r="M40" i="9"/>
  <c r="L40" i="9"/>
  <c r="K40" i="9"/>
  <c r="J40" i="9"/>
  <c r="X39" i="9"/>
  <c r="W39" i="9"/>
  <c r="V39" i="9"/>
  <c r="U39" i="9"/>
  <c r="T39" i="9"/>
  <c r="S39" i="9"/>
  <c r="R39" i="9"/>
  <c r="P39" i="9"/>
  <c r="O39" i="9"/>
  <c r="N39" i="9"/>
  <c r="M39" i="9"/>
  <c r="L39" i="9"/>
  <c r="K39" i="9"/>
  <c r="J39" i="9"/>
  <c r="X38" i="9"/>
  <c r="W38" i="9"/>
  <c r="V38" i="9"/>
  <c r="U38" i="9"/>
  <c r="T38" i="9"/>
  <c r="S38" i="9"/>
  <c r="R38" i="9"/>
  <c r="P38" i="9"/>
  <c r="O38" i="9"/>
  <c r="N38" i="9"/>
  <c r="M38" i="9"/>
  <c r="L38" i="9"/>
  <c r="K38" i="9"/>
  <c r="J38" i="9"/>
  <c r="X37" i="9"/>
  <c r="W37" i="9"/>
  <c r="V37" i="9"/>
  <c r="U37" i="9"/>
  <c r="T37" i="9"/>
  <c r="S37" i="9"/>
  <c r="R37" i="9"/>
  <c r="P37" i="9"/>
  <c r="O37" i="9"/>
  <c r="N37" i="9"/>
  <c r="M37" i="9"/>
  <c r="L37" i="9"/>
  <c r="K37" i="9"/>
  <c r="J37" i="9"/>
  <c r="AP36" i="9"/>
  <c r="AO36" i="9"/>
  <c r="AN36" i="9"/>
  <c r="AM36" i="9"/>
  <c r="AL36" i="9"/>
  <c r="AK36" i="9"/>
  <c r="X36" i="9"/>
  <c r="W36" i="9"/>
  <c r="V36" i="9"/>
  <c r="U36" i="9"/>
  <c r="T36" i="9"/>
  <c r="S36" i="9"/>
  <c r="R36" i="9"/>
  <c r="P36" i="9"/>
  <c r="O36" i="9"/>
  <c r="N36" i="9"/>
  <c r="M36" i="9"/>
  <c r="L36" i="9"/>
  <c r="K36" i="9"/>
  <c r="J36" i="9"/>
  <c r="AQ35" i="9"/>
  <c r="AP35" i="9"/>
  <c r="AO35" i="9"/>
  <c r="AN35" i="9"/>
  <c r="AM35" i="9"/>
  <c r="AL35" i="9"/>
  <c r="AK35" i="9"/>
  <c r="X35" i="9"/>
  <c r="W35" i="9"/>
  <c r="V35" i="9"/>
  <c r="U35" i="9"/>
  <c r="T35" i="9"/>
  <c r="S35" i="9"/>
  <c r="R35" i="9"/>
  <c r="P35" i="9"/>
  <c r="O35" i="9"/>
  <c r="N35" i="9"/>
  <c r="M35" i="9"/>
  <c r="L35" i="9"/>
  <c r="K35" i="9"/>
  <c r="J35" i="9"/>
  <c r="AQ34" i="9"/>
  <c r="AP34" i="9"/>
  <c r="AO34" i="9"/>
  <c r="AN34" i="9"/>
  <c r="AM34" i="9"/>
  <c r="AL34" i="9"/>
  <c r="AK34" i="9"/>
  <c r="X34" i="9"/>
  <c r="W34" i="9"/>
  <c r="V34" i="9"/>
  <c r="U34" i="9"/>
  <c r="T34" i="9"/>
  <c r="S34" i="9"/>
  <c r="R34" i="9"/>
  <c r="P34" i="9"/>
  <c r="O34" i="9"/>
  <c r="N34" i="9"/>
  <c r="M34" i="9"/>
  <c r="L34" i="9"/>
  <c r="K34" i="9"/>
  <c r="J34" i="9"/>
  <c r="AQ33" i="9"/>
  <c r="AP33" i="9"/>
  <c r="AO33" i="9"/>
  <c r="AN33" i="9"/>
  <c r="AM33" i="9"/>
  <c r="AL33" i="9"/>
  <c r="AK33" i="9"/>
  <c r="X33" i="9"/>
  <c r="W33" i="9"/>
  <c r="V33" i="9"/>
  <c r="U33" i="9"/>
  <c r="T33" i="9"/>
  <c r="S33" i="9"/>
  <c r="R33" i="9"/>
  <c r="P33" i="9"/>
  <c r="O33" i="9"/>
  <c r="N33" i="9"/>
  <c r="M33" i="9"/>
  <c r="L33" i="9"/>
  <c r="K33" i="9"/>
  <c r="J33" i="9"/>
  <c r="AQ32" i="9"/>
  <c r="AP32" i="9"/>
  <c r="AO32" i="9"/>
  <c r="AN32" i="9"/>
  <c r="AM32" i="9"/>
  <c r="AL32" i="9"/>
  <c r="AK32" i="9"/>
  <c r="X32" i="9"/>
  <c r="W32" i="9"/>
  <c r="V32" i="9"/>
  <c r="U32" i="9"/>
  <c r="T32" i="9"/>
  <c r="S32" i="9"/>
  <c r="R32" i="9"/>
  <c r="P32" i="9"/>
  <c r="O32" i="9"/>
  <c r="N32" i="9"/>
  <c r="M32" i="9"/>
  <c r="L32" i="9"/>
  <c r="K32" i="9"/>
  <c r="J32" i="9"/>
  <c r="AQ31" i="9"/>
  <c r="AP31" i="9"/>
  <c r="AO31" i="9"/>
  <c r="AN31" i="9"/>
  <c r="AM31" i="9"/>
  <c r="AL31" i="9"/>
  <c r="AK31" i="9"/>
  <c r="X31" i="9"/>
  <c r="W31" i="9"/>
  <c r="V31" i="9"/>
  <c r="U31" i="9"/>
  <c r="T31" i="9"/>
  <c r="S31" i="9"/>
  <c r="R31" i="9"/>
  <c r="A31" i="9"/>
  <c r="AQ30" i="9"/>
  <c r="AP30" i="9"/>
  <c r="AO30" i="9"/>
  <c r="AN30" i="9"/>
  <c r="AM30" i="9"/>
  <c r="AL30" i="9"/>
  <c r="AK30" i="9"/>
  <c r="X30" i="9"/>
  <c r="W30" i="9"/>
  <c r="V30" i="9"/>
  <c r="U30" i="9"/>
  <c r="T30" i="9"/>
  <c r="S30" i="9"/>
  <c r="R30" i="9"/>
  <c r="P30" i="9"/>
  <c r="O30" i="9"/>
  <c r="N30" i="9"/>
  <c r="M30" i="9"/>
  <c r="L30" i="9"/>
  <c r="K30" i="9"/>
  <c r="J30" i="9"/>
  <c r="A30" i="9"/>
  <c r="AQ29" i="9"/>
  <c r="AP29" i="9"/>
  <c r="AO29" i="9"/>
  <c r="AN29" i="9"/>
  <c r="AM29" i="9"/>
  <c r="AL29" i="9"/>
  <c r="AK29" i="9"/>
  <c r="X29" i="9"/>
  <c r="W29" i="9"/>
  <c r="V29" i="9"/>
  <c r="U29" i="9"/>
  <c r="T29" i="9"/>
  <c r="S29" i="9"/>
  <c r="R29" i="9"/>
  <c r="P29" i="9"/>
  <c r="O29" i="9"/>
  <c r="N29" i="9"/>
  <c r="M29" i="9"/>
  <c r="L29" i="9"/>
  <c r="K29" i="9"/>
  <c r="J29" i="9"/>
  <c r="X28" i="9"/>
  <c r="W28" i="9"/>
  <c r="V28" i="9"/>
  <c r="U28" i="9"/>
  <c r="T28" i="9"/>
  <c r="S28" i="9"/>
  <c r="R28" i="9"/>
  <c r="P28" i="9"/>
  <c r="O28" i="9"/>
  <c r="N28" i="9"/>
  <c r="M28" i="9"/>
  <c r="L28" i="9"/>
  <c r="K28" i="9"/>
  <c r="J28" i="9"/>
  <c r="X27" i="9"/>
  <c r="W27" i="9"/>
  <c r="V27" i="9"/>
  <c r="U27" i="9"/>
  <c r="T27" i="9"/>
  <c r="S27" i="9"/>
  <c r="R27" i="9"/>
  <c r="P27" i="9"/>
  <c r="O27" i="9"/>
  <c r="N27" i="9"/>
  <c r="M27" i="9"/>
  <c r="L27" i="9"/>
  <c r="K27" i="9"/>
  <c r="J27" i="9"/>
  <c r="X26" i="9"/>
  <c r="W26" i="9"/>
  <c r="V26" i="9"/>
  <c r="U26" i="9"/>
  <c r="T26" i="9"/>
  <c r="S26" i="9"/>
  <c r="R26" i="9"/>
  <c r="P26" i="9"/>
  <c r="O26" i="9"/>
  <c r="N26" i="9"/>
  <c r="M26" i="9"/>
  <c r="L26" i="9"/>
  <c r="K26" i="9"/>
  <c r="J26" i="9"/>
  <c r="X25" i="9"/>
  <c r="W25" i="9"/>
  <c r="V25" i="9"/>
  <c r="U25" i="9"/>
  <c r="T25" i="9"/>
  <c r="S25" i="9"/>
  <c r="R25" i="9"/>
  <c r="P25" i="9"/>
  <c r="O25" i="9"/>
  <c r="N25" i="9"/>
  <c r="M25" i="9"/>
  <c r="L25" i="9"/>
  <c r="K25" i="9"/>
  <c r="J25" i="9"/>
  <c r="O23" i="9"/>
  <c r="N23" i="9"/>
  <c r="K23" i="9"/>
  <c r="A23" i="9"/>
  <c r="O22" i="9"/>
  <c r="N22" i="9"/>
  <c r="K22" i="9"/>
  <c r="P21" i="9"/>
  <c r="O21" i="9"/>
  <c r="N21" i="9"/>
  <c r="M21" i="9"/>
  <c r="L21" i="9"/>
  <c r="K21" i="9"/>
  <c r="J21" i="9"/>
  <c r="AP20" i="9"/>
  <c r="AO20" i="9"/>
  <c r="AN20" i="9"/>
  <c r="AM20" i="9"/>
  <c r="AL20" i="9"/>
  <c r="AK20" i="9"/>
  <c r="O20" i="9"/>
  <c r="N20" i="9"/>
  <c r="M20" i="9"/>
  <c r="L20" i="9"/>
  <c r="K20" i="9"/>
  <c r="J20" i="9"/>
  <c r="AQ19" i="9"/>
  <c r="AP19" i="9"/>
  <c r="AO19" i="9"/>
  <c r="AN19" i="9"/>
  <c r="AM19" i="9"/>
  <c r="AL19" i="9"/>
  <c r="AK19" i="9"/>
  <c r="P19" i="9"/>
  <c r="AQ18" i="9"/>
  <c r="AP18" i="9"/>
  <c r="AO18" i="9"/>
  <c r="AN18" i="9"/>
  <c r="AM18" i="9"/>
  <c r="AL18" i="9"/>
  <c r="AK18" i="9"/>
  <c r="P18" i="9"/>
  <c r="AQ17" i="9"/>
  <c r="AP17" i="9"/>
  <c r="AO17" i="9"/>
  <c r="AN17" i="9"/>
  <c r="AM17" i="9"/>
  <c r="AL17" i="9"/>
  <c r="AK17" i="9"/>
  <c r="P17" i="9"/>
  <c r="AQ16" i="9"/>
  <c r="AP16" i="9"/>
  <c r="AO16" i="9"/>
  <c r="AN16" i="9"/>
  <c r="AM16" i="9"/>
  <c r="AL16" i="9"/>
  <c r="AK16" i="9"/>
  <c r="P16" i="9"/>
  <c r="AQ15" i="9"/>
  <c r="AP15" i="9"/>
  <c r="AO15" i="9"/>
  <c r="AN15" i="9"/>
  <c r="AM15" i="9"/>
  <c r="AL15" i="9"/>
  <c r="AK15" i="9"/>
  <c r="P15" i="9"/>
  <c r="AQ14" i="9"/>
  <c r="AP14" i="9"/>
  <c r="AO14" i="9"/>
  <c r="AN14" i="9"/>
  <c r="AM14" i="9"/>
  <c r="AL14" i="9"/>
  <c r="AK14" i="9"/>
  <c r="P14" i="9"/>
  <c r="AQ13" i="9"/>
  <c r="AP13" i="9"/>
  <c r="AO13" i="9"/>
  <c r="AN13" i="9"/>
  <c r="AM13" i="9"/>
  <c r="AL13" i="9"/>
  <c r="AK13" i="9"/>
  <c r="P13" i="9"/>
  <c r="O13" i="9"/>
  <c r="N13" i="9"/>
  <c r="M13" i="9"/>
  <c r="L13" i="9"/>
  <c r="K13" i="9"/>
  <c r="J13" i="9"/>
  <c r="AQ12" i="9"/>
  <c r="AP12" i="9"/>
  <c r="AO12" i="9"/>
  <c r="AN12" i="9"/>
  <c r="AM12" i="9"/>
  <c r="AL12" i="9"/>
  <c r="AK12" i="9"/>
  <c r="AJ12" i="9"/>
  <c r="P12" i="9"/>
  <c r="AQ11" i="9"/>
  <c r="AP11" i="9"/>
  <c r="AO11" i="9"/>
  <c r="AN11" i="9"/>
  <c r="AM11" i="9"/>
  <c r="AL11" i="9"/>
  <c r="AK11" i="9"/>
  <c r="AJ11" i="9"/>
  <c r="P11" i="9"/>
  <c r="AQ10" i="9"/>
  <c r="AP10" i="9"/>
  <c r="AO10" i="9"/>
  <c r="AN10" i="9"/>
  <c r="AM10" i="9"/>
  <c r="AL10" i="9"/>
  <c r="AK10" i="9"/>
  <c r="P10" i="9"/>
  <c r="AQ9" i="9"/>
  <c r="AP9" i="9"/>
  <c r="AO9" i="9"/>
  <c r="AN9" i="9"/>
  <c r="AM9" i="9"/>
  <c r="AL9" i="9"/>
  <c r="AK9" i="9"/>
  <c r="P9" i="9"/>
  <c r="AQ8" i="9"/>
  <c r="AP8" i="9"/>
  <c r="AO8" i="9"/>
  <c r="AN8" i="9"/>
  <c r="AM8" i="9"/>
  <c r="AL8" i="9"/>
  <c r="AK8" i="9"/>
  <c r="P8" i="9"/>
  <c r="AQ7" i="9"/>
  <c r="AP7" i="9"/>
  <c r="AO7" i="9"/>
  <c r="AN7" i="9"/>
  <c r="AM7" i="9"/>
  <c r="AL7" i="9"/>
  <c r="AK7" i="9"/>
  <c r="P7" i="9"/>
  <c r="AQ6" i="9"/>
  <c r="AP6" i="9"/>
  <c r="AO6" i="9"/>
  <c r="AN6" i="9"/>
  <c r="AM6" i="9"/>
  <c r="AL6" i="9"/>
  <c r="AK6" i="9"/>
  <c r="P6" i="9"/>
  <c r="O6" i="9"/>
  <c r="N6" i="9"/>
  <c r="M6" i="9"/>
  <c r="L6" i="9"/>
  <c r="K6" i="9"/>
  <c r="J6" i="9"/>
  <c r="P3" i="9"/>
  <c r="O3" i="9"/>
  <c r="N3" i="9"/>
  <c r="M3" i="9"/>
  <c r="L3" i="9"/>
  <c r="K3" i="9"/>
  <c r="J3" i="9"/>
  <c r="P2" i="9"/>
  <c r="O2" i="9"/>
  <c r="N2" i="9"/>
  <c r="M2" i="9"/>
  <c r="L2" i="9"/>
  <c r="K2" i="9"/>
  <c r="J2" i="9"/>
  <c r="AD123" i="6"/>
  <c r="AC123" i="6"/>
  <c r="AB123" i="6"/>
  <c r="AB120" i="6" s="1"/>
  <c r="AA123" i="6"/>
  <c r="Z123" i="6"/>
  <c r="Y123" i="6"/>
  <c r="X123" i="6"/>
  <c r="W123" i="6"/>
  <c r="W120" i="6" s="1"/>
  <c r="V123" i="6"/>
  <c r="U123" i="6"/>
  <c r="T123" i="6"/>
  <c r="T120" i="6" s="1"/>
  <c r="S123" i="6"/>
  <c r="R123" i="6"/>
  <c r="Q123" i="6"/>
  <c r="P123" i="6"/>
  <c r="O123" i="6"/>
  <c r="O120" i="6" s="1"/>
  <c r="N123" i="6"/>
  <c r="M123" i="6"/>
  <c r="L123" i="6"/>
  <c r="L120" i="6" s="1"/>
  <c r="K123" i="6"/>
  <c r="AD122" i="6"/>
  <c r="AD121" i="6" s="1"/>
  <c r="AC122" i="6"/>
  <c r="AB122" i="6"/>
  <c r="AA122" i="6"/>
  <c r="AA121" i="6" s="1"/>
  <c r="Z122" i="6"/>
  <c r="Y122" i="6"/>
  <c r="X122" i="6"/>
  <c r="X121" i="6" s="1"/>
  <c r="W122" i="6"/>
  <c r="V122" i="6"/>
  <c r="U122" i="6"/>
  <c r="T122" i="6"/>
  <c r="S122" i="6"/>
  <c r="S121" i="6" s="1"/>
  <c r="R122" i="6"/>
  <c r="Q122" i="6"/>
  <c r="P122" i="6"/>
  <c r="P121" i="6" s="1"/>
  <c r="O122" i="6"/>
  <c r="N122" i="6"/>
  <c r="M122" i="6"/>
  <c r="L122" i="6"/>
  <c r="K122" i="6"/>
  <c r="AC121" i="6" s="1"/>
  <c r="W121" i="6"/>
  <c r="O121" i="6"/>
  <c r="AD120" i="6"/>
  <c r="AC120" i="6"/>
  <c r="AA120" i="6"/>
  <c r="Z120" i="6"/>
  <c r="Y120" i="6"/>
  <c r="X120" i="6"/>
  <c r="V120" i="6"/>
  <c r="U120" i="6"/>
  <c r="S120" i="6"/>
  <c r="R120" i="6"/>
  <c r="Q120" i="6"/>
  <c r="P120" i="6"/>
  <c r="N120" i="6"/>
  <c r="M120" i="6"/>
  <c r="K120" i="6"/>
  <c r="K115" i="6"/>
  <c r="J115" i="6"/>
  <c r="I115" i="6"/>
  <c r="G115" i="6"/>
  <c r="C115" i="6"/>
  <c r="A115" i="6"/>
  <c r="K114" i="6"/>
  <c r="J114" i="6"/>
  <c r="I114" i="6"/>
  <c r="G114" i="6"/>
  <c r="C114" i="6"/>
  <c r="A114" i="6"/>
  <c r="K113" i="6"/>
  <c r="J113" i="6"/>
  <c r="I113" i="6"/>
  <c r="G113" i="6"/>
  <c r="C113" i="6"/>
  <c r="A113" i="6"/>
  <c r="K112" i="6"/>
  <c r="J112" i="6"/>
  <c r="I112" i="6"/>
  <c r="G112" i="6"/>
  <c r="C112" i="6"/>
  <c r="A112" i="6"/>
  <c r="K111" i="6"/>
  <c r="J111" i="6"/>
  <c r="I111" i="6"/>
  <c r="G111" i="6"/>
  <c r="C111" i="6"/>
  <c r="A111" i="6"/>
  <c r="K110" i="6"/>
  <c r="J110" i="6"/>
  <c r="I110" i="6"/>
  <c r="G110" i="6"/>
  <c r="C110" i="6"/>
  <c r="A110" i="6"/>
  <c r="K109" i="6"/>
  <c r="I109" i="6"/>
  <c r="G109" i="6"/>
  <c r="C109" i="6"/>
  <c r="A109" i="6"/>
  <c r="AE108" i="6"/>
  <c r="AD108" i="6"/>
  <c r="AC108" i="6"/>
  <c r="AB108" i="6"/>
  <c r="AA108" i="6"/>
  <c r="Z108" i="6"/>
  <c r="Y108" i="6"/>
  <c r="X108" i="6"/>
  <c r="W108" i="6"/>
  <c r="V108" i="6"/>
  <c r="U108" i="6"/>
  <c r="T108" i="6"/>
  <c r="S108" i="6"/>
  <c r="R108" i="6"/>
  <c r="Q108" i="6"/>
  <c r="P108" i="6"/>
  <c r="O108" i="6"/>
  <c r="N108" i="6"/>
  <c r="M108" i="6"/>
  <c r="L108" i="6"/>
  <c r="A106" i="6"/>
  <c r="A105" i="6"/>
  <c r="AA102" i="6"/>
  <c r="K102" i="6"/>
  <c r="W101" i="6"/>
  <c r="AE100" i="6"/>
  <c r="AD100" i="6"/>
  <c r="AC100" i="6"/>
  <c r="AB100" i="6"/>
  <c r="AA100" i="6"/>
  <c r="Z100" i="6"/>
  <c r="Y100" i="6"/>
  <c r="X100" i="6"/>
  <c r="W100" i="6"/>
  <c r="V100" i="6"/>
  <c r="U100" i="6"/>
  <c r="P100" i="6"/>
  <c r="K100" i="6"/>
  <c r="AE99" i="6"/>
  <c r="AD99" i="6"/>
  <c r="AC99" i="6"/>
  <c r="AB99" i="6"/>
  <c r="AA99" i="6"/>
  <c r="Z99" i="6"/>
  <c r="Y99" i="6"/>
  <c r="X99" i="6"/>
  <c r="W99" i="6"/>
  <c r="V99" i="6"/>
  <c r="U99" i="6"/>
  <c r="P99" i="6"/>
  <c r="K99" i="6"/>
  <c r="AE98" i="6"/>
  <c r="AD98" i="6"/>
  <c r="AC98" i="6"/>
  <c r="AB98" i="6"/>
  <c r="AA98" i="6"/>
  <c r="Z98" i="6"/>
  <c r="Y98" i="6"/>
  <c r="X98" i="6"/>
  <c r="W98" i="6"/>
  <c r="V98" i="6"/>
  <c r="U98" i="6"/>
  <c r="P98" i="6"/>
  <c r="K98" i="6"/>
  <c r="AE96" i="6"/>
  <c r="AD96" i="6"/>
  <c r="AC96" i="6"/>
  <c r="AB96" i="6"/>
  <c r="AA96" i="6"/>
  <c r="Z96" i="6"/>
  <c r="Y96" i="6"/>
  <c r="X96" i="6"/>
  <c r="W96" i="6"/>
  <c r="V96" i="6"/>
  <c r="U96" i="6"/>
  <c r="T96" i="6"/>
  <c r="S96" i="6"/>
  <c r="R96" i="6"/>
  <c r="Q96" i="6"/>
  <c r="P96" i="6"/>
  <c r="O96" i="6"/>
  <c r="N96" i="6"/>
  <c r="M96" i="6"/>
  <c r="L96" i="6"/>
  <c r="I96" i="6"/>
  <c r="H96" i="6"/>
  <c r="G96" i="6"/>
  <c r="F96" i="6"/>
  <c r="AE95" i="6"/>
  <c r="AD95" i="6"/>
  <c r="AC95" i="6"/>
  <c r="AB95" i="6"/>
  <c r="AA95" i="6"/>
  <c r="Z95" i="6"/>
  <c r="Y95" i="6"/>
  <c r="X95" i="6"/>
  <c r="W95" i="6"/>
  <c r="V95" i="6"/>
  <c r="U95" i="6"/>
  <c r="T95" i="6"/>
  <c r="S95" i="6"/>
  <c r="R95" i="6"/>
  <c r="Q95" i="6"/>
  <c r="P95" i="6"/>
  <c r="O95" i="6"/>
  <c r="N95" i="6"/>
  <c r="M95" i="6"/>
  <c r="L95" i="6"/>
  <c r="I95" i="6"/>
  <c r="H95" i="6"/>
  <c r="G95" i="6"/>
  <c r="F95" i="6"/>
  <c r="Z92" i="6"/>
  <c r="R92" i="6"/>
  <c r="R113" i="6" s="1"/>
  <c r="A92" i="6"/>
  <c r="W91" i="6"/>
  <c r="O91" i="6"/>
  <c r="A91" i="6"/>
  <c r="A90" i="6"/>
  <c r="A89" i="6"/>
  <c r="A88" i="6"/>
  <c r="AD87" i="6"/>
  <c r="AC87" i="6"/>
  <c r="AB87" i="6"/>
  <c r="X87" i="6"/>
  <c r="W87" i="6"/>
  <c r="V87" i="6"/>
  <c r="U87" i="6"/>
  <c r="T87" i="6"/>
  <c r="S87" i="6"/>
  <c r="R87" i="6"/>
  <c r="Q87" i="6"/>
  <c r="P87" i="6"/>
  <c r="O87" i="6"/>
  <c r="N87" i="6"/>
  <c r="M87" i="6"/>
  <c r="L87" i="6"/>
  <c r="K87" i="6"/>
  <c r="J87" i="6"/>
  <c r="I87" i="6"/>
  <c r="H87" i="6"/>
  <c r="G87" i="6"/>
  <c r="F87" i="6"/>
  <c r="E87" i="6"/>
  <c r="D87" i="6"/>
  <c r="O84" i="6"/>
  <c r="O106" i="6" s="1"/>
  <c r="A84" i="6"/>
  <c r="AD83" i="6"/>
  <c r="AD92" i="6" s="1"/>
  <c r="AC83" i="6"/>
  <c r="AC92" i="6" s="1"/>
  <c r="AB83" i="6"/>
  <c r="Q229" i="9" s="1"/>
  <c r="AA83" i="6"/>
  <c r="Q321" i="9" s="1"/>
  <c r="Z83" i="6"/>
  <c r="Q413" i="9" s="1"/>
  <c r="Y83" i="6"/>
  <c r="Y102" i="6" s="1"/>
  <c r="X83" i="6"/>
  <c r="X92" i="6" s="1"/>
  <c r="W83" i="6"/>
  <c r="P707" i="9" s="1"/>
  <c r="V83" i="6"/>
  <c r="P792" i="9" s="1"/>
  <c r="U83" i="6"/>
  <c r="P877" i="9" s="1"/>
  <c r="T83" i="6"/>
  <c r="T92" i="6" s="1"/>
  <c r="S83" i="6"/>
  <c r="S92" i="6" s="1"/>
  <c r="R83" i="6"/>
  <c r="Q83" i="6"/>
  <c r="Q92" i="6" s="1"/>
  <c r="P83" i="6"/>
  <c r="P92" i="6" s="1"/>
  <c r="O83" i="6"/>
  <c r="O92" i="6" s="1"/>
  <c r="N83" i="6"/>
  <c r="N92" i="6" s="1"/>
  <c r="M83" i="6"/>
  <c r="M92" i="6" s="1"/>
  <c r="L83" i="6"/>
  <c r="L92" i="6" s="1"/>
  <c r="K83" i="6"/>
  <c r="P1044" i="9" s="1"/>
  <c r="A83" i="6"/>
  <c r="AD82" i="6"/>
  <c r="Q42" i="9" s="1"/>
  <c r="AC82" i="6"/>
  <c r="AB82" i="6"/>
  <c r="AA82" i="6"/>
  <c r="Q320" i="9" s="1"/>
  <c r="Z82" i="6"/>
  <c r="P436" i="9" s="1"/>
  <c r="Y82" i="6"/>
  <c r="Y85" i="6" s="1"/>
  <c r="P6" i="27" s="1"/>
  <c r="Q14" i="38" s="1"/>
  <c r="X82" i="6"/>
  <c r="P620" i="9" s="1"/>
  <c r="W82" i="6"/>
  <c r="P706" i="9" s="1"/>
  <c r="V82" i="6"/>
  <c r="U82" i="6"/>
  <c r="P876" i="9" s="1"/>
  <c r="T82" i="6"/>
  <c r="S82" i="6"/>
  <c r="R82" i="6"/>
  <c r="Q82" i="6"/>
  <c r="P82" i="6"/>
  <c r="P101" i="6" s="1"/>
  <c r="O82" i="6"/>
  <c r="O85" i="6" s="1"/>
  <c r="F6" i="27" s="1"/>
  <c r="G14" i="38" s="1"/>
  <c r="N82" i="6"/>
  <c r="M82" i="6"/>
  <c r="L82" i="6"/>
  <c r="K82" i="6"/>
  <c r="A82" i="6"/>
  <c r="K80" i="6"/>
  <c r="J80" i="6"/>
  <c r="I80" i="6"/>
  <c r="H80" i="6"/>
  <c r="G80" i="6"/>
  <c r="F80" i="6"/>
  <c r="AD79" i="6"/>
  <c r="AC79" i="6"/>
  <c r="AB79" i="6"/>
  <c r="AA79" i="6"/>
  <c r="Z79" i="6"/>
  <c r="X79" i="6"/>
  <c r="W79" i="6"/>
  <c r="V79" i="6"/>
  <c r="U79" i="6"/>
  <c r="T79" i="6"/>
  <c r="S79" i="6"/>
  <c r="R79" i="6"/>
  <c r="P79" i="6"/>
  <c r="O79" i="6"/>
  <c r="N79" i="6"/>
  <c r="M79" i="6"/>
  <c r="L79" i="6"/>
  <c r="K79" i="6"/>
  <c r="AE71" i="6"/>
  <c r="AD71" i="6"/>
  <c r="AC71" i="6"/>
  <c r="AB71" i="6"/>
  <c r="AA71" i="6"/>
  <c r="Z71" i="6"/>
  <c r="Y71" i="6"/>
  <c r="X71" i="6"/>
  <c r="W71" i="6"/>
  <c r="V71" i="6"/>
  <c r="U71" i="6"/>
  <c r="T71" i="6"/>
  <c r="S71" i="6"/>
  <c r="R71" i="6"/>
  <c r="Q71" i="6"/>
  <c r="P71" i="6"/>
  <c r="O71" i="6"/>
  <c r="N71" i="6"/>
  <c r="M71" i="6"/>
  <c r="L71" i="6"/>
  <c r="K71" i="6"/>
  <c r="J71" i="6"/>
  <c r="I71" i="6"/>
  <c r="H71" i="6"/>
  <c r="G71" i="6"/>
  <c r="F71" i="6"/>
  <c r="A70" i="6"/>
  <c r="A69" i="6"/>
  <c r="A68" i="6"/>
  <c r="A67" i="6"/>
  <c r="A66" i="6"/>
  <c r="A64" i="6"/>
  <c r="A63" i="6"/>
  <c r="AE61" i="6"/>
  <c r="AD61" i="6"/>
  <c r="AC61" i="6"/>
  <c r="AB61" i="6"/>
  <c r="AA61" i="6"/>
  <c r="Z61" i="6"/>
  <c r="Y61" i="6"/>
  <c r="X61" i="6"/>
  <c r="W61" i="6"/>
  <c r="V61" i="6"/>
  <c r="U61" i="6"/>
  <c r="T59" i="6"/>
  <c r="S59" i="6"/>
  <c r="R59" i="6"/>
  <c r="Q59" i="6"/>
  <c r="P59" i="6"/>
  <c r="O59" i="6"/>
  <c r="N59" i="6"/>
  <c r="M59" i="6"/>
  <c r="L59" i="6"/>
  <c r="K59" i="6"/>
  <c r="A59" i="6"/>
  <c r="A58" i="6"/>
  <c r="AE55" i="6"/>
  <c r="AD55" i="6"/>
  <c r="AC55" i="6"/>
  <c r="AB55" i="6"/>
  <c r="AA55" i="6"/>
  <c r="Z55" i="6"/>
  <c r="Y55" i="6"/>
  <c r="X55" i="6"/>
  <c r="W55" i="6"/>
  <c r="V55" i="6"/>
  <c r="U55" i="6"/>
  <c r="J55" i="6"/>
  <c r="A55" i="6"/>
  <c r="AL54" i="6"/>
  <c r="AE54" i="6"/>
  <c r="AD54" i="6"/>
  <c r="AC54" i="6"/>
  <c r="AB54" i="6"/>
  <c r="AA54" i="6"/>
  <c r="Z54" i="6"/>
  <c r="Y54" i="6"/>
  <c r="X54" i="6"/>
  <c r="W54" i="6"/>
  <c r="V54" i="6"/>
  <c r="U54" i="6"/>
  <c r="A54" i="6"/>
  <c r="B52" i="6"/>
  <c r="AE50" i="6"/>
  <c r="AD50" i="6"/>
  <c r="AC50" i="6"/>
  <c r="AB50" i="6"/>
  <c r="J52" i="6"/>
  <c r="I52" i="6"/>
  <c r="H52" i="6"/>
  <c r="G52" i="6"/>
  <c r="F52" i="6"/>
  <c r="E52" i="6"/>
  <c r="D52" i="6"/>
  <c r="C52" i="6"/>
  <c r="I46" i="6"/>
  <c r="H46" i="6"/>
  <c r="G46" i="6"/>
  <c r="F46" i="6"/>
  <c r="E46" i="6"/>
  <c r="D46" i="6"/>
  <c r="I45" i="6"/>
  <c r="H45" i="6"/>
  <c r="G45" i="6"/>
  <c r="F45" i="6"/>
  <c r="E45" i="6"/>
  <c r="D45" i="6"/>
  <c r="I44" i="6"/>
  <c r="H44" i="6"/>
  <c r="G44" i="6"/>
  <c r="F44" i="6"/>
  <c r="E44" i="6"/>
  <c r="D44" i="6"/>
  <c r="AD42" i="6"/>
  <c r="AD84" i="6" s="1"/>
  <c r="AC42" i="6"/>
  <c r="AC84" i="6" s="1"/>
  <c r="AB42" i="6"/>
  <c r="AB84" i="6" s="1"/>
  <c r="AA42" i="6"/>
  <c r="AA84" i="6" s="1"/>
  <c r="Z42" i="6"/>
  <c r="Z84" i="6" s="1"/>
  <c r="Y42" i="6"/>
  <c r="Y84" i="6" s="1"/>
  <c r="X42" i="6"/>
  <c r="X84" i="6" s="1"/>
  <c r="W42" i="6"/>
  <c r="W84" i="6" s="1"/>
  <c r="D42" i="6"/>
  <c r="AK38" i="6"/>
  <c r="AK37" i="6"/>
  <c r="AK36" i="6"/>
  <c r="AK34" i="6"/>
  <c r="AK33" i="6"/>
  <c r="U51" i="6"/>
  <c r="U52" i="6" s="1"/>
  <c r="T51" i="6"/>
  <c r="T52" i="6" s="1"/>
  <c r="S51" i="6"/>
  <c r="S52" i="6" s="1"/>
  <c r="R36" i="6"/>
  <c r="R37" i="6" s="1"/>
  <c r="Q36" i="6"/>
  <c r="Q37" i="6" s="1"/>
  <c r="O51" i="6"/>
  <c r="O52" i="6" s="1"/>
  <c r="M51" i="6"/>
  <c r="M52" i="6" s="1"/>
  <c r="L51" i="6"/>
  <c r="L52" i="6" s="1"/>
  <c r="K51" i="6"/>
  <c r="K52" i="6" s="1"/>
  <c r="AK32" i="6"/>
  <c r="AF29" i="6"/>
  <c r="AE29" i="6"/>
  <c r="AF28" i="6"/>
  <c r="AE28" i="6"/>
  <c r="AF27" i="6"/>
  <c r="AE27" i="6"/>
  <c r="AF26" i="6"/>
  <c r="AE26" i="6"/>
  <c r="AF25" i="6"/>
  <c r="AE25" i="6"/>
  <c r="AE23" i="6"/>
  <c r="AE22" i="6"/>
  <c r="AE21" i="6"/>
  <c r="AE20" i="6"/>
  <c r="AE19" i="6"/>
  <c r="AE18" i="6"/>
  <c r="AE17" i="6"/>
  <c r="AE15" i="6"/>
  <c r="AD15" i="6"/>
  <c r="AC15" i="6"/>
  <c r="AE12" i="6"/>
  <c r="AE11" i="6"/>
  <c r="AE10" i="6"/>
  <c r="AE9" i="6"/>
  <c r="AE8" i="6"/>
  <c r="AE7" i="6"/>
  <c r="AE6" i="6"/>
  <c r="AJ4" i="6"/>
  <c r="AI4" i="6"/>
  <c r="AH4" i="6"/>
  <c r="AG4" i="6"/>
  <c r="AF4" i="6"/>
  <c r="AE4" i="6"/>
  <c r="AC4" i="6"/>
  <c r="AB4" i="6"/>
  <c r="O224" i="34"/>
  <c r="N224" i="34"/>
  <c r="M224" i="34"/>
  <c r="L224" i="34"/>
  <c r="K224" i="34"/>
  <c r="J224" i="34"/>
  <c r="G224" i="34"/>
  <c r="F224" i="34"/>
  <c r="E224" i="34"/>
  <c r="D224" i="34"/>
  <c r="C224" i="34"/>
  <c r="B224" i="34"/>
  <c r="P223" i="34"/>
  <c r="O223" i="34"/>
  <c r="N223" i="34"/>
  <c r="M223" i="34"/>
  <c r="L223" i="34"/>
  <c r="K223" i="34"/>
  <c r="J223" i="34"/>
  <c r="H223" i="34"/>
  <c r="G223" i="34"/>
  <c r="F223" i="34"/>
  <c r="E223" i="34"/>
  <c r="D223" i="34"/>
  <c r="C223" i="34"/>
  <c r="B223" i="34"/>
  <c r="P222" i="34"/>
  <c r="O222" i="34"/>
  <c r="N222" i="34"/>
  <c r="M222" i="34"/>
  <c r="L222" i="34"/>
  <c r="K222" i="34"/>
  <c r="J222" i="34"/>
  <c r="H222" i="34"/>
  <c r="G222" i="34"/>
  <c r="F222" i="34"/>
  <c r="E222" i="34"/>
  <c r="D222" i="34"/>
  <c r="C222" i="34"/>
  <c r="B222" i="34"/>
  <c r="P221" i="34"/>
  <c r="O221" i="34"/>
  <c r="N221" i="34"/>
  <c r="M221" i="34"/>
  <c r="L221" i="34"/>
  <c r="K221" i="34"/>
  <c r="J221" i="34"/>
  <c r="H221" i="34"/>
  <c r="G221" i="34"/>
  <c r="F221" i="34"/>
  <c r="E221" i="34"/>
  <c r="D221" i="34"/>
  <c r="C221" i="34"/>
  <c r="B221" i="34"/>
  <c r="P220" i="34"/>
  <c r="O220" i="34"/>
  <c r="N220" i="34"/>
  <c r="M220" i="34"/>
  <c r="L220" i="34"/>
  <c r="K220" i="34"/>
  <c r="J220" i="34"/>
  <c r="H220" i="34"/>
  <c r="G220" i="34"/>
  <c r="F220" i="34"/>
  <c r="E220" i="34"/>
  <c r="D220" i="34"/>
  <c r="C220" i="34"/>
  <c r="B220" i="34"/>
  <c r="P219" i="34"/>
  <c r="O219" i="34"/>
  <c r="N219" i="34"/>
  <c r="M219" i="34"/>
  <c r="L219" i="34"/>
  <c r="K219" i="34"/>
  <c r="J219" i="34"/>
  <c r="H219" i="34"/>
  <c r="G219" i="34"/>
  <c r="F219" i="34"/>
  <c r="E219" i="34"/>
  <c r="D219" i="34"/>
  <c r="C219" i="34"/>
  <c r="B219" i="34"/>
  <c r="P218" i="34"/>
  <c r="O218" i="34"/>
  <c r="N218" i="34"/>
  <c r="M218" i="34"/>
  <c r="L218" i="34"/>
  <c r="K218" i="34"/>
  <c r="J218" i="34"/>
  <c r="H218" i="34"/>
  <c r="G218" i="34"/>
  <c r="F218" i="34"/>
  <c r="E218" i="34"/>
  <c r="D218" i="34"/>
  <c r="C218" i="34"/>
  <c r="B218" i="34"/>
  <c r="H217" i="34"/>
  <c r="G217" i="34"/>
  <c r="F217" i="34"/>
  <c r="E217" i="34"/>
  <c r="D217" i="34"/>
  <c r="C217" i="34"/>
  <c r="B217" i="34"/>
  <c r="H216" i="34"/>
  <c r="G216" i="34"/>
  <c r="F216" i="34"/>
  <c r="E216" i="34"/>
  <c r="D216" i="34"/>
  <c r="C216" i="34"/>
  <c r="B216" i="34"/>
  <c r="H215" i="34"/>
  <c r="G215" i="34"/>
  <c r="F215" i="34"/>
  <c r="E215" i="34"/>
  <c r="D215" i="34"/>
  <c r="C215" i="34"/>
  <c r="B215" i="34"/>
  <c r="H214" i="34"/>
  <c r="G214" i="34"/>
  <c r="F214" i="34"/>
  <c r="E214" i="34"/>
  <c r="D214" i="34"/>
  <c r="C214" i="34"/>
  <c r="B214" i="34"/>
  <c r="H213" i="34"/>
  <c r="G213" i="34"/>
  <c r="F213" i="34"/>
  <c r="E213" i="34"/>
  <c r="D213" i="34"/>
  <c r="C213" i="34"/>
  <c r="B213" i="34"/>
  <c r="H212" i="34"/>
  <c r="G212" i="34"/>
  <c r="F212" i="34"/>
  <c r="E212" i="34"/>
  <c r="D212" i="34"/>
  <c r="C212" i="34"/>
  <c r="B212" i="34"/>
  <c r="O208" i="34"/>
  <c r="N208" i="34"/>
  <c r="M208" i="34"/>
  <c r="L208" i="34"/>
  <c r="K208" i="34"/>
  <c r="J208" i="34"/>
  <c r="G208" i="34"/>
  <c r="F208" i="34"/>
  <c r="E208" i="34"/>
  <c r="D208" i="34"/>
  <c r="C208" i="34"/>
  <c r="B208" i="34"/>
  <c r="P207" i="34"/>
  <c r="O207" i="34"/>
  <c r="N207" i="34"/>
  <c r="M207" i="34"/>
  <c r="L207" i="34"/>
  <c r="K207" i="34"/>
  <c r="J207" i="34"/>
  <c r="H207" i="34"/>
  <c r="G207" i="34"/>
  <c r="F207" i="34"/>
  <c r="E207" i="34"/>
  <c r="D207" i="34"/>
  <c r="C207" i="34"/>
  <c r="B207" i="34"/>
  <c r="P206" i="34"/>
  <c r="O206" i="34"/>
  <c r="N206" i="34"/>
  <c r="M206" i="34"/>
  <c r="L206" i="34"/>
  <c r="K206" i="34"/>
  <c r="J206" i="34"/>
  <c r="H206" i="34"/>
  <c r="G206" i="34"/>
  <c r="F206" i="34"/>
  <c r="E206" i="34"/>
  <c r="D206" i="34"/>
  <c r="C206" i="34"/>
  <c r="B206" i="34"/>
  <c r="P205" i="34"/>
  <c r="O205" i="34"/>
  <c r="N205" i="34"/>
  <c r="M205" i="34"/>
  <c r="L205" i="34"/>
  <c r="K205" i="34"/>
  <c r="J205" i="34"/>
  <c r="H205" i="34"/>
  <c r="G205" i="34"/>
  <c r="F205" i="34"/>
  <c r="E205" i="34"/>
  <c r="D205" i="34"/>
  <c r="C205" i="34"/>
  <c r="B205" i="34"/>
  <c r="P204" i="34"/>
  <c r="O204" i="34"/>
  <c r="N204" i="34"/>
  <c r="M204" i="34"/>
  <c r="L204" i="34"/>
  <c r="K204" i="34"/>
  <c r="J204" i="34"/>
  <c r="H204" i="34"/>
  <c r="G204" i="34"/>
  <c r="F204" i="34"/>
  <c r="E204" i="34"/>
  <c r="D204" i="34"/>
  <c r="C204" i="34"/>
  <c r="B204" i="34"/>
  <c r="P203" i="34"/>
  <c r="O203" i="34"/>
  <c r="N203" i="34"/>
  <c r="M203" i="34"/>
  <c r="L203" i="34"/>
  <c r="K203" i="34"/>
  <c r="J203" i="34"/>
  <c r="H203" i="34"/>
  <c r="G203" i="34"/>
  <c r="F203" i="34"/>
  <c r="E203" i="34"/>
  <c r="D203" i="34"/>
  <c r="C203" i="34"/>
  <c r="B203" i="34"/>
  <c r="P202" i="34"/>
  <c r="O202" i="34"/>
  <c r="N202" i="34"/>
  <c r="M202" i="34"/>
  <c r="L202" i="34"/>
  <c r="K202" i="34"/>
  <c r="J202" i="34"/>
  <c r="H202" i="34"/>
  <c r="G202" i="34"/>
  <c r="F202" i="34"/>
  <c r="E202" i="34"/>
  <c r="D202" i="34"/>
  <c r="C202" i="34"/>
  <c r="B202" i="34"/>
  <c r="H201" i="34"/>
  <c r="G201" i="34"/>
  <c r="F201" i="34"/>
  <c r="E201" i="34"/>
  <c r="D201" i="34"/>
  <c r="C201" i="34"/>
  <c r="B201" i="34"/>
  <c r="H200" i="34"/>
  <c r="G200" i="34"/>
  <c r="F200" i="34"/>
  <c r="E200" i="34"/>
  <c r="D200" i="34"/>
  <c r="C200" i="34"/>
  <c r="B200" i="34"/>
  <c r="H199" i="34"/>
  <c r="G199" i="34"/>
  <c r="F199" i="34"/>
  <c r="E199" i="34"/>
  <c r="D199" i="34"/>
  <c r="C199" i="34"/>
  <c r="B199" i="34"/>
  <c r="H198" i="34"/>
  <c r="G198" i="34"/>
  <c r="F198" i="34"/>
  <c r="E198" i="34"/>
  <c r="D198" i="34"/>
  <c r="C198" i="34"/>
  <c r="B198" i="34"/>
  <c r="H197" i="34"/>
  <c r="G197" i="34"/>
  <c r="F197" i="34"/>
  <c r="E197" i="34"/>
  <c r="D197" i="34"/>
  <c r="C197" i="34"/>
  <c r="B197" i="34"/>
  <c r="H196" i="34"/>
  <c r="G196" i="34"/>
  <c r="F196" i="34"/>
  <c r="E196" i="34"/>
  <c r="D196" i="34"/>
  <c r="C196" i="34"/>
  <c r="B196" i="34"/>
  <c r="O192" i="34"/>
  <c r="N192" i="34"/>
  <c r="M192" i="34"/>
  <c r="L192" i="34"/>
  <c r="K192" i="34"/>
  <c r="J192" i="34"/>
  <c r="G192" i="34"/>
  <c r="F192" i="34"/>
  <c r="E192" i="34"/>
  <c r="D192" i="34"/>
  <c r="C192" i="34"/>
  <c r="B192" i="34"/>
  <c r="P191" i="34"/>
  <c r="O191" i="34"/>
  <c r="N191" i="34"/>
  <c r="M191" i="34"/>
  <c r="L191" i="34"/>
  <c r="K191" i="34"/>
  <c r="J191" i="34"/>
  <c r="H191" i="34"/>
  <c r="G191" i="34"/>
  <c r="F191" i="34"/>
  <c r="E191" i="34"/>
  <c r="D191" i="34"/>
  <c r="C191" i="34"/>
  <c r="B191" i="34"/>
  <c r="P190" i="34"/>
  <c r="O190" i="34"/>
  <c r="N190" i="34"/>
  <c r="M190" i="34"/>
  <c r="L190" i="34"/>
  <c r="K190" i="34"/>
  <c r="J190" i="34"/>
  <c r="H190" i="34"/>
  <c r="G190" i="34"/>
  <c r="F190" i="34"/>
  <c r="E190" i="34"/>
  <c r="D190" i="34"/>
  <c r="C190" i="34"/>
  <c r="B190" i="34"/>
  <c r="P189" i="34"/>
  <c r="O189" i="34"/>
  <c r="N189" i="34"/>
  <c r="M189" i="34"/>
  <c r="L189" i="34"/>
  <c r="K189" i="34"/>
  <c r="J189" i="34"/>
  <c r="H189" i="34"/>
  <c r="G189" i="34"/>
  <c r="F189" i="34"/>
  <c r="E189" i="34"/>
  <c r="D189" i="34"/>
  <c r="C189" i="34"/>
  <c r="B189" i="34"/>
  <c r="P188" i="34"/>
  <c r="O188" i="34"/>
  <c r="N188" i="34"/>
  <c r="M188" i="34"/>
  <c r="L188" i="34"/>
  <c r="K188" i="34"/>
  <c r="J188" i="34"/>
  <c r="H188" i="34"/>
  <c r="G188" i="34"/>
  <c r="F188" i="34"/>
  <c r="E188" i="34"/>
  <c r="D188" i="34"/>
  <c r="C188" i="34"/>
  <c r="B188" i="34"/>
  <c r="P187" i="34"/>
  <c r="O187" i="34"/>
  <c r="N187" i="34"/>
  <c r="M187" i="34"/>
  <c r="L187" i="34"/>
  <c r="K187" i="34"/>
  <c r="J187" i="34"/>
  <c r="H187" i="34"/>
  <c r="G187" i="34"/>
  <c r="F187" i="34"/>
  <c r="E187" i="34"/>
  <c r="D187" i="34"/>
  <c r="C187" i="34"/>
  <c r="B187" i="34"/>
  <c r="P186" i="34"/>
  <c r="O186" i="34"/>
  <c r="N186" i="34"/>
  <c r="M186" i="34"/>
  <c r="L186" i="34"/>
  <c r="K186" i="34"/>
  <c r="J186" i="34"/>
  <c r="H186" i="34"/>
  <c r="G186" i="34"/>
  <c r="F186" i="34"/>
  <c r="E186" i="34"/>
  <c r="D186" i="34"/>
  <c r="C186" i="34"/>
  <c r="B186" i="34"/>
  <c r="H185" i="34"/>
  <c r="G185" i="34"/>
  <c r="F185" i="34"/>
  <c r="E185" i="34"/>
  <c r="D185" i="34"/>
  <c r="C185" i="34"/>
  <c r="B185" i="34"/>
  <c r="H184" i="34"/>
  <c r="G184" i="34"/>
  <c r="F184" i="34"/>
  <c r="E184" i="34"/>
  <c r="D184" i="34"/>
  <c r="C184" i="34"/>
  <c r="B184" i="34"/>
  <c r="H183" i="34"/>
  <c r="G183" i="34"/>
  <c r="F183" i="34"/>
  <c r="E183" i="34"/>
  <c r="D183" i="34"/>
  <c r="C183" i="34"/>
  <c r="B183" i="34"/>
  <c r="H182" i="34"/>
  <c r="G182" i="34"/>
  <c r="F182" i="34"/>
  <c r="E182" i="34"/>
  <c r="D182" i="34"/>
  <c r="C182" i="34"/>
  <c r="B182" i="34"/>
  <c r="H181" i="34"/>
  <c r="G181" i="34"/>
  <c r="F181" i="34"/>
  <c r="E181" i="34"/>
  <c r="D181" i="34"/>
  <c r="C181" i="34"/>
  <c r="B181" i="34"/>
  <c r="H180" i="34"/>
  <c r="G180" i="34"/>
  <c r="F180" i="34"/>
  <c r="E180" i="34"/>
  <c r="D180" i="34"/>
  <c r="C180" i="34"/>
  <c r="B180" i="34"/>
  <c r="O176" i="34"/>
  <c r="N176" i="34"/>
  <c r="M176" i="34"/>
  <c r="L176" i="34"/>
  <c r="K176" i="34"/>
  <c r="J176" i="34"/>
  <c r="G176" i="34"/>
  <c r="F176" i="34"/>
  <c r="E176" i="34"/>
  <c r="D176" i="34"/>
  <c r="C176" i="34"/>
  <c r="B176" i="34"/>
  <c r="P175" i="34"/>
  <c r="O175" i="34"/>
  <c r="N175" i="34"/>
  <c r="M175" i="34"/>
  <c r="L175" i="34"/>
  <c r="K175" i="34"/>
  <c r="J175" i="34"/>
  <c r="H175" i="34"/>
  <c r="G175" i="34"/>
  <c r="F175" i="34"/>
  <c r="E175" i="34"/>
  <c r="D175" i="34"/>
  <c r="C175" i="34"/>
  <c r="B175" i="34"/>
  <c r="P174" i="34"/>
  <c r="O174" i="34"/>
  <c r="N174" i="34"/>
  <c r="M174" i="34"/>
  <c r="L174" i="34"/>
  <c r="K174" i="34"/>
  <c r="J174" i="34"/>
  <c r="H174" i="34"/>
  <c r="G174" i="34"/>
  <c r="F174" i="34"/>
  <c r="E174" i="34"/>
  <c r="D174" i="34"/>
  <c r="C174" i="34"/>
  <c r="B174" i="34"/>
  <c r="P173" i="34"/>
  <c r="O173" i="34"/>
  <c r="N173" i="34"/>
  <c r="M173" i="34"/>
  <c r="L173" i="34"/>
  <c r="K173" i="34"/>
  <c r="J173" i="34"/>
  <c r="H173" i="34"/>
  <c r="G173" i="34"/>
  <c r="F173" i="34"/>
  <c r="E173" i="34"/>
  <c r="D173" i="34"/>
  <c r="C173" i="34"/>
  <c r="B173" i="34"/>
  <c r="P172" i="34"/>
  <c r="O172" i="34"/>
  <c r="N172" i="34"/>
  <c r="M172" i="34"/>
  <c r="L172" i="34"/>
  <c r="K172" i="34"/>
  <c r="J172" i="34"/>
  <c r="H172" i="34"/>
  <c r="G172" i="34"/>
  <c r="F172" i="34"/>
  <c r="E172" i="34"/>
  <c r="D172" i="34"/>
  <c r="C172" i="34"/>
  <c r="B172" i="34"/>
  <c r="P171" i="34"/>
  <c r="O171" i="34"/>
  <c r="N171" i="34"/>
  <c r="M171" i="34"/>
  <c r="L171" i="34"/>
  <c r="K171" i="34"/>
  <c r="J171" i="34"/>
  <c r="H171" i="34"/>
  <c r="G171" i="34"/>
  <c r="F171" i="34"/>
  <c r="E171" i="34"/>
  <c r="D171" i="34"/>
  <c r="C171" i="34"/>
  <c r="B171" i="34"/>
  <c r="P170" i="34"/>
  <c r="O170" i="34"/>
  <c r="N170" i="34"/>
  <c r="M170" i="34"/>
  <c r="L170" i="34"/>
  <c r="K170" i="34"/>
  <c r="J170" i="34"/>
  <c r="H170" i="34"/>
  <c r="G170" i="34"/>
  <c r="F170" i="34"/>
  <c r="E170" i="34"/>
  <c r="D170" i="34"/>
  <c r="C170" i="34"/>
  <c r="B170" i="34"/>
  <c r="H169" i="34"/>
  <c r="G169" i="34"/>
  <c r="F169" i="34"/>
  <c r="E169" i="34"/>
  <c r="D169" i="34"/>
  <c r="C169" i="34"/>
  <c r="B169" i="34"/>
  <c r="H168" i="34"/>
  <c r="G168" i="34"/>
  <c r="F168" i="34"/>
  <c r="E168" i="34"/>
  <c r="D168" i="34"/>
  <c r="C168" i="34"/>
  <c r="B168" i="34"/>
  <c r="H167" i="34"/>
  <c r="G167" i="34"/>
  <c r="F167" i="34"/>
  <c r="E167" i="34"/>
  <c r="D167" i="34"/>
  <c r="C167" i="34"/>
  <c r="B167" i="34"/>
  <c r="H166" i="34"/>
  <c r="G166" i="34"/>
  <c r="F166" i="34"/>
  <c r="E166" i="34"/>
  <c r="D166" i="34"/>
  <c r="C166" i="34"/>
  <c r="B166" i="34"/>
  <c r="H165" i="34"/>
  <c r="G165" i="34"/>
  <c r="F165" i="34"/>
  <c r="E165" i="34"/>
  <c r="D165" i="34"/>
  <c r="C165" i="34"/>
  <c r="B165" i="34"/>
  <c r="H164" i="34"/>
  <c r="G164" i="34"/>
  <c r="F164" i="34"/>
  <c r="E164" i="34"/>
  <c r="D164" i="34"/>
  <c r="C164" i="34"/>
  <c r="B164" i="34"/>
  <c r="O158" i="34"/>
  <c r="N158" i="34"/>
  <c r="M158" i="34"/>
  <c r="L158" i="34"/>
  <c r="K158" i="34"/>
  <c r="J158" i="34"/>
  <c r="G158" i="34"/>
  <c r="F158" i="34"/>
  <c r="E158" i="34"/>
  <c r="D158" i="34"/>
  <c r="C158" i="34"/>
  <c r="B158" i="34"/>
  <c r="P157" i="34"/>
  <c r="O157" i="34"/>
  <c r="N157" i="34"/>
  <c r="M157" i="34"/>
  <c r="L157" i="34"/>
  <c r="K157" i="34"/>
  <c r="J157" i="34"/>
  <c r="H157" i="34"/>
  <c r="G157" i="34"/>
  <c r="F157" i="34"/>
  <c r="E157" i="34"/>
  <c r="D157" i="34"/>
  <c r="C157" i="34"/>
  <c r="B157" i="34"/>
  <c r="P156" i="34"/>
  <c r="O156" i="34"/>
  <c r="N156" i="34"/>
  <c r="M156" i="34"/>
  <c r="L156" i="34"/>
  <c r="K156" i="34"/>
  <c r="J156" i="34"/>
  <c r="H156" i="34"/>
  <c r="G156" i="34"/>
  <c r="F156" i="34"/>
  <c r="E156" i="34"/>
  <c r="D156" i="34"/>
  <c r="C156" i="34"/>
  <c r="B156" i="34"/>
  <c r="P155" i="34"/>
  <c r="O155" i="34"/>
  <c r="N155" i="34"/>
  <c r="M155" i="34"/>
  <c r="L155" i="34"/>
  <c r="K155" i="34"/>
  <c r="J155" i="34"/>
  <c r="H155" i="34"/>
  <c r="G155" i="34"/>
  <c r="F155" i="34"/>
  <c r="E155" i="34"/>
  <c r="D155" i="34"/>
  <c r="C155" i="34"/>
  <c r="B155" i="34"/>
  <c r="P154" i="34"/>
  <c r="O154" i="34"/>
  <c r="N154" i="34"/>
  <c r="M154" i="34"/>
  <c r="L154" i="34"/>
  <c r="K154" i="34"/>
  <c r="J154" i="34"/>
  <c r="H154" i="34"/>
  <c r="G154" i="34"/>
  <c r="F154" i="34"/>
  <c r="E154" i="34"/>
  <c r="D154" i="34"/>
  <c r="C154" i="34"/>
  <c r="B154" i="34"/>
  <c r="P153" i="34"/>
  <c r="O153" i="34"/>
  <c r="N153" i="34"/>
  <c r="M153" i="34"/>
  <c r="L153" i="34"/>
  <c r="K153" i="34"/>
  <c r="J153" i="34"/>
  <c r="H153" i="34"/>
  <c r="G153" i="34"/>
  <c r="F153" i="34"/>
  <c r="E153" i="34"/>
  <c r="D153" i="34"/>
  <c r="C153" i="34"/>
  <c r="B153" i="34"/>
  <c r="P152" i="34"/>
  <c r="O152" i="34"/>
  <c r="N152" i="34"/>
  <c r="M152" i="34"/>
  <c r="L152" i="34"/>
  <c r="K152" i="34"/>
  <c r="J152" i="34"/>
  <c r="H152" i="34"/>
  <c r="G152" i="34"/>
  <c r="F152" i="34"/>
  <c r="E152" i="34"/>
  <c r="D152" i="34"/>
  <c r="C152" i="34"/>
  <c r="B152" i="34"/>
  <c r="H151" i="34"/>
  <c r="G151" i="34"/>
  <c r="F151" i="34"/>
  <c r="E151" i="34"/>
  <c r="D151" i="34"/>
  <c r="C151" i="34"/>
  <c r="B151" i="34"/>
  <c r="H150" i="34"/>
  <c r="G150" i="34"/>
  <c r="F150" i="34"/>
  <c r="E150" i="34"/>
  <c r="D150" i="34"/>
  <c r="C150" i="34"/>
  <c r="B150" i="34"/>
  <c r="H149" i="34"/>
  <c r="G149" i="34"/>
  <c r="F149" i="34"/>
  <c r="E149" i="34"/>
  <c r="D149" i="34"/>
  <c r="C149" i="34"/>
  <c r="B149" i="34"/>
  <c r="H148" i="34"/>
  <c r="G148" i="34"/>
  <c r="F148" i="34"/>
  <c r="E148" i="34"/>
  <c r="D148" i="34"/>
  <c r="C148" i="34"/>
  <c r="B148" i="34"/>
  <c r="H147" i="34"/>
  <c r="G147" i="34"/>
  <c r="F147" i="34"/>
  <c r="E147" i="34"/>
  <c r="D147" i="34"/>
  <c r="C147" i="34"/>
  <c r="B147" i="34"/>
  <c r="H146" i="34"/>
  <c r="G146" i="34"/>
  <c r="F146" i="34"/>
  <c r="E146" i="34"/>
  <c r="D146" i="34"/>
  <c r="C146" i="34"/>
  <c r="B146" i="34"/>
  <c r="O140" i="34"/>
  <c r="N140" i="34"/>
  <c r="M140" i="34"/>
  <c r="L140" i="34"/>
  <c r="K140" i="34"/>
  <c r="J140" i="34"/>
  <c r="G140" i="34"/>
  <c r="F140" i="34"/>
  <c r="E140" i="34"/>
  <c r="D140" i="34"/>
  <c r="C140" i="34"/>
  <c r="B140" i="34"/>
  <c r="P139" i="34"/>
  <c r="O139" i="34"/>
  <c r="N139" i="34"/>
  <c r="M139" i="34"/>
  <c r="L139" i="34"/>
  <c r="K139" i="34"/>
  <c r="J139" i="34"/>
  <c r="H139" i="34"/>
  <c r="G139" i="34"/>
  <c r="F139" i="34"/>
  <c r="E139" i="34"/>
  <c r="D139" i="34"/>
  <c r="C139" i="34"/>
  <c r="B139" i="34"/>
  <c r="P138" i="34"/>
  <c r="O138" i="34"/>
  <c r="N138" i="34"/>
  <c r="M138" i="34"/>
  <c r="L138" i="34"/>
  <c r="K138" i="34"/>
  <c r="J138" i="34"/>
  <c r="H138" i="34"/>
  <c r="G138" i="34"/>
  <c r="F138" i="34"/>
  <c r="E138" i="34"/>
  <c r="D138" i="34"/>
  <c r="C138" i="34"/>
  <c r="B138" i="34"/>
  <c r="P137" i="34"/>
  <c r="O137" i="34"/>
  <c r="N137" i="34"/>
  <c r="M137" i="34"/>
  <c r="L137" i="34"/>
  <c r="K137" i="34"/>
  <c r="J137" i="34"/>
  <c r="H137" i="34"/>
  <c r="G137" i="34"/>
  <c r="F137" i="34"/>
  <c r="E137" i="34"/>
  <c r="D137" i="34"/>
  <c r="C137" i="34"/>
  <c r="B137" i="34"/>
  <c r="P136" i="34"/>
  <c r="O136" i="34"/>
  <c r="N136" i="34"/>
  <c r="M136" i="34"/>
  <c r="L136" i="34"/>
  <c r="K136" i="34"/>
  <c r="J136" i="34"/>
  <c r="H136" i="34"/>
  <c r="G136" i="34"/>
  <c r="F136" i="34"/>
  <c r="E136" i="34"/>
  <c r="D136" i="34"/>
  <c r="C136" i="34"/>
  <c r="B136" i="34"/>
  <c r="P135" i="34"/>
  <c r="O135" i="34"/>
  <c r="N135" i="34"/>
  <c r="M135" i="34"/>
  <c r="L135" i="34"/>
  <c r="K135" i="34"/>
  <c r="J135" i="34"/>
  <c r="H135" i="34"/>
  <c r="G135" i="34"/>
  <c r="F135" i="34"/>
  <c r="E135" i="34"/>
  <c r="D135" i="34"/>
  <c r="C135" i="34"/>
  <c r="B135" i="34"/>
  <c r="P134" i="34"/>
  <c r="O134" i="34"/>
  <c r="N134" i="34"/>
  <c r="M134" i="34"/>
  <c r="L134" i="34"/>
  <c r="K134" i="34"/>
  <c r="J134" i="34"/>
  <c r="H134" i="34"/>
  <c r="G134" i="34"/>
  <c r="F134" i="34"/>
  <c r="E134" i="34"/>
  <c r="D134" i="34"/>
  <c r="C134" i="34"/>
  <c r="B134" i="34"/>
  <c r="P133" i="34"/>
  <c r="O133" i="34"/>
  <c r="N133" i="34"/>
  <c r="M133" i="34"/>
  <c r="L133" i="34"/>
  <c r="K133" i="34"/>
  <c r="J133" i="34"/>
  <c r="H133" i="34"/>
  <c r="G133" i="34"/>
  <c r="F133" i="34"/>
  <c r="E133" i="34"/>
  <c r="D133" i="34"/>
  <c r="C133" i="34"/>
  <c r="B133" i="34"/>
  <c r="H132" i="34"/>
  <c r="G132" i="34"/>
  <c r="F132" i="34"/>
  <c r="E132" i="34"/>
  <c r="D132" i="34"/>
  <c r="C132" i="34"/>
  <c r="B132" i="34"/>
  <c r="H131" i="34"/>
  <c r="G131" i="34"/>
  <c r="F131" i="34"/>
  <c r="E131" i="34"/>
  <c r="D131" i="34"/>
  <c r="C131" i="34"/>
  <c r="B131" i="34"/>
  <c r="H130" i="34"/>
  <c r="G130" i="34"/>
  <c r="F130" i="34"/>
  <c r="E130" i="34"/>
  <c r="D130" i="34"/>
  <c r="C130" i="34"/>
  <c r="B130" i="34"/>
  <c r="H129" i="34"/>
  <c r="G129" i="34"/>
  <c r="F129" i="34"/>
  <c r="E129" i="34"/>
  <c r="D129" i="34"/>
  <c r="C129" i="34"/>
  <c r="B129" i="34"/>
  <c r="H128" i="34"/>
  <c r="G128" i="34"/>
  <c r="F128" i="34"/>
  <c r="E128" i="34"/>
  <c r="D128" i="34"/>
  <c r="C128" i="34"/>
  <c r="B128" i="34"/>
  <c r="H127" i="34"/>
  <c r="G127" i="34"/>
  <c r="F127" i="34"/>
  <c r="E127" i="34"/>
  <c r="D127" i="34"/>
  <c r="C127" i="34"/>
  <c r="B127" i="34"/>
  <c r="H126" i="34"/>
  <c r="G126" i="34"/>
  <c r="F126" i="34"/>
  <c r="E126" i="34"/>
  <c r="D126" i="34"/>
  <c r="C126" i="34"/>
  <c r="B126" i="34"/>
  <c r="O120" i="34"/>
  <c r="N120" i="34"/>
  <c r="M120" i="34"/>
  <c r="L120" i="34"/>
  <c r="K120" i="34"/>
  <c r="J120" i="34"/>
  <c r="G120" i="34"/>
  <c r="F120" i="34"/>
  <c r="E120" i="34"/>
  <c r="D120" i="34"/>
  <c r="C120" i="34"/>
  <c r="B120" i="34"/>
  <c r="P119" i="34"/>
  <c r="O119" i="34"/>
  <c r="N119" i="34"/>
  <c r="M119" i="34"/>
  <c r="L119" i="34"/>
  <c r="K119" i="34"/>
  <c r="J119" i="34"/>
  <c r="H119" i="34"/>
  <c r="G119" i="34"/>
  <c r="F119" i="34"/>
  <c r="E119" i="34"/>
  <c r="D119" i="34"/>
  <c r="C119" i="34"/>
  <c r="B119" i="34"/>
  <c r="P118" i="34"/>
  <c r="O118" i="34"/>
  <c r="N118" i="34"/>
  <c r="M118" i="34"/>
  <c r="L118" i="34"/>
  <c r="K118" i="34"/>
  <c r="J118" i="34"/>
  <c r="H118" i="34"/>
  <c r="G118" i="34"/>
  <c r="F118" i="34"/>
  <c r="E118" i="34"/>
  <c r="D118" i="34"/>
  <c r="C118" i="34"/>
  <c r="B118" i="34"/>
  <c r="P117" i="34"/>
  <c r="O117" i="34"/>
  <c r="N117" i="34"/>
  <c r="M117" i="34"/>
  <c r="L117" i="34"/>
  <c r="K117" i="34"/>
  <c r="J117" i="34"/>
  <c r="H117" i="34"/>
  <c r="G117" i="34"/>
  <c r="F117" i="34"/>
  <c r="E117" i="34"/>
  <c r="D117" i="34"/>
  <c r="C117" i="34"/>
  <c r="B117" i="34"/>
  <c r="P116" i="34"/>
  <c r="O116" i="34"/>
  <c r="N116" i="34"/>
  <c r="M116" i="34"/>
  <c r="L116" i="34"/>
  <c r="K116" i="34"/>
  <c r="J116" i="34"/>
  <c r="H116" i="34"/>
  <c r="G116" i="34"/>
  <c r="F116" i="34"/>
  <c r="E116" i="34"/>
  <c r="D116" i="34"/>
  <c r="C116" i="34"/>
  <c r="B116" i="34"/>
  <c r="P115" i="34"/>
  <c r="O115" i="34"/>
  <c r="N115" i="34"/>
  <c r="M115" i="34"/>
  <c r="L115" i="34"/>
  <c r="K115" i="34"/>
  <c r="J115" i="34"/>
  <c r="H115" i="34"/>
  <c r="G115" i="34"/>
  <c r="F115" i="34"/>
  <c r="E115" i="34"/>
  <c r="D115" i="34"/>
  <c r="C115" i="34"/>
  <c r="B115" i="34"/>
  <c r="P114" i="34"/>
  <c r="O114" i="34"/>
  <c r="N114" i="34"/>
  <c r="M114" i="34"/>
  <c r="L114" i="34"/>
  <c r="K114" i="34"/>
  <c r="J114" i="34"/>
  <c r="H114" i="34"/>
  <c r="G114" i="34"/>
  <c r="F114" i="34"/>
  <c r="E114" i="34"/>
  <c r="D114" i="34"/>
  <c r="C114" i="34"/>
  <c r="B114" i="34"/>
  <c r="P113" i="34"/>
  <c r="O113" i="34"/>
  <c r="N113" i="34"/>
  <c r="M113" i="34"/>
  <c r="L113" i="34"/>
  <c r="K113" i="34"/>
  <c r="J113" i="34"/>
  <c r="H113" i="34"/>
  <c r="G113" i="34"/>
  <c r="F113" i="34"/>
  <c r="E113" i="34"/>
  <c r="D113" i="34"/>
  <c r="C113" i="34"/>
  <c r="B113" i="34"/>
  <c r="H112" i="34"/>
  <c r="G112" i="34"/>
  <c r="F112" i="34"/>
  <c r="E112" i="34"/>
  <c r="D112" i="34"/>
  <c r="C112" i="34"/>
  <c r="B112" i="34"/>
  <c r="H111" i="34"/>
  <c r="G111" i="34"/>
  <c r="F111" i="34"/>
  <c r="E111" i="34"/>
  <c r="D111" i="34"/>
  <c r="C111" i="34"/>
  <c r="B111" i="34"/>
  <c r="H110" i="34"/>
  <c r="G110" i="34"/>
  <c r="F110" i="34"/>
  <c r="E110" i="34"/>
  <c r="D110" i="34"/>
  <c r="C110" i="34"/>
  <c r="B110" i="34"/>
  <c r="H109" i="34"/>
  <c r="G109" i="34"/>
  <c r="F109" i="34"/>
  <c r="E109" i="34"/>
  <c r="D109" i="34"/>
  <c r="C109" i="34"/>
  <c r="B109" i="34"/>
  <c r="H108" i="34"/>
  <c r="G108" i="34"/>
  <c r="F108" i="34"/>
  <c r="E108" i="34"/>
  <c r="D108" i="34"/>
  <c r="C108" i="34"/>
  <c r="B108" i="34"/>
  <c r="H107" i="34"/>
  <c r="G107" i="34"/>
  <c r="F107" i="34"/>
  <c r="E107" i="34"/>
  <c r="D107" i="34"/>
  <c r="C107" i="34"/>
  <c r="B107" i="34"/>
  <c r="H106" i="34"/>
  <c r="G106" i="34"/>
  <c r="F106" i="34"/>
  <c r="E106" i="34"/>
  <c r="D106" i="34"/>
  <c r="C106" i="34"/>
  <c r="B106" i="34"/>
  <c r="O100" i="34"/>
  <c r="N100" i="34"/>
  <c r="M100" i="34"/>
  <c r="L100" i="34"/>
  <c r="K100" i="34"/>
  <c r="J100" i="34"/>
  <c r="G100" i="34"/>
  <c r="F100" i="34"/>
  <c r="E100" i="34"/>
  <c r="D100" i="34"/>
  <c r="C100" i="34"/>
  <c r="B100" i="34"/>
  <c r="P99" i="34"/>
  <c r="O99" i="34"/>
  <c r="N99" i="34"/>
  <c r="M99" i="34"/>
  <c r="L99" i="34"/>
  <c r="K99" i="34"/>
  <c r="J99" i="34"/>
  <c r="H99" i="34"/>
  <c r="G99" i="34"/>
  <c r="F99" i="34"/>
  <c r="E99" i="34"/>
  <c r="D99" i="34"/>
  <c r="C99" i="34"/>
  <c r="B99" i="34"/>
  <c r="P98" i="34"/>
  <c r="O98" i="34"/>
  <c r="N98" i="34"/>
  <c r="M98" i="34"/>
  <c r="L98" i="34"/>
  <c r="K98" i="34"/>
  <c r="J98" i="34"/>
  <c r="H98" i="34"/>
  <c r="G98" i="34"/>
  <c r="F98" i="34"/>
  <c r="E98" i="34"/>
  <c r="D98" i="34"/>
  <c r="C98" i="34"/>
  <c r="B98" i="34"/>
  <c r="P97" i="34"/>
  <c r="O97" i="34"/>
  <c r="N97" i="34"/>
  <c r="M97" i="34"/>
  <c r="L97" i="34"/>
  <c r="K97" i="34"/>
  <c r="J97" i="34"/>
  <c r="H97" i="34"/>
  <c r="G97" i="34"/>
  <c r="F97" i="34"/>
  <c r="E97" i="34"/>
  <c r="D97" i="34"/>
  <c r="C97" i="34"/>
  <c r="B97" i="34"/>
  <c r="P96" i="34"/>
  <c r="O96" i="34"/>
  <c r="N96" i="34"/>
  <c r="M96" i="34"/>
  <c r="L96" i="34"/>
  <c r="K96" i="34"/>
  <c r="J96" i="34"/>
  <c r="H96" i="34"/>
  <c r="G96" i="34"/>
  <c r="F96" i="34"/>
  <c r="E96" i="34"/>
  <c r="D96" i="34"/>
  <c r="C96" i="34"/>
  <c r="B96" i="34"/>
  <c r="P95" i="34"/>
  <c r="O95" i="34"/>
  <c r="N95" i="34"/>
  <c r="M95" i="34"/>
  <c r="L95" i="34"/>
  <c r="K95" i="34"/>
  <c r="J95" i="34"/>
  <c r="H95" i="34"/>
  <c r="G95" i="34"/>
  <c r="F95" i="34"/>
  <c r="E95" i="34"/>
  <c r="D95" i="34"/>
  <c r="C95" i="34"/>
  <c r="B95" i="34"/>
  <c r="P94" i="34"/>
  <c r="O94" i="34"/>
  <c r="N94" i="34"/>
  <c r="M94" i="34"/>
  <c r="L94" i="34"/>
  <c r="K94" i="34"/>
  <c r="J94" i="34"/>
  <c r="H94" i="34"/>
  <c r="G94" i="34"/>
  <c r="F94" i="34"/>
  <c r="E94" i="34"/>
  <c r="D94" i="34"/>
  <c r="C94" i="34"/>
  <c r="B94" i="34"/>
  <c r="P93" i="34"/>
  <c r="O93" i="34"/>
  <c r="N93" i="34"/>
  <c r="M93" i="34"/>
  <c r="L93" i="34"/>
  <c r="K93" i="34"/>
  <c r="J93" i="34"/>
  <c r="H93" i="34"/>
  <c r="G93" i="34"/>
  <c r="F93" i="34"/>
  <c r="E93" i="34"/>
  <c r="D93" i="34"/>
  <c r="C93" i="34"/>
  <c r="B93" i="34"/>
  <c r="H92" i="34"/>
  <c r="G92" i="34"/>
  <c r="F92" i="34"/>
  <c r="E92" i="34"/>
  <c r="D92" i="34"/>
  <c r="C92" i="34"/>
  <c r="B92" i="34"/>
  <c r="H91" i="34"/>
  <c r="G91" i="34"/>
  <c r="F91" i="34"/>
  <c r="E91" i="34"/>
  <c r="D91" i="34"/>
  <c r="C91" i="34"/>
  <c r="B91" i="34"/>
  <c r="H90" i="34"/>
  <c r="G90" i="34"/>
  <c r="F90" i="34"/>
  <c r="E90" i="34"/>
  <c r="D90" i="34"/>
  <c r="C90" i="34"/>
  <c r="B90" i="34"/>
  <c r="H89" i="34"/>
  <c r="G89" i="34"/>
  <c r="F89" i="34"/>
  <c r="E89" i="34"/>
  <c r="D89" i="34"/>
  <c r="C89" i="34"/>
  <c r="B89" i="34"/>
  <c r="H88" i="34"/>
  <c r="G88" i="34"/>
  <c r="F88" i="34"/>
  <c r="E88" i="34"/>
  <c r="D88" i="34"/>
  <c r="C88" i="34"/>
  <c r="B88" i="34"/>
  <c r="H87" i="34"/>
  <c r="G87" i="34"/>
  <c r="F87" i="34"/>
  <c r="E87" i="34"/>
  <c r="D87" i="34"/>
  <c r="C87" i="34"/>
  <c r="B87" i="34"/>
  <c r="H86" i="34"/>
  <c r="G86" i="34"/>
  <c r="F86" i="34"/>
  <c r="E86" i="34"/>
  <c r="D86" i="34"/>
  <c r="C86" i="34"/>
  <c r="B86" i="34"/>
  <c r="O80" i="34"/>
  <c r="N80" i="34"/>
  <c r="M80" i="34"/>
  <c r="L80" i="34"/>
  <c r="K80" i="34"/>
  <c r="J80" i="34"/>
  <c r="G80" i="34"/>
  <c r="F80" i="34"/>
  <c r="E80" i="34"/>
  <c r="D80" i="34"/>
  <c r="C80" i="34"/>
  <c r="B80" i="34"/>
  <c r="X79" i="34"/>
  <c r="W79" i="34"/>
  <c r="V79" i="34"/>
  <c r="U79" i="34"/>
  <c r="T79" i="34"/>
  <c r="S79" i="34"/>
  <c r="R79" i="34"/>
  <c r="P79" i="34"/>
  <c r="O79" i="34"/>
  <c r="N79" i="34"/>
  <c r="M79" i="34"/>
  <c r="L79" i="34"/>
  <c r="K79" i="34"/>
  <c r="J79" i="34"/>
  <c r="H79" i="34"/>
  <c r="G79" i="34"/>
  <c r="F79" i="34"/>
  <c r="E79" i="34"/>
  <c r="D79" i="34"/>
  <c r="C79" i="34"/>
  <c r="B79" i="34"/>
  <c r="X78" i="34"/>
  <c r="W78" i="34"/>
  <c r="V78" i="34"/>
  <c r="U78" i="34"/>
  <c r="T78" i="34"/>
  <c r="S78" i="34"/>
  <c r="R78" i="34"/>
  <c r="P78" i="34"/>
  <c r="O78" i="34"/>
  <c r="N78" i="34"/>
  <c r="M78" i="34"/>
  <c r="L78" i="34"/>
  <c r="K78" i="34"/>
  <c r="J78" i="34"/>
  <c r="H78" i="34"/>
  <c r="G78" i="34"/>
  <c r="F78" i="34"/>
  <c r="E78" i="34"/>
  <c r="D78" i="34"/>
  <c r="C78" i="34"/>
  <c r="B78" i="34"/>
  <c r="X77" i="34"/>
  <c r="W77" i="34"/>
  <c r="V77" i="34"/>
  <c r="U77" i="34"/>
  <c r="T77" i="34"/>
  <c r="S77" i="34"/>
  <c r="R77" i="34"/>
  <c r="P77" i="34"/>
  <c r="O77" i="34"/>
  <c r="N77" i="34"/>
  <c r="M77" i="34"/>
  <c r="L77" i="34"/>
  <c r="K77" i="34"/>
  <c r="J77" i="34"/>
  <c r="H77" i="34"/>
  <c r="G77" i="34"/>
  <c r="F77" i="34"/>
  <c r="E77" i="34"/>
  <c r="D77" i="34"/>
  <c r="C77" i="34"/>
  <c r="B77" i="34"/>
  <c r="X76" i="34"/>
  <c r="W76" i="34"/>
  <c r="V76" i="34"/>
  <c r="U76" i="34"/>
  <c r="T76" i="34"/>
  <c r="S76" i="34"/>
  <c r="R76" i="34"/>
  <c r="P76" i="34"/>
  <c r="O76" i="34"/>
  <c r="N76" i="34"/>
  <c r="M76" i="34"/>
  <c r="L76" i="34"/>
  <c r="K76" i="34"/>
  <c r="J76" i="34"/>
  <c r="H76" i="34"/>
  <c r="G76" i="34"/>
  <c r="F76" i="34"/>
  <c r="E76" i="34"/>
  <c r="D76" i="34"/>
  <c r="C76" i="34"/>
  <c r="B76" i="34"/>
  <c r="X75" i="34"/>
  <c r="W75" i="34"/>
  <c r="V75" i="34"/>
  <c r="U75" i="34"/>
  <c r="T75" i="34"/>
  <c r="S75" i="34"/>
  <c r="R75" i="34"/>
  <c r="P75" i="34"/>
  <c r="O75" i="34"/>
  <c r="N75" i="34"/>
  <c r="M75" i="34"/>
  <c r="L75" i="34"/>
  <c r="K75" i="34"/>
  <c r="J75" i="34"/>
  <c r="H75" i="34"/>
  <c r="G75" i="34"/>
  <c r="F75" i="34"/>
  <c r="E75" i="34"/>
  <c r="D75" i="34"/>
  <c r="C75" i="34"/>
  <c r="B75" i="34"/>
  <c r="X74" i="34"/>
  <c r="W74" i="34"/>
  <c r="V74" i="34"/>
  <c r="U74" i="34"/>
  <c r="T74" i="34"/>
  <c r="S74" i="34"/>
  <c r="R74" i="34"/>
  <c r="P74" i="34"/>
  <c r="O74" i="34"/>
  <c r="N74" i="34"/>
  <c r="M74" i="34"/>
  <c r="L74" i="34"/>
  <c r="K74" i="34"/>
  <c r="J74" i="34"/>
  <c r="H74" i="34"/>
  <c r="G74" i="34"/>
  <c r="F74" i="34"/>
  <c r="E74" i="34"/>
  <c r="D74" i="34"/>
  <c r="C74" i="34"/>
  <c r="B74" i="34"/>
  <c r="X73" i="34"/>
  <c r="W73" i="34"/>
  <c r="V73" i="34"/>
  <c r="U73" i="34"/>
  <c r="T73" i="34"/>
  <c r="S73" i="34"/>
  <c r="R73" i="34"/>
  <c r="P73" i="34"/>
  <c r="O73" i="34"/>
  <c r="N73" i="34"/>
  <c r="M73" i="34"/>
  <c r="L73" i="34"/>
  <c r="K73" i="34"/>
  <c r="J73" i="34"/>
  <c r="H73" i="34"/>
  <c r="G73" i="34"/>
  <c r="F73" i="34"/>
  <c r="E73" i="34"/>
  <c r="D73" i="34"/>
  <c r="C73" i="34"/>
  <c r="B73" i="34"/>
  <c r="H72" i="34"/>
  <c r="G72" i="34"/>
  <c r="F72" i="34"/>
  <c r="E72" i="34"/>
  <c r="D72" i="34"/>
  <c r="C72" i="34"/>
  <c r="B72" i="34"/>
  <c r="H71" i="34"/>
  <c r="G71" i="34"/>
  <c r="F71" i="34"/>
  <c r="E71" i="34"/>
  <c r="D71" i="34"/>
  <c r="C71" i="34"/>
  <c r="B71" i="34"/>
  <c r="H70" i="34"/>
  <c r="G70" i="34"/>
  <c r="F70" i="34"/>
  <c r="E70" i="34"/>
  <c r="D70" i="34"/>
  <c r="C70" i="34"/>
  <c r="B70" i="34"/>
  <c r="H69" i="34"/>
  <c r="G69" i="34"/>
  <c r="F69" i="34"/>
  <c r="E69" i="34"/>
  <c r="D69" i="34"/>
  <c r="C69" i="34"/>
  <c r="B69" i="34"/>
  <c r="H68" i="34"/>
  <c r="G68" i="34"/>
  <c r="F68" i="34"/>
  <c r="E68" i="34"/>
  <c r="D68" i="34"/>
  <c r="C68" i="34"/>
  <c r="B68" i="34"/>
  <c r="H67" i="34"/>
  <c r="G67" i="34"/>
  <c r="F67" i="34"/>
  <c r="E67" i="34"/>
  <c r="D67" i="34"/>
  <c r="C67" i="34"/>
  <c r="B67" i="34"/>
  <c r="H66" i="34"/>
  <c r="G66" i="34"/>
  <c r="F66" i="34"/>
  <c r="E66" i="34"/>
  <c r="D66" i="34"/>
  <c r="C66" i="34"/>
  <c r="B66" i="34"/>
  <c r="O60" i="34"/>
  <c r="N60" i="34"/>
  <c r="M60" i="34"/>
  <c r="L60" i="34"/>
  <c r="K60" i="34"/>
  <c r="J60" i="34"/>
  <c r="G60" i="34"/>
  <c r="F60" i="34"/>
  <c r="E60" i="34"/>
  <c r="D60" i="34"/>
  <c r="C60" i="34"/>
  <c r="B60" i="34"/>
  <c r="X59" i="34"/>
  <c r="W59" i="34"/>
  <c r="V59" i="34"/>
  <c r="U59" i="34"/>
  <c r="T59" i="34"/>
  <c r="S59" i="34"/>
  <c r="R59" i="34"/>
  <c r="P59" i="34"/>
  <c r="O59" i="34"/>
  <c r="N59" i="34"/>
  <c r="M59" i="34"/>
  <c r="L59" i="34"/>
  <c r="K59" i="34"/>
  <c r="J59" i="34"/>
  <c r="H59" i="34"/>
  <c r="G59" i="34"/>
  <c r="F59" i="34"/>
  <c r="E59" i="34"/>
  <c r="D59" i="34"/>
  <c r="C59" i="34"/>
  <c r="B59" i="34"/>
  <c r="X58" i="34"/>
  <c r="W58" i="34"/>
  <c r="V58" i="34"/>
  <c r="U58" i="34"/>
  <c r="T58" i="34"/>
  <c r="S58" i="34"/>
  <c r="R58" i="34"/>
  <c r="P58" i="34"/>
  <c r="O58" i="34"/>
  <c r="N58" i="34"/>
  <c r="M58" i="34"/>
  <c r="L58" i="34"/>
  <c r="K58" i="34"/>
  <c r="J58" i="34"/>
  <c r="H58" i="34"/>
  <c r="G58" i="34"/>
  <c r="F58" i="34"/>
  <c r="E58" i="34"/>
  <c r="D58" i="34"/>
  <c r="C58" i="34"/>
  <c r="B58" i="34"/>
  <c r="X57" i="34"/>
  <c r="W57" i="34"/>
  <c r="V57" i="34"/>
  <c r="U57" i="34"/>
  <c r="T57" i="34"/>
  <c r="S57" i="34"/>
  <c r="R57" i="34"/>
  <c r="P57" i="34"/>
  <c r="O57" i="34"/>
  <c r="N57" i="34"/>
  <c r="M57" i="34"/>
  <c r="L57" i="34"/>
  <c r="K57" i="34"/>
  <c r="J57" i="34"/>
  <c r="H57" i="34"/>
  <c r="G57" i="34"/>
  <c r="F57" i="34"/>
  <c r="E57" i="34"/>
  <c r="D57" i="34"/>
  <c r="C57" i="34"/>
  <c r="B57" i="34"/>
  <c r="X56" i="34"/>
  <c r="W56" i="34"/>
  <c r="V56" i="34"/>
  <c r="U56" i="34"/>
  <c r="T56" i="34"/>
  <c r="S56" i="34"/>
  <c r="R56" i="34"/>
  <c r="P56" i="34"/>
  <c r="O56" i="34"/>
  <c r="N56" i="34"/>
  <c r="M56" i="34"/>
  <c r="L56" i="34"/>
  <c r="K56" i="34"/>
  <c r="J56" i="34"/>
  <c r="H56" i="34"/>
  <c r="G56" i="34"/>
  <c r="F56" i="34"/>
  <c r="E56" i="34"/>
  <c r="D56" i="34"/>
  <c r="C56" i="34"/>
  <c r="B56" i="34"/>
  <c r="X55" i="34"/>
  <c r="W55" i="34"/>
  <c r="V55" i="34"/>
  <c r="U55" i="34"/>
  <c r="T55" i="34"/>
  <c r="S55" i="34"/>
  <c r="R55" i="34"/>
  <c r="P55" i="34"/>
  <c r="O55" i="34"/>
  <c r="N55" i="34"/>
  <c r="M55" i="34"/>
  <c r="L55" i="34"/>
  <c r="K55" i="34"/>
  <c r="J55" i="34"/>
  <c r="H55" i="34"/>
  <c r="G55" i="34"/>
  <c r="F55" i="34"/>
  <c r="E55" i="34"/>
  <c r="D55" i="34"/>
  <c r="C55" i="34"/>
  <c r="B55" i="34"/>
  <c r="X54" i="34"/>
  <c r="W54" i="34"/>
  <c r="V54" i="34"/>
  <c r="U54" i="34"/>
  <c r="T54" i="34"/>
  <c r="S54" i="34"/>
  <c r="R54" i="34"/>
  <c r="P54" i="34"/>
  <c r="O54" i="34"/>
  <c r="N54" i="34"/>
  <c r="M54" i="34"/>
  <c r="L54" i="34"/>
  <c r="K54" i="34"/>
  <c r="J54" i="34"/>
  <c r="H54" i="34"/>
  <c r="G54" i="34"/>
  <c r="F54" i="34"/>
  <c r="E54" i="34"/>
  <c r="D54" i="34"/>
  <c r="C54" i="34"/>
  <c r="B54" i="34"/>
  <c r="X53" i="34"/>
  <c r="W53" i="34"/>
  <c r="V53" i="34"/>
  <c r="U53" i="34"/>
  <c r="T53" i="34"/>
  <c r="S53" i="34"/>
  <c r="R53" i="34"/>
  <c r="P53" i="34"/>
  <c r="O53" i="34"/>
  <c r="N53" i="34"/>
  <c r="M53" i="34"/>
  <c r="L53" i="34"/>
  <c r="K53" i="34"/>
  <c r="J53" i="34"/>
  <c r="H53" i="34"/>
  <c r="G53" i="34"/>
  <c r="F53" i="34"/>
  <c r="E53" i="34"/>
  <c r="D53" i="34"/>
  <c r="C53" i="34"/>
  <c r="B53" i="34"/>
  <c r="H52" i="34"/>
  <c r="G52" i="34"/>
  <c r="F52" i="34"/>
  <c r="E52" i="34"/>
  <c r="D52" i="34"/>
  <c r="C52" i="34"/>
  <c r="B52" i="34"/>
  <c r="H51" i="34"/>
  <c r="G51" i="34"/>
  <c r="F51" i="34"/>
  <c r="E51" i="34"/>
  <c r="D51" i="34"/>
  <c r="C51" i="34"/>
  <c r="B51" i="34"/>
  <c r="H50" i="34"/>
  <c r="G50" i="34"/>
  <c r="F50" i="34"/>
  <c r="E50" i="34"/>
  <c r="D50" i="34"/>
  <c r="C50" i="34"/>
  <c r="B50" i="34"/>
  <c r="H49" i="34"/>
  <c r="G49" i="34"/>
  <c r="F49" i="34"/>
  <c r="E49" i="34"/>
  <c r="D49" i="34"/>
  <c r="C49" i="34"/>
  <c r="B49" i="34"/>
  <c r="H48" i="34"/>
  <c r="G48" i="34"/>
  <c r="F48" i="34"/>
  <c r="E48" i="34"/>
  <c r="D48" i="34"/>
  <c r="C48" i="34"/>
  <c r="B48" i="34"/>
  <c r="H47" i="34"/>
  <c r="G47" i="34"/>
  <c r="F47" i="34"/>
  <c r="E47" i="34"/>
  <c r="D47" i="34"/>
  <c r="C47" i="34"/>
  <c r="B47" i="34"/>
  <c r="H46" i="34"/>
  <c r="G46" i="34"/>
  <c r="F46" i="34"/>
  <c r="E46" i="34"/>
  <c r="D46" i="34"/>
  <c r="C46" i="34"/>
  <c r="B46" i="34"/>
  <c r="O40" i="34"/>
  <c r="N40" i="34"/>
  <c r="M40" i="34"/>
  <c r="L40" i="34"/>
  <c r="K40" i="34"/>
  <c r="J40" i="34"/>
  <c r="G40" i="34"/>
  <c r="F40" i="34"/>
  <c r="E40" i="34"/>
  <c r="D40" i="34"/>
  <c r="C40" i="34"/>
  <c r="B40" i="34"/>
  <c r="X39" i="34"/>
  <c r="W39" i="34"/>
  <c r="V39" i="34"/>
  <c r="U39" i="34"/>
  <c r="T39" i="34"/>
  <c r="S39" i="34"/>
  <c r="R39" i="34"/>
  <c r="P39" i="34"/>
  <c r="O39" i="34"/>
  <c r="N39" i="34"/>
  <c r="M39" i="34"/>
  <c r="L39" i="34"/>
  <c r="K39" i="34"/>
  <c r="J39" i="34"/>
  <c r="H39" i="34"/>
  <c r="G39" i="34"/>
  <c r="F39" i="34"/>
  <c r="E39" i="34"/>
  <c r="D39" i="34"/>
  <c r="C39" i="34"/>
  <c r="B39" i="34"/>
  <c r="X38" i="34"/>
  <c r="W38" i="34"/>
  <c r="V38" i="34"/>
  <c r="U38" i="34"/>
  <c r="T38" i="34"/>
  <c r="S38" i="34"/>
  <c r="R38" i="34"/>
  <c r="P38" i="34"/>
  <c r="O38" i="34"/>
  <c r="N38" i="34"/>
  <c r="M38" i="34"/>
  <c r="L38" i="34"/>
  <c r="K38" i="34"/>
  <c r="J38" i="34"/>
  <c r="H38" i="34"/>
  <c r="G38" i="34"/>
  <c r="F38" i="34"/>
  <c r="E38" i="34"/>
  <c r="D38" i="34"/>
  <c r="C38" i="34"/>
  <c r="B38" i="34"/>
  <c r="X37" i="34"/>
  <c r="W37" i="34"/>
  <c r="V37" i="34"/>
  <c r="U37" i="34"/>
  <c r="T37" i="34"/>
  <c r="S37" i="34"/>
  <c r="R37" i="34"/>
  <c r="P37" i="34"/>
  <c r="O37" i="34"/>
  <c r="N37" i="34"/>
  <c r="M37" i="34"/>
  <c r="L37" i="34"/>
  <c r="K37" i="34"/>
  <c r="J37" i="34"/>
  <c r="H37" i="34"/>
  <c r="G37" i="34"/>
  <c r="F37" i="34"/>
  <c r="E37" i="34"/>
  <c r="D37" i="34"/>
  <c r="C37" i="34"/>
  <c r="B37" i="34"/>
  <c r="X36" i="34"/>
  <c r="W36" i="34"/>
  <c r="V36" i="34"/>
  <c r="U36" i="34"/>
  <c r="T36" i="34"/>
  <c r="S36" i="34"/>
  <c r="R36" i="34"/>
  <c r="P36" i="34"/>
  <c r="O36" i="34"/>
  <c r="N36" i="34"/>
  <c r="M36" i="34"/>
  <c r="L36" i="34"/>
  <c r="K36" i="34"/>
  <c r="J36" i="34"/>
  <c r="H36" i="34"/>
  <c r="G36" i="34"/>
  <c r="F36" i="34"/>
  <c r="E36" i="34"/>
  <c r="D36" i="34"/>
  <c r="C36" i="34"/>
  <c r="B36" i="34"/>
  <c r="X35" i="34"/>
  <c r="W35" i="34"/>
  <c r="V35" i="34"/>
  <c r="U35" i="34"/>
  <c r="T35" i="34"/>
  <c r="S35" i="34"/>
  <c r="R35" i="34"/>
  <c r="P35" i="34"/>
  <c r="O35" i="34"/>
  <c r="N35" i="34"/>
  <c r="M35" i="34"/>
  <c r="L35" i="34"/>
  <c r="K35" i="34"/>
  <c r="J35" i="34"/>
  <c r="H35" i="34"/>
  <c r="G35" i="34"/>
  <c r="F35" i="34"/>
  <c r="E35" i="34"/>
  <c r="D35" i="34"/>
  <c r="C35" i="34"/>
  <c r="B35" i="34"/>
  <c r="X34" i="34"/>
  <c r="W34" i="34"/>
  <c r="V34" i="34"/>
  <c r="U34" i="34"/>
  <c r="T34" i="34"/>
  <c r="S34" i="34"/>
  <c r="R34" i="34"/>
  <c r="P34" i="34"/>
  <c r="O34" i="34"/>
  <c r="N34" i="34"/>
  <c r="M34" i="34"/>
  <c r="L34" i="34"/>
  <c r="K34" i="34"/>
  <c r="J34" i="34"/>
  <c r="H34" i="34"/>
  <c r="G34" i="34"/>
  <c r="F34" i="34"/>
  <c r="E34" i="34"/>
  <c r="D34" i="34"/>
  <c r="C34" i="34"/>
  <c r="B34" i="34"/>
  <c r="X33" i="34"/>
  <c r="W33" i="34"/>
  <c r="V33" i="34"/>
  <c r="U33" i="34"/>
  <c r="T33" i="34"/>
  <c r="S33" i="34"/>
  <c r="R33" i="34"/>
  <c r="P33" i="34"/>
  <c r="O33" i="34"/>
  <c r="N33" i="34"/>
  <c r="M33" i="34"/>
  <c r="L33" i="34"/>
  <c r="K33" i="34"/>
  <c r="J33" i="34"/>
  <c r="H33" i="34"/>
  <c r="G33" i="34"/>
  <c r="F33" i="34"/>
  <c r="E33" i="34"/>
  <c r="D33" i="34"/>
  <c r="C33" i="34"/>
  <c r="B33" i="34"/>
  <c r="H32" i="34"/>
  <c r="G32" i="34"/>
  <c r="F32" i="34"/>
  <c r="E32" i="34"/>
  <c r="D32" i="34"/>
  <c r="C32" i="34"/>
  <c r="B32" i="34"/>
  <c r="H31" i="34"/>
  <c r="G31" i="34"/>
  <c r="F31" i="34"/>
  <c r="E31" i="34"/>
  <c r="D31" i="34"/>
  <c r="C31" i="34"/>
  <c r="B31" i="34"/>
  <c r="H30" i="34"/>
  <c r="G30" i="34"/>
  <c r="F30" i="34"/>
  <c r="E30" i="34"/>
  <c r="D30" i="34"/>
  <c r="C30" i="34"/>
  <c r="B30" i="34"/>
  <c r="H29" i="34"/>
  <c r="G29" i="34"/>
  <c r="F29" i="34"/>
  <c r="E29" i="34"/>
  <c r="D29" i="34"/>
  <c r="C29" i="34"/>
  <c r="B29" i="34"/>
  <c r="H28" i="34"/>
  <c r="G28" i="34"/>
  <c r="F28" i="34"/>
  <c r="E28" i="34"/>
  <c r="D28" i="34"/>
  <c r="C28" i="34"/>
  <c r="B28" i="34"/>
  <c r="H27" i="34"/>
  <c r="G27" i="34"/>
  <c r="F27" i="34"/>
  <c r="E27" i="34"/>
  <c r="D27" i="34"/>
  <c r="C27" i="34"/>
  <c r="B27" i="34"/>
  <c r="H26" i="34"/>
  <c r="G26" i="34"/>
  <c r="F26" i="34"/>
  <c r="E26" i="34"/>
  <c r="D26" i="34"/>
  <c r="C26" i="34"/>
  <c r="B26" i="34"/>
  <c r="O20" i="34"/>
  <c r="N20" i="34"/>
  <c r="M20" i="34"/>
  <c r="L20" i="34"/>
  <c r="K20" i="34"/>
  <c r="J20" i="34"/>
  <c r="G20" i="34"/>
  <c r="F20" i="34"/>
  <c r="E20" i="34"/>
  <c r="D20" i="34"/>
  <c r="C20" i="34"/>
  <c r="B20" i="34"/>
  <c r="X19" i="34"/>
  <c r="W19" i="34"/>
  <c r="V19" i="34"/>
  <c r="U19" i="34"/>
  <c r="T19" i="34"/>
  <c r="S19" i="34"/>
  <c r="R19" i="34"/>
  <c r="P19" i="34"/>
  <c r="O19" i="34"/>
  <c r="N19" i="34"/>
  <c r="M19" i="34"/>
  <c r="L19" i="34"/>
  <c r="K19" i="34"/>
  <c r="J19" i="34"/>
  <c r="H19" i="34"/>
  <c r="G19" i="34"/>
  <c r="F19" i="34"/>
  <c r="E19" i="34"/>
  <c r="D19" i="34"/>
  <c r="C19" i="34"/>
  <c r="B19" i="34"/>
  <c r="X18" i="34"/>
  <c r="W18" i="34"/>
  <c r="V18" i="34"/>
  <c r="U18" i="34"/>
  <c r="T18" i="34"/>
  <c r="S18" i="34"/>
  <c r="R18" i="34"/>
  <c r="P18" i="34"/>
  <c r="O18" i="34"/>
  <c r="N18" i="34"/>
  <c r="M18" i="34"/>
  <c r="L18" i="34"/>
  <c r="K18" i="34"/>
  <c r="J18" i="34"/>
  <c r="H18" i="34"/>
  <c r="G18" i="34"/>
  <c r="F18" i="34"/>
  <c r="E18" i="34"/>
  <c r="D18" i="34"/>
  <c r="C18" i="34"/>
  <c r="B18" i="34"/>
  <c r="X17" i="34"/>
  <c r="W17" i="34"/>
  <c r="V17" i="34"/>
  <c r="U17" i="34"/>
  <c r="T17" i="34"/>
  <c r="S17" i="34"/>
  <c r="R17" i="34"/>
  <c r="P17" i="34"/>
  <c r="O17" i="34"/>
  <c r="N17" i="34"/>
  <c r="M17" i="34"/>
  <c r="L17" i="34"/>
  <c r="K17" i="34"/>
  <c r="J17" i="34"/>
  <c r="H17" i="34"/>
  <c r="G17" i="34"/>
  <c r="F17" i="34"/>
  <c r="E17" i="34"/>
  <c r="D17" i="34"/>
  <c r="C17" i="34"/>
  <c r="B17" i="34"/>
  <c r="X16" i="34"/>
  <c r="W16" i="34"/>
  <c r="V16" i="34"/>
  <c r="U16" i="34"/>
  <c r="T16" i="34"/>
  <c r="S16" i="34"/>
  <c r="R16" i="34"/>
  <c r="P16" i="34"/>
  <c r="O16" i="34"/>
  <c r="N16" i="34"/>
  <c r="M16" i="34"/>
  <c r="L16" i="34"/>
  <c r="K16" i="34"/>
  <c r="J16" i="34"/>
  <c r="H16" i="34"/>
  <c r="G16" i="34"/>
  <c r="F16" i="34"/>
  <c r="E16" i="34"/>
  <c r="D16" i="34"/>
  <c r="C16" i="34"/>
  <c r="B16" i="34"/>
  <c r="X15" i="34"/>
  <c r="W15" i="34"/>
  <c r="V15" i="34"/>
  <c r="U15" i="34"/>
  <c r="T15" i="34"/>
  <c r="S15" i="34"/>
  <c r="R15" i="34"/>
  <c r="P15" i="34"/>
  <c r="O15" i="34"/>
  <c r="N15" i="34"/>
  <c r="M15" i="34"/>
  <c r="L15" i="34"/>
  <c r="K15" i="34"/>
  <c r="J15" i="34"/>
  <c r="H15" i="34"/>
  <c r="G15" i="34"/>
  <c r="F15" i="34"/>
  <c r="E15" i="34"/>
  <c r="D15" i="34"/>
  <c r="C15" i="34"/>
  <c r="B15" i="34"/>
  <c r="X14" i="34"/>
  <c r="W14" i="34"/>
  <c r="V14" i="34"/>
  <c r="U14" i="34"/>
  <c r="T14" i="34"/>
  <c r="S14" i="34"/>
  <c r="R14" i="34"/>
  <c r="P14" i="34"/>
  <c r="O14" i="34"/>
  <c r="N14" i="34"/>
  <c r="M14" i="34"/>
  <c r="L14" i="34"/>
  <c r="K14" i="34"/>
  <c r="J14" i="34"/>
  <c r="H14" i="34"/>
  <c r="G14" i="34"/>
  <c r="F14" i="34"/>
  <c r="E14" i="34"/>
  <c r="D14" i="34"/>
  <c r="C14" i="34"/>
  <c r="B14" i="34"/>
  <c r="X13" i="34"/>
  <c r="W13" i="34"/>
  <c r="V13" i="34"/>
  <c r="U13" i="34"/>
  <c r="T13" i="34"/>
  <c r="S13" i="34"/>
  <c r="R13" i="34"/>
  <c r="P13" i="34"/>
  <c r="O13" i="34"/>
  <c r="N13" i="34"/>
  <c r="M13" i="34"/>
  <c r="L13" i="34"/>
  <c r="K13" i="34"/>
  <c r="J13" i="34"/>
  <c r="H13" i="34"/>
  <c r="G13" i="34"/>
  <c r="F13" i="34"/>
  <c r="E13" i="34"/>
  <c r="D13" i="34"/>
  <c r="C13" i="34"/>
  <c r="B13" i="34"/>
  <c r="H12" i="34"/>
  <c r="G12" i="34"/>
  <c r="F12" i="34"/>
  <c r="E12" i="34"/>
  <c r="D12" i="34"/>
  <c r="C12" i="34"/>
  <c r="B12" i="34"/>
  <c r="H11" i="34"/>
  <c r="G11" i="34"/>
  <c r="F11" i="34"/>
  <c r="E11" i="34"/>
  <c r="D11" i="34"/>
  <c r="C11" i="34"/>
  <c r="B11" i="34"/>
  <c r="H10" i="34"/>
  <c r="G10" i="34"/>
  <c r="F10" i="34"/>
  <c r="E10" i="34"/>
  <c r="D10" i="34"/>
  <c r="C10" i="34"/>
  <c r="B10" i="34"/>
  <c r="H9" i="34"/>
  <c r="G9" i="34"/>
  <c r="F9" i="34"/>
  <c r="E9" i="34"/>
  <c r="D9" i="34"/>
  <c r="C9" i="34"/>
  <c r="B9" i="34"/>
  <c r="H8" i="34"/>
  <c r="G8" i="34"/>
  <c r="F8" i="34"/>
  <c r="E8" i="34"/>
  <c r="D8" i="34"/>
  <c r="C8" i="34"/>
  <c r="B8" i="34"/>
  <c r="H7" i="34"/>
  <c r="G7" i="34"/>
  <c r="F7" i="34"/>
  <c r="E7" i="34"/>
  <c r="D7" i="34"/>
  <c r="C7" i="34"/>
  <c r="B7" i="34"/>
  <c r="H6" i="34"/>
  <c r="G6" i="34"/>
  <c r="F6" i="34"/>
  <c r="E6" i="34"/>
  <c r="D6" i="34"/>
  <c r="C6" i="34"/>
  <c r="B6" i="34"/>
  <c r="Q16" i="27"/>
  <c r="I16" i="27"/>
  <c r="N14" i="27"/>
  <c r="F14" i="27"/>
  <c r="U11" i="27"/>
  <c r="V13" i="38" s="1"/>
  <c r="T11" i="27"/>
  <c r="U13" i="38" s="1"/>
  <c r="S11" i="27"/>
  <c r="T13" i="38" s="1"/>
  <c r="R11" i="27"/>
  <c r="S13" i="38" s="1"/>
  <c r="Q11" i="27"/>
  <c r="R13" i="38" s="1"/>
  <c r="P11" i="27"/>
  <c r="Q13" i="38" s="1"/>
  <c r="O11" i="27"/>
  <c r="P13" i="38" s="1"/>
  <c r="N11" i="27"/>
  <c r="O13" i="38" s="1"/>
  <c r="M11" i="27"/>
  <c r="N13" i="38" s="1"/>
  <c r="L11" i="27"/>
  <c r="M13" i="38" s="1"/>
  <c r="K11" i="27"/>
  <c r="L13" i="38" s="1"/>
  <c r="J11" i="27"/>
  <c r="K13" i="38" s="1"/>
  <c r="I11" i="27"/>
  <c r="J13" i="38" s="1"/>
  <c r="H11" i="27"/>
  <c r="I13" i="38" s="1"/>
  <c r="G11" i="27"/>
  <c r="H13" i="38" s="1"/>
  <c r="F11" i="27"/>
  <c r="G13" i="38" s="1"/>
  <c r="E11" i="27"/>
  <c r="F13" i="38" s="1"/>
  <c r="D11" i="27"/>
  <c r="E13" i="38" s="1"/>
  <c r="C11" i="27"/>
  <c r="D13" i="38" s="1"/>
  <c r="B11" i="27"/>
  <c r="C13" i="38" s="1"/>
  <c r="U10" i="27"/>
  <c r="T10" i="27"/>
  <c r="S10" i="27"/>
  <c r="R10" i="27"/>
  <c r="Q10" i="27"/>
  <c r="P10" i="27"/>
  <c r="O10" i="27"/>
  <c r="N10" i="27"/>
  <c r="M10" i="27"/>
  <c r="L10" i="27"/>
  <c r="K10" i="27"/>
  <c r="J10" i="27"/>
  <c r="I10" i="27"/>
  <c r="H10" i="27"/>
  <c r="G10" i="27"/>
  <c r="F10" i="27"/>
  <c r="E10" i="27"/>
  <c r="D10" i="27"/>
  <c r="C10" i="27"/>
  <c r="B10" i="27"/>
  <c r="F9" i="27"/>
  <c r="U8" i="27"/>
  <c r="T8" i="27"/>
  <c r="S8" i="27"/>
  <c r="R8" i="27"/>
  <c r="Q8" i="27"/>
  <c r="P8" i="27"/>
  <c r="O8" i="27"/>
  <c r="N8" i="27"/>
  <c r="M8" i="27"/>
  <c r="L8" i="27"/>
  <c r="K8" i="27"/>
  <c r="J8" i="27"/>
  <c r="I8" i="27"/>
  <c r="H8" i="27"/>
  <c r="G8" i="27"/>
  <c r="F8" i="27"/>
  <c r="E8" i="27"/>
  <c r="D8" i="27"/>
  <c r="C8" i="27"/>
  <c r="B8" i="27"/>
  <c r="F7" i="27"/>
  <c r="V5" i="27"/>
  <c r="U5" i="27"/>
  <c r="T5" i="27"/>
  <c r="S5" i="27"/>
  <c r="R5" i="27"/>
  <c r="Q5" i="27"/>
  <c r="P5" i="27"/>
  <c r="O5" i="27"/>
  <c r="N5" i="27"/>
  <c r="M5" i="27"/>
  <c r="L5" i="27"/>
  <c r="K5" i="27"/>
  <c r="J5" i="27"/>
  <c r="I5" i="27"/>
  <c r="H5" i="27"/>
  <c r="G5" i="27"/>
  <c r="F5" i="27"/>
  <c r="E5" i="27"/>
  <c r="D5" i="27"/>
  <c r="C5" i="27"/>
  <c r="B5" i="27"/>
  <c r="V4" i="27"/>
  <c r="U4" i="27"/>
  <c r="T4" i="27"/>
  <c r="S4" i="27"/>
  <c r="R4" i="27"/>
  <c r="Q4" i="27"/>
  <c r="P4" i="27"/>
  <c r="O4" i="27"/>
  <c r="N4" i="27"/>
  <c r="M4" i="27"/>
  <c r="L4" i="27"/>
  <c r="K4" i="27"/>
  <c r="J4" i="27"/>
  <c r="I4" i="27"/>
  <c r="H4" i="27"/>
  <c r="G4" i="27"/>
  <c r="F4" i="27"/>
  <c r="E4" i="27"/>
  <c r="D4" i="27"/>
  <c r="C4" i="27"/>
  <c r="B4" i="27"/>
  <c r="T3" i="27"/>
  <c r="S3" i="27"/>
  <c r="R3" i="27"/>
  <c r="Q3" i="27"/>
  <c r="P3" i="27"/>
  <c r="O3" i="27"/>
  <c r="N3" i="27"/>
  <c r="M3" i="27"/>
  <c r="L3" i="27"/>
  <c r="K3" i="27"/>
  <c r="J3" i="27"/>
  <c r="I3" i="27"/>
  <c r="H3" i="27"/>
  <c r="G3" i="27"/>
  <c r="F3" i="27"/>
  <c r="E3" i="27"/>
  <c r="D3" i="27"/>
  <c r="C3" i="27"/>
  <c r="B3" i="27"/>
  <c r="H133" i="32"/>
  <c r="G133" i="32"/>
  <c r="F133" i="32"/>
  <c r="E133" i="32"/>
  <c r="D133" i="32"/>
  <c r="C133" i="32"/>
  <c r="B133" i="32"/>
  <c r="H132" i="32"/>
  <c r="G132" i="32"/>
  <c r="F132" i="32"/>
  <c r="E132" i="32"/>
  <c r="D132" i="32"/>
  <c r="C132" i="32"/>
  <c r="B132" i="32"/>
  <c r="H131" i="32"/>
  <c r="G131" i="32"/>
  <c r="F131" i="32"/>
  <c r="E131" i="32"/>
  <c r="D131" i="32"/>
  <c r="C131" i="32"/>
  <c r="B131" i="32"/>
  <c r="H130" i="32"/>
  <c r="G130" i="32"/>
  <c r="F130" i="32"/>
  <c r="E130" i="32"/>
  <c r="D130" i="32"/>
  <c r="C130" i="32"/>
  <c r="B130" i="32"/>
  <c r="H129" i="32"/>
  <c r="G129" i="32"/>
  <c r="F129" i="32"/>
  <c r="E129" i="32"/>
  <c r="D129" i="32"/>
  <c r="C129" i="32"/>
  <c r="B129" i="32"/>
  <c r="H128" i="32"/>
  <c r="G128" i="32"/>
  <c r="F128" i="32"/>
  <c r="E128" i="32"/>
  <c r="D128" i="32"/>
  <c r="C128" i="32"/>
  <c r="B128" i="32"/>
  <c r="H125" i="32"/>
  <c r="G125" i="32"/>
  <c r="F125" i="32"/>
  <c r="E125" i="32"/>
  <c r="D125" i="32"/>
  <c r="C125" i="32"/>
  <c r="B125" i="32"/>
  <c r="H124" i="32"/>
  <c r="G124" i="32"/>
  <c r="F124" i="32"/>
  <c r="E124" i="32"/>
  <c r="D124" i="32"/>
  <c r="C124" i="32"/>
  <c r="B124" i="32"/>
  <c r="H123" i="32"/>
  <c r="G123" i="32"/>
  <c r="F123" i="32"/>
  <c r="E123" i="32"/>
  <c r="D123" i="32"/>
  <c r="C123" i="32"/>
  <c r="B123" i="32"/>
  <c r="H122" i="32"/>
  <c r="G122" i="32"/>
  <c r="F122" i="32"/>
  <c r="E122" i="32"/>
  <c r="D122" i="32"/>
  <c r="C122" i="32"/>
  <c r="B122" i="32"/>
  <c r="H121" i="32"/>
  <c r="G121" i="32"/>
  <c r="F121" i="32"/>
  <c r="E121" i="32"/>
  <c r="D121" i="32"/>
  <c r="C121" i="32"/>
  <c r="B121" i="32"/>
  <c r="H120" i="32"/>
  <c r="G120" i="32"/>
  <c r="F120" i="32"/>
  <c r="E120" i="32"/>
  <c r="D120" i="32"/>
  <c r="C120" i="32"/>
  <c r="B120" i="32"/>
  <c r="H119" i="32"/>
  <c r="G119" i="32"/>
  <c r="F119" i="32"/>
  <c r="E119" i="32"/>
  <c r="D119" i="32"/>
  <c r="C119" i="32"/>
  <c r="B119" i="32"/>
  <c r="H116" i="32"/>
  <c r="G116" i="32"/>
  <c r="F116" i="32"/>
  <c r="E116" i="32"/>
  <c r="D116" i="32"/>
  <c r="C116" i="32"/>
  <c r="B116" i="32"/>
  <c r="H115" i="32"/>
  <c r="G115" i="32"/>
  <c r="F115" i="32"/>
  <c r="E115" i="32"/>
  <c r="D115" i="32"/>
  <c r="C115" i="32"/>
  <c r="B115" i="32"/>
  <c r="H114" i="32"/>
  <c r="G114" i="32"/>
  <c r="F114" i="32"/>
  <c r="E114" i="32"/>
  <c r="D114" i="32"/>
  <c r="C114" i="32"/>
  <c r="B114" i="32"/>
  <c r="H113" i="32"/>
  <c r="G113" i="32"/>
  <c r="F113" i="32"/>
  <c r="E113" i="32"/>
  <c r="D113" i="32"/>
  <c r="C113" i="32"/>
  <c r="B113" i="32"/>
  <c r="H112" i="32"/>
  <c r="G112" i="32"/>
  <c r="F112" i="32"/>
  <c r="E112" i="32"/>
  <c r="D112" i="32"/>
  <c r="C112" i="32"/>
  <c r="B112" i="32"/>
  <c r="H111" i="32"/>
  <c r="G111" i="32"/>
  <c r="F111" i="32"/>
  <c r="E111" i="32"/>
  <c r="D111" i="32"/>
  <c r="C111" i="32"/>
  <c r="B111" i="32"/>
  <c r="H110" i="32"/>
  <c r="G110" i="32"/>
  <c r="F110" i="32"/>
  <c r="E110" i="32"/>
  <c r="D110" i="32"/>
  <c r="C110" i="32"/>
  <c r="B110" i="32"/>
  <c r="H107" i="32"/>
  <c r="G107" i="32"/>
  <c r="F107" i="32"/>
  <c r="E107" i="32"/>
  <c r="D107" i="32"/>
  <c r="C107" i="32"/>
  <c r="B107" i="32"/>
  <c r="H106" i="32"/>
  <c r="G106" i="32"/>
  <c r="F106" i="32"/>
  <c r="E106" i="32"/>
  <c r="D106" i="32"/>
  <c r="C106" i="32"/>
  <c r="B106" i="32"/>
  <c r="H105" i="32"/>
  <c r="G105" i="32"/>
  <c r="F105" i="32"/>
  <c r="E105" i="32"/>
  <c r="D105" i="32"/>
  <c r="C105" i="32"/>
  <c r="B105" i="32"/>
  <c r="H104" i="32"/>
  <c r="G104" i="32"/>
  <c r="F104" i="32"/>
  <c r="E104" i="32"/>
  <c r="D104" i="32"/>
  <c r="C104" i="32"/>
  <c r="B104" i="32"/>
  <c r="H103" i="32"/>
  <c r="G103" i="32"/>
  <c r="F103" i="32"/>
  <c r="E103" i="32"/>
  <c r="D103" i="32"/>
  <c r="C103" i="32"/>
  <c r="B103" i="32"/>
  <c r="H102" i="32"/>
  <c r="G102" i="32"/>
  <c r="F102" i="32"/>
  <c r="E102" i="32"/>
  <c r="D102" i="32"/>
  <c r="C102" i="32"/>
  <c r="B102" i="32"/>
  <c r="H101" i="32"/>
  <c r="G101" i="32"/>
  <c r="F101" i="32"/>
  <c r="E101" i="32"/>
  <c r="D101" i="32"/>
  <c r="C101" i="32"/>
  <c r="B101" i="32"/>
  <c r="H96" i="32"/>
  <c r="G96" i="32"/>
  <c r="F96" i="32"/>
  <c r="E96" i="32"/>
  <c r="D96" i="32"/>
  <c r="C96" i="32"/>
  <c r="B96" i="32"/>
  <c r="H95" i="32"/>
  <c r="G95" i="32"/>
  <c r="F95" i="32"/>
  <c r="E95" i="32"/>
  <c r="D95" i="32"/>
  <c r="C95" i="32"/>
  <c r="B95" i="32"/>
  <c r="H94" i="32"/>
  <c r="G94" i="32"/>
  <c r="F94" i="32"/>
  <c r="E94" i="32"/>
  <c r="D94" i="32"/>
  <c r="C94" i="32"/>
  <c r="B94" i="32"/>
  <c r="H93" i="32"/>
  <c r="G93" i="32"/>
  <c r="F93" i="32"/>
  <c r="E93" i="32"/>
  <c r="D93" i="32"/>
  <c r="C93" i="32"/>
  <c r="B93" i="32"/>
  <c r="H92" i="32"/>
  <c r="G92" i="32"/>
  <c r="F92" i="32"/>
  <c r="E92" i="32"/>
  <c r="D92" i="32"/>
  <c r="C92" i="32"/>
  <c r="B92" i="32"/>
  <c r="H91" i="32"/>
  <c r="G91" i="32"/>
  <c r="F91" i="32"/>
  <c r="E91" i="32"/>
  <c r="D91" i="32"/>
  <c r="C91" i="32"/>
  <c r="B91" i="32"/>
  <c r="H90" i="32"/>
  <c r="G90" i="32"/>
  <c r="F90" i="32"/>
  <c r="E90" i="32"/>
  <c r="D90" i="32"/>
  <c r="C90" i="32"/>
  <c r="B90" i="32"/>
  <c r="H85" i="32"/>
  <c r="G85" i="32"/>
  <c r="F85" i="32"/>
  <c r="E85" i="32"/>
  <c r="D85" i="32"/>
  <c r="C85" i="32"/>
  <c r="B85" i="32"/>
  <c r="H84" i="32"/>
  <c r="G84" i="32"/>
  <c r="F84" i="32"/>
  <c r="E84" i="32"/>
  <c r="D84" i="32"/>
  <c r="C84" i="32"/>
  <c r="B84" i="32"/>
  <c r="H83" i="32"/>
  <c r="G83" i="32"/>
  <c r="F83" i="32"/>
  <c r="E83" i="32"/>
  <c r="D83" i="32"/>
  <c r="C83" i="32"/>
  <c r="B83" i="32"/>
  <c r="H82" i="32"/>
  <c r="G82" i="32"/>
  <c r="F82" i="32"/>
  <c r="E82" i="32"/>
  <c r="D82" i="32"/>
  <c r="C82" i="32"/>
  <c r="B82" i="32"/>
  <c r="H81" i="32"/>
  <c r="G81" i="32"/>
  <c r="F81" i="32"/>
  <c r="E81" i="32"/>
  <c r="D81" i="32"/>
  <c r="C81" i="32"/>
  <c r="B81" i="32"/>
  <c r="H80" i="32"/>
  <c r="G80" i="32"/>
  <c r="F80" i="32"/>
  <c r="E80" i="32"/>
  <c r="D80" i="32"/>
  <c r="C80" i="32"/>
  <c r="B80" i="32"/>
  <c r="H79" i="32"/>
  <c r="G79" i="32"/>
  <c r="F79" i="32"/>
  <c r="E79" i="32"/>
  <c r="D79" i="32"/>
  <c r="C79" i="32"/>
  <c r="B79" i="32"/>
  <c r="H78" i="32"/>
  <c r="G78" i="32"/>
  <c r="F78" i="32"/>
  <c r="E78" i="32"/>
  <c r="D78" i="32"/>
  <c r="C78" i="32"/>
  <c r="B78" i="32"/>
  <c r="H73" i="32"/>
  <c r="G73" i="32"/>
  <c r="F73" i="32"/>
  <c r="E73" i="32"/>
  <c r="D73" i="32"/>
  <c r="C73" i="32"/>
  <c r="B73" i="32"/>
  <c r="H72" i="32"/>
  <c r="G72" i="32"/>
  <c r="F72" i="32"/>
  <c r="E72" i="32"/>
  <c r="D72" i="32"/>
  <c r="C72" i="32"/>
  <c r="B72" i="32"/>
  <c r="H71" i="32"/>
  <c r="G71" i="32"/>
  <c r="F71" i="32"/>
  <c r="E71" i="32"/>
  <c r="D71" i="32"/>
  <c r="C71" i="32"/>
  <c r="B71" i="32"/>
  <c r="H70" i="32"/>
  <c r="G70" i="32"/>
  <c r="F70" i="32"/>
  <c r="E70" i="32"/>
  <c r="D70" i="32"/>
  <c r="C70" i="32"/>
  <c r="B70" i="32"/>
  <c r="H69" i="32"/>
  <c r="G69" i="32"/>
  <c r="F69" i="32"/>
  <c r="E69" i="32"/>
  <c r="D69" i="32"/>
  <c r="C69" i="32"/>
  <c r="B69" i="32"/>
  <c r="H68" i="32"/>
  <c r="G68" i="32"/>
  <c r="F68" i="32"/>
  <c r="E68" i="32"/>
  <c r="D68" i="32"/>
  <c r="C68" i="32"/>
  <c r="B68" i="32"/>
  <c r="H67" i="32"/>
  <c r="G67" i="32"/>
  <c r="F67" i="32"/>
  <c r="E67" i="32"/>
  <c r="D67" i="32"/>
  <c r="C67" i="32"/>
  <c r="B67" i="32"/>
  <c r="H66" i="32"/>
  <c r="G66" i="32"/>
  <c r="F66" i="32"/>
  <c r="E66" i="32"/>
  <c r="D66" i="32"/>
  <c r="C66" i="32"/>
  <c r="B66" i="32"/>
  <c r="H61" i="32"/>
  <c r="G61" i="32"/>
  <c r="F61" i="32"/>
  <c r="E61" i="32"/>
  <c r="D61" i="32"/>
  <c r="C61" i="32"/>
  <c r="B61" i="32"/>
  <c r="H60" i="32"/>
  <c r="G60" i="32"/>
  <c r="F60" i="32"/>
  <c r="E60" i="32"/>
  <c r="D60" i="32"/>
  <c r="C60" i="32"/>
  <c r="B60" i="32"/>
  <c r="H59" i="32"/>
  <c r="G59" i="32"/>
  <c r="F59" i="32"/>
  <c r="E59" i="32"/>
  <c r="D59" i="32"/>
  <c r="C59" i="32"/>
  <c r="B59" i="32"/>
  <c r="H58" i="32"/>
  <c r="G58" i="32"/>
  <c r="F58" i="32"/>
  <c r="E58" i="32"/>
  <c r="D58" i="32"/>
  <c r="C58" i="32"/>
  <c r="B58" i="32"/>
  <c r="H57" i="32"/>
  <c r="G57" i="32"/>
  <c r="F57" i="32"/>
  <c r="E57" i="32"/>
  <c r="D57" i="32"/>
  <c r="C57" i="32"/>
  <c r="B57" i="32"/>
  <c r="H56" i="32"/>
  <c r="G56" i="32"/>
  <c r="F56" i="32"/>
  <c r="E56" i="32"/>
  <c r="D56" i="32"/>
  <c r="C56" i="32"/>
  <c r="B56" i="32"/>
  <c r="H55" i="32"/>
  <c r="G55" i="32"/>
  <c r="F55" i="32"/>
  <c r="E55" i="32"/>
  <c r="D55" i="32"/>
  <c r="C55" i="32"/>
  <c r="B55" i="32"/>
  <c r="H54" i="32"/>
  <c r="G54" i="32"/>
  <c r="F54" i="32"/>
  <c r="E54" i="32"/>
  <c r="D54" i="32"/>
  <c r="C54" i="32"/>
  <c r="B54" i="32"/>
  <c r="H49" i="32"/>
  <c r="G49" i="32"/>
  <c r="F49" i="32"/>
  <c r="E49" i="32"/>
  <c r="D49" i="32"/>
  <c r="C49" i="32"/>
  <c r="B49" i="32"/>
  <c r="H48" i="32"/>
  <c r="G48" i="32"/>
  <c r="F48" i="32"/>
  <c r="E48" i="32"/>
  <c r="D48" i="32"/>
  <c r="C48" i="32"/>
  <c r="B48" i="32"/>
  <c r="H47" i="32"/>
  <c r="G47" i="32"/>
  <c r="F47" i="32"/>
  <c r="E47" i="32"/>
  <c r="D47" i="32"/>
  <c r="C47" i="32"/>
  <c r="B47" i="32"/>
  <c r="H46" i="32"/>
  <c r="G46" i="32"/>
  <c r="F46" i="32"/>
  <c r="E46" i="32"/>
  <c r="D46" i="32"/>
  <c r="C46" i="32"/>
  <c r="B46" i="32"/>
  <c r="H45" i="32"/>
  <c r="G45" i="32"/>
  <c r="F45" i="32"/>
  <c r="E45" i="32"/>
  <c r="D45" i="32"/>
  <c r="C45" i="32"/>
  <c r="B45" i="32"/>
  <c r="H44" i="32"/>
  <c r="G44" i="32"/>
  <c r="F44" i="32"/>
  <c r="E44" i="32"/>
  <c r="D44" i="32"/>
  <c r="C44" i="32"/>
  <c r="B44" i="32"/>
  <c r="H43" i="32"/>
  <c r="G43" i="32"/>
  <c r="F43" i="32"/>
  <c r="E43" i="32"/>
  <c r="D43" i="32"/>
  <c r="C43" i="32"/>
  <c r="B43" i="32"/>
  <c r="H42" i="32"/>
  <c r="G42" i="32"/>
  <c r="F42" i="32"/>
  <c r="E42" i="32"/>
  <c r="D42" i="32"/>
  <c r="C42" i="32"/>
  <c r="B42" i="32"/>
  <c r="H37" i="32"/>
  <c r="G37" i="32"/>
  <c r="F37" i="32"/>
  <c r="E37" i="32"/>
  <c r="D37" i="32"/>
  <c r="C37" i="32"/>
  <c r="B37" i="32"/>
  <c r="H36" i="32"/>
  <c r="G36" i="32"/>
  <c r="F36" i="32"/>
  <c r="E36" i="32"/>
  <c r="D36" i="32"/>
  <c r="C36" i="32"/>
  <c r="B36" i="32"/>
  <c r="H35" i="32"/>
  <c r="G35" i="32"/>
  <c r="F35" i="32"/>
  <c r="E35" i="32"/>
  <c r="D35" i="32"/>
  <c r="C35" i="32"/>
  <c r="B35" i="32"/>
  <c r="H34" i="32"/>
  <c r="G34" i="32"/>
  <c r="F34" i="32"/>
  <c r="E34" i="32"/>
  <c r="D34" i="32"/>
  <c r="C34" i="32"/>
  <c r="B34" i="32"/>
  <c r="H33" i="32"/>
  <c r="G33" i="32"/>
  <c r="F33" i="32"/>
  <c r="E33" i="32"/>
  <c r="D33" i="32"/>
  <c r="C33" i="32"/>
  <c r="B33" i="32"/>
  <c r="H32" i="32"/>
  <c r="G32" i="32"/>
  <c r="F32" i="32"/>
  <c r="E32" i="32"/>
  <c r="D32" i="32"/>
  <c r="C32" i="32"/>
  <c r="B32" i="32"/>
  <c r="H31" i="32"/>
  <c r="G31" i="32"/>
  <c r="F31" i="32"/>
  <c r="E31" i="32"/>
  <c r="D31" i="32"/>
  <c r="C31" i="32"/>
  <c r="B31" i="32"/>
  <c r="H30" i="32"/>
  <c r="G30" i="32"/>
  <c r="F30" i="32"/>
  <c r="E30" i="32"/>
  <c r="D30" i="32"/>
  <c r="C30" i="32"/>
  <c r="B30" i="32"/>
  <c r="H25" i="32"/>
  <c r="G25" i="32"/>
  <c r="F25" i="32"/>
  <c r="E25" i="32"/>
  <c r="D25" i="32"/>
  <c r="C25" i="32"/>
  <c r="B25" i="32"/>
  <c r="H24" i="32"/>
  <c r="G24" i="32"/>
  <c r="F24" i="32"/>
  <c r="E24" i="32"/>
  <c r="D24" i="32"/>
  <c r="C24" i="32"/>
  <c r="B24" i="32"/>
  <c r="H23" i="32"/>
  <c r="G23" i="32"/>
  <c r="F23" i="32"/>
  <c r="E23" i="32"/>
  <c r="D23" i="32"/>
  <c r="C23" i="32"/>
  <c r="B23" i="32"/>
  <c r="H22" i="32"/>
  <c r="G22" i="32"/>
  <c r="F22" i="32"/>
  <c r="E22" i="32"/>
  <c r="D22" i="32"/>
  <c r="C22" i="32"/>
  <c r="B22" i="32"/>
  <c r="H21" i="32"/>
  <c r="G21" i="32"/>
  <c r="F21" i="32"/>
  <c r="E21" i="32"/>
  <c r="D21" i="32"/>
  <c r="C21" i="32"/>
  <c r="B21" i="32"/>
  <c r="H20" i="32"/>
  <c r="G20" i="32"/>
  <c r="F20" i="32"/>
  <c r="E20" i="32"/>
  <c r="D20" i="32"/>
  <c r="C20" i="32"/>
  <c r="B20" i="32"/>
  <c r="H19" i="32"/>
  <c r="G19" i="32"/>
  <c r="F19" i="32"/>
  <c r="E19" i="32"/>
  <c r="D19" i="32"/>
  <c r="C19" i="32"/>
  <c r="B19" i="32"/>
  <c r="H18" i="32"/>
  <c r="G18" i="32"/>
  <c r="F18" i="32"/>
  <c r="E18" i="32"/>
  <c r="D18" i="32"/>
  <c r="C18" i="32"/>
  <c r="B18" i="32"/>
  <c r="H13" i="32"/>
  <c r="G13" i="32"/>
  <c r="F13" i="32"/>
  <c r="E13" i="32"/>
  <c r="D13" i="32"/>
  <c r="C13" i="32"/>
  <c r="B13" i="32"/>
  <c r="H12" i="32"/>
  <c r="G12" i="32"/>
  <c r="F12" i="32"/>
  <c r="E12" i="32"/>
  <c r="D12" i="32"/>
  <c r="C12" i="32"/>
  <c r="B12" i="32"/>
  <c r="H11" i="32"/>
  <c r="G11" i="32"/>
  <c r="F11" i="32"/>
  <c r="E11" i="32"/>
  <c r="D11" i="32"/>
  <c r="C11" i="32"/>
  <c r="B11" i="32"/>
  <c r="H10" i="32"/>
  <c r="G10" i="32"/>
  <c r="F10" i="32"/>
  <c r="E10" i="32"/>
  <c r="D10" i="32"/>
  <c r="C10" i="32"/>
  <c r="B10" i="32"/>
  <c r="H9" i="32"/>
  <c r="G9" i="32"/>
  <c r="F9" i="32"/>
  <c r="E9" i="32"/>
  <c r="D9" i="32"/>
  <c r="C9" i="32"/>
  <c r="B9" i="32"/>
  <c r="H8" i="32"/>
  <c r="G8" i="32"/>
  <c r="F8" i="32"/>
  <c r="E8" i="32"/>
  <c r="D8" i="32"/>
  <c r="C8" i="32"/>
  <c r="B8" i="32"/>
  <c r="H7" i="32"/>
  <c r="G7" i="32"/>
  <c r="F7" i="32"/>
  <c r="E7" i="32"/>
  <c r="D7" i="32"/>
  <c r="C7" i="32"/>
  <c r="B7" i="32"/>
  <c r="H6" i="32"/>
  <c r="G6" i="32"/>
  <c r="F6" i="32"/>
  <c r="E6" i="32"/>
  <c r="D6" i="32"/>
  <c r="C6" i="32"/>
  <c r="B6" i="32"/>
  <c r="H133" i="31"/>
  <c r="G133" i="31"/>
  <c r="F133" i="31"/>
  <c r="E133" i="31"/>
  <c r="D133" i="31"/>
  <c r="C133" i="31"/>
  <c r="B133" i="31"/>
  <c r="H132" i="31"/>
  <c r="G132" i="31"/>
  <c r="F132" i="31"/>
  <c r="E132" i="31"/>
  <c r="D132" i="31"/>
  <c r="C132" i="31"/>
  <c r="B132" i="31"/>
  <c r="H131" i="31"/>
  <c r="G131" i="31"/>
  <c r="F131" i="31"/>
  <c r="E131" i="31"/>
  <c r="D131" i="31"/>
  <c r="C131" i="31"/>
  <c r="B131" i="31"/>
  <c r="H130" i="31"/>
  <c r="G130" i="31"/>
  <c r="F130" i="31"/>
  <c r="E130" i="31"/>
  <c r="D130" i="31"/>
  <c r="C130" i="31"/>
  <c r="B130" i="31"/>
  <c r="H129" i="31"/>
  <c r="G129" i="31"/>
  <c r="F129" i="31"/>
  <c r="E129" i="31"/>
  <c r="D129" i="31"/>
  <c r="C129" i="31"/>
  <c r="B129" i="31"/>
  <c r="H128" i="31"/>
  <c r="G128" i="31"/>
  <c r="F128" i="31"/>
  <c r="E128" i="31"/>
  <c r="D128" i="31"/>
  <c r="C128" i="31"/>
  <c r="B128" i="31"/>
  <c r="H124" i="31"/>
  <c r="G124" i="31"/>
  <c r="F124" i="31"/>
  <c r="E124" i="31"/>
  <c r="D124" i="31"/>
  <c r="C124" i="31"/>
  <c r="B124" i="31"/>
  <c r="H123" i="31"/>
  <c r="G123" i="31"/>
  <c r="F123" i="31"/>
  <c r="E123" i="31"/>
  <c r="D123" i="31"/>
  <c r="C123" i="31"/>
  <c r="B123" i="31"/>
  <c r="H122" i="31"/>
  <c r="G122" i="31"/>
  <c r="F122" i="31"/>
  <c r="E122" i="31"/>
  <c r="D122" i="31"/>
  <c r="C122" i="31"/>
  <c r="B122" i="31"/>
  <c r="H121" i="31"/>
  <c r="G121" i="31"/>
  <c r="F121" i="31"/>
  <c r="E121" i="31"/>
  <c r="D121" i="31"/>
  <c r="C121" i="31"/>
  <c r="B121" i="31"/>
  <c r="H120" i="31"/>
  <c r="G120" i="31"/>
  <c r="F120" i="31"/>
  <c r="E120" i="31"/>
  <c r="D120" i="31"/>
  <c r="C120" i="31"/>
  <c r="B120" i="31"/>
  <c r="H119" i="31"/>
  <c r="G119" i="31"/>
  <c r="F119" i="31"/>
  <c r="E119" i="31"/>
  <c r="D119" i="31"/>
  <c r="C119" i="31"/>
  <c r="B119" i="31"/>
  <c r="H115" i="31"/>
  <c r="G115" i="31"/>
  <c r="F115" i="31"/>
  <c r="E115" i="31"/>
  <c r="D115" i="31"/>
  <c r="C115" i="31"/>
  <c r="B115" i="31"/>
  <c r="H114" i="31"/>
  <c r="G114" i="31"/>
  <c r="F114" i="31"/>
  <c r="E114" i="31"/>
  <c r="D114" i="31"/>
  <c r="C114" i="31"/>
  <c r="B114" i="31"/>
  <c r="H113" i="31"/>
  <c r="G113" i="31"/>
  <c r="F113" i="31"/>
  <c r="E113" i="31"/>
  <c r="D113" i="31"/>
  <c r="C113" i="31"/>
  <c r="B113" i="31"/>
  <c r="H112" i="31"/>
  <c r="G112" i="31"/>
  <c r="F112" i="31"/>
  <c r="E112" i="31"/>
  <c r="D112" i="31"/>
  <c r="C112" i="31"/>
  <c r="B112" i="31"/>
  <c r="H111" i="31"/>
  <c r="G111" i="31"/>
  <c r="F111" i="31"/>
  <c r="E111" i="31"/>
  <c r="D111" i="31"/>
  <c r="C111" i="31"/>
  <c r="B111" i="31"/>
  <c r="H110" i="31"/>
  <c r="G110" i="31"/>
  <c r="F110" i="31"/>
  <c r="E110" i="31"/>
  <c r="D110" i="31"/>
  <c r="C110" i="31"/>
  <c r="B110" i="31"/>
  <c r="H106" i="31"/>
  <c r="G106" i="31"/>
  <c r="F106" i="31"/>
  <c r="E106" i="31"/>
  <c r="D106" i="31"/>
  <c r="C106" i="31"/>
  <c r="B106" i="31"/>
  <c r="H105" i="31"/>
  <c r="G105" i="31"/>
  <c r="F105" i="31"/>
  <c r="E105" i="31"/>
  <c r="D105" i="31"/>
  <c r="C105" i="31"/>
  <c r="B105" i="31"/>
  <c r="H104" i="31"/>
  <c r="G104" i="31"/>
  <c r="F104" i="31"/>
  <c r="E104" i="31"/>
  <c r="D104" i="31"/>
  <c r="C104" i="31"/>
  <c r="B104" i="31"/>
  <c r="H103" i="31"/>
  <c r="G103" i="31"/>
  <c r="F103" i="31"/>
  <c r="E103" i="31"/>
  <c r="D103" i="31"/>
  <c r="C103" i="31"/>
  <c r="B103" i="31"/>
  <c r="H102" i="31"/>
  <c r="G102" i="31"/>
  <c r="F102" i="31"/>
  <c r="E102" i="31"/>
  <c r="D102" i="31"/>
  <c r="C102" i="31"/>
  <c r="B102" i="31"/>
  <c r="H101" i="31"/>
  <c r="G101" i="31"/>
  <c r="F101" i="31"/>
  <c r="E101" i="31"/>
  <c r="D101" i="31"/>
  <c r="C101" i="31"/>
  <c r="B101" i="31"/>
  <c r="H95" i="31"/>
  <c r="G95" i="31"/>
  <c r="F95" i="31"/>
  <c r="E95" i="31"/>
  <c r="D95" i="31"/>
  <c r="C95" i="31"/>
  <c r="B95" i="31"/>
  <c r="H94" i="31"/>
  <c r="G94" i="31"/>
  <c r="F94" i="31"/>
  <c r="E94" i="31"/>
  <c r="D94" i="31"/>
  <c r="C94" i="31"/>
  <c r="B94" i="31"/>
  <c r="H93" i="31"/>
  <c r="G93" i="31"/>
  <c r="F93" i="31"/>
  <c r="E93" i="31"/>
  <c r="D93" i="31"/>
  <c r="C93" i="31"/>
  <c r="B93" i="31"/>
  <c r="H92" i="31"/>
  <c r="G92" i="31"/>
  <c r="F92" i="31"/>
  <c r="E92" i="31"/>
  <c r="D92" i="31"/>
  <c r="C92" i="31"/>
  <c r="B92" i="31"/>
  <c r="H91" i="31"/>
  <c r="G91" i="31"/>
  <c r="F91" i="31"/>
  <c r="E91" i="31"/>
  <c r="D91" i="31"/>
  <c r="C91" i="31"/>
  <c r="B91" i="31"/>
  <c r="H90" i="31"/>
  <c r="G90" i="31"/>
  <c r="F90" i="31"/>
  <c r="E90" i="31"/>
  <c r="D90" i="31"/>
  <c r="C90" i="31"/>
  <c r="B90" i="31"/>
  <c r="H84" i="31"/>
  <c r="G84" i="31"/>
  <c r="F84" i="31"/>
  <c r="E84" i="31"/>
  <c r="D84" i="31"/>
  <c r="C84" i="31"/>
  <c r="B84" i="31"/>
  <c r="H83" i="31"/>
  <c r="G83" i="31"/>
  <c r="F83" i="31"/>
  <c r="E83" i="31"/>
  <c r="D83" i="31"/>
  <c r="C83" i="31"/>
  <c r="B83" i="31"/>
  <c r="H82" i="31"/>
  <c r="G82" i="31"/>
  <c r="F82" i="31"/>
  <c r="E82" i="31"/>
  <c r="D82" i="31"/>
  <c r="C82" i="31"/>
  <c r="B82" i="31"/>
  <c r="H81" i="31"/>
  <c r="G81" i="31"/>
  <c r="F81" i="31"/>
  <c r="E81" i="31"/>
  <c r="D81" i="31"/>
  <c r="C81" i="31"/>
  <c r="B81" i="31"/>
  <c r="H80" i="31"/>
  <c r="G80" i="31"/>
  <c r="F80" i="31"/>
  <c r="E80" i="31"/>
  <c r="D80" i="31"/>
  <c r="C80" i="31"/>
  <c r="B80" i="31"/>
  <c r="H79" i="31"/>
  <c r="G79" i="31"/>
  <c r="F79" i="31"/>
  <c r="E79" i="31"/>
  <c r="D79" i="31"/>
  <c r="C79" i="31"/>
  <c r="B79" i="31"/>
  <c r="H78" i="31"/>
  <c r="G78" i="31"/>
  <c r="F78" i="31"/>
  <c r="E78" i="31"/>
  <c r="D78" i="31"/>
  <c r="C78" i="31"/>
  <c r="B78" i="31"/>
  <c r="H72" i="31"/>
  <c r="G72" i="31"/>
  <c r="F72" i="31"/>
  <c r="E72" i="31"/>
  <c r="D72" i="31"/>
  <c r="C72" i="31"/>
  <c r="B72" i="31"/>
  <c r="H71" i="31"/>
  <c r="G71" i="31"/>
  <c r="F71" i="31"/>
  <c r="E71" i="31"/>
  <c r="D71" i="31"/>
  <c r="C71" i="31"/>
  <c r="B71" i="31"/>
  <c r="H70" i="31"/>
  <c r="G70" i="31"/>
  <c r="F70" i="31"/>
  <c r="E70" i="31"/>
  <c r="D70" i="31"/>
  <c r="C70" i="31"/>
  <c r="B70" i="31"/>
  <c r="H69" i="31"/>
  <c r="G69" i="31"/>
  <c r="F69" i="31"/>
  <c r="E69" i="31"/>
  <c r="D69" i="31"/>
  <c r="C69" i="31"/>
  <c r="B69" i="31"/>
  <c r="H68" i="31"/>
  <c r="G68" i="31"/>
  <c r="F68" i="31"/>
  <c r="E68" i="31"/>
  <c r="D68" i="31"/>
  <c r="C68" i="31"/>
  <c r="B68" i="31"/>
  <c r="H67" i="31"/>
  <c r="G67" i="31"/>
  <c r="F67" i="31"/>
  <c r="E67" i="31"/>
  <c r="D67" i="31"/>
  <c r="C67" i="31"/>
  <c r="B67" i="31"/>
  <c r="H66" i="31"/>
  <c r="G66" i="31"/>
  <c r="F66" i="31"/>
  <c r="E66" i="31"/>
  <c r="D66" i="31"/>
  <c r="C66" i="31"/>
  <c r="B66" i="31"/>
  <c r="H60" i="31"/>
  <c r="G60" i="31"/>
  <c r="F60" i="31"/>
  <c r="E60" i="31"/>
  <c r="D60" i="31"/>
  <c r="C60" i="31"/>
  <c r="B60" i="31"/>
  <c r="H59" i="31"/>
  <c r="G59" i="31"/>
  <c r="F59" i="31"/>
  <c r="E59" i="31"/>
  <c r="D59" i="31"/>
  <c r="C59" i="31"/>
  <c r="B59" i="31"/>
  <c r="H58" i="31"/>
  <c r="G58" i="31"/>
  <c r="F58" i="31"/>
  <c r="E58" i="31"/>
  <c r="D58" i="31"/>
  <c r="C58" i="31"/>
  <c r="B58" i="31"/>
  <c r="H57" i="31"/>
  <c r="G57" i="31"/>
  <c r="F57" i="31"/>
  <c r="E57" i="31"/>
  <c r="D57" i="31"/>
  <c r="C57" i="31"/>
  <c r="B57" i="31"/>
  <c r="H56" i="31"/>
  <c r="G56" i="31"/>
  <c r="F56" i="31"/>
  <c r="E56" i="31"/>
  <c r="D56" i="31"/>
  <c r="C56" i="31"/>
  <c r="B56" i="31"/>
  <c r="H55" i="31"/>
  <c r="G55" i="31"/>
  <c r="F55" i="31"/>
  <c r="E55" i="31"/>
  <c r="D55" i="31"/>
  <c r="C55" i="31"/>
  <c r="B55" i="31"/>
  <c r="H54" i="31"/>
  <c r="G54" i="31"/>
  <c r="F54" i="31"/>
  <c r="E54" i="31"/>
  <c r="D54" i="31"/>
  <c r="C54" i="31"/>
  <c r="B54" i="31"/>
  <c r="H48" i="31"/>
  <c r="G48" i="31"/>
  <c r="F48" i="31"/>
  <c r="E48" i="31"/>
  <c r="D48" i="31"/>
  <c r="C48" i="31"/>
  <c r="B48" i="31"/>
  <c r="H47" i="31"/>
  <c r="G47" i="31"/>
  <c r="F47" i="31"/>
  <c r="E47" i="31"/>
  <c r="D47" i="31"/>
  <c r="C47" i="31"/>
  <c r="B47" i="31"/>
  <c r="H46" i="31"/>
  <c r="G46" i="31"/>
  <c r="F46" i="31"/>
  <c r="E46" i="31"/>
  <c r="D46" i="31"/>
  <c r="C46" i="31"/>
  <c r="B46" i="31"/>
  <c r="H45" i="31"/>
  <c r="G45" i="31"/>
  <c r="F45" i="31"/>
  <c r="E45" i="31"/>
  <c r="D45" i="31"/>
  <c r="C45" i="31"/>
  <c r="B45" i="31"/>
  <c r="H44" i="31"/>
  <c r="G44" i="31"/>
  <c r="F44" i="31"/>
  <c r="E44" i="31"/>
  <c r="D44" i="31"/>
  <c r="C44" i="31"/>
  <c r="B44" i="31"/>
  <c r="H43" i="31"/>
  <c r="G43" i="31"/>
  <c r="F43" i="31"/>
  <c r="E43" i="31"/>
  <c r="D43" i="31"/>
  <c r="C43" i="31"/>
  <c r="B43" i="31"/>
  <c r="H42" i="31"/>
  <c r="G42" i="31"/>
  <c r="F42" i="31"/>
  <c r="E42" i="31"/>
  <c r="D42" i="31"/>
  <c r="C42" i="31"/>
  <c r="B42" i="31"/>
  <c r="H36" i="31"/>
  <c r="G36" i="31"/>
  <c r="F36" i="31"/>
  <c r="E36" i="31"/>
  <c r="D36" i="31"/>
  <c r="C36" i="31"/>
  <c r="B36" i="31"/>
  <c r="H35" i="31"/>
  <c r="G35" i="31"/>
  <c r="F35" i="31"/>
  <c r="E35" i="31"/>
  <c r="D35" i="31"/>
  <c r="C35" i="31"/>
  <c r="B35" i="31"/>
  <c r="H34" i="31"/>
  <c r="G34" i="31"/>
  <c r="F34" i="31"/>
  <c r="E34" i="31"/>
  <c r="D34" i="31"/>
  <c r="C34" i="31"/>
  <c r="B34" i="31"/>
  <c r="H33" i="31"/>
  <c r="G33" i="31"/>
  <c r="F33" i="31"/>
  <c r="E33" i="31"/>
  <c r="D33" i="31"/>
  <c r="C33" i="31"/>
  <c r="B33" i="31"/>
  <c r="H32" i="31"/>
  <c r="G32" i="31"/>
  <c r="F32" i="31"/>
  <c r="E32" i="31"/>
  <c r="D32" i="31"/>
  <c r="C32" i="31"/>
  <c r="B32" i="31"/>
  <c r="H31" i="31"/>
  <c r="G31" i="31"/>
  <c r="F31" i="31"/>
  <c r="E31" i="31"/>
  <c r="D31" i="31"/>
  <c r="C31" i="31"/>
  <c r="B31" i="31"/>
  <c r="H30" i="31"/>
  <c r="G30" i="31"/>
  <c r="F30" i="31"/>
  <c r="E30" i="31"/>
  <c r="D30" i="31"/>
  <c r="C30" i="31"/>
  <c r="B30" i="31"/>
  <c r="H24" i="31"/>
  <c r="G24" i="31"/>
  <c r="F24" i="31"/>
  <c r="E24" i="31"/>
  <c r="D24" i="31"/>
  <c r="C24" i="31"/>
  <c r="B24" i="31"/>
  <c r="H23" i="31"/>
  <c r="G23" i="31"/>
  <c r="F23" i="31"/>
  <c r="E23" i="31"/>
  <c r="D23" i="31"/>
  <c r="C23" i="31"/>
  <c r="B23" i="31"/>
  <c r="H22" i="31"/>
  <c r="G22" i="31"/>
  <c r="F22" i="31"/>
  <c r="E22" i="31"/>
  <c r="D22" i="31"/>
  <c r="C22" i="31"/>
  <c r="B22" i="31"/>
  <c r="H21" i="31"/>
  <c r="G21" i="31"/>
  <c r="F21" i="31"/>
  <c r="E21" i="31"/>
  <c r="D21" i="31"/>
  <c r="C21" i="31"/>
  <c r="B21" i="31"/>
  <c r="H20" i="31"/>
  <c r="G20" i="31"/>
  <c r="F20" i="31"/>
  <c r="E20" i="31"/>
  <c r="D20" i="31"/>
  <c r="C20" i="31"/>
  <c r="B20" i="31"/>
  <c r="H19" i="31"/>
  <c r="G19" i="31"/>
  <c r="F19" i="31"/>
  <c r="E19" i="31"/>
  <c r="D19" i="31"/>
  <c r="C19" i="31"/>
  <c r="B19" i="31"/>
  <c r="H18" i="31"/>
  <c r="G18" i="31"/>
  <c r="F18" i="31"/>
  <c r="E18" i="31"/>
  <c r="D18" i="31"/>
  <c r="C18" i="31"/>
  <c r="B18" i="31"/>
  <c r="H12" i="31"/>
  <c r="G12" i="31"/>
  <c r="F12" i="31"/>
  <c r="E12" i="31"/>
  <c r="D12" i="31"/>
  <c r="C12" i="31"/>
  <c r="B12" i="31"/>
  <c r="H11" i="31"/>
  <c r="G11" i="31"/>
  <c r="F11" i="31"/>
  <c r="E11" i="31"/>
  <c r="D11" i="31"/>
  <c r="C11" i="31"/>
  <c r="B11" i="31"/>
  <c r="H10" i="31"/>
  <c r="G10" i="31"/>
  <c r="F10" i="31"/>
  <c r="E10" i="31"/>
  <c r="D10" i="31"/>
  <c r="C10" i="31"/>
  <c r="B10" i="31"/>
  <c r="H9" i="31"/>
  <c r="G9" i="31"/>
  <c r="F9" i="31"/>
  <c r="E9" i="31"/>
  <c r="D9" i="31"/>
  <c r="C9" i="31"/>
  <c r="B9" i="31"/>
  <c r="H8" i="31"/>
  <c r="G8" i="31"/>
  <c r="F8" i="31"/>
  <c r="E8" i="31"/>
  <c r="D8" i="31"/>
  <c r="C8" i="31"/>
  <c r="B8" i="31"/>
  <c r="H7" i="31"/>
  <c r="G7" i="31"/>
  <c r="F7" i="31"/>
  <c r="E7" i="31"/>
  <c r="D7" i="31"/>
  <c r="C7" i="31"/>
  <c r="B7" i="31"/>
  <c r="H6" i="31"/>
  <c r="G6" i="31"/>
  <c r="F6" i="31"/>
  <c r="E6" i="31"/>
  <c r="D6" i="31"/>
  <c r="C6" i="31"/>
  <c r="B6" i="31"/>
  <c r="H224" i="28"/>
  <c r="G224" i="28"/>
  <c r="F224" i="28"/>
  <c r="E224" i="28"/>
  <c r="D224" i="28"/>
  <c r="C224" i="28"/>
  <c r="B224" i="28"/>
  <c r="H223" i="28"/>
  <c r="G223" i="28"/>
  <c r="F223" i="28"/>
  <c r="E223" i="28"/>
  <c r="D223" i="28"/>
  <c r="C223" i="28"/>
  <c r="B223" i="28"/>
  <c r="H222" i="28"/>
  <c r="G222" i="28"/>
  <c r="F222" i="28"/>
  <c r="E222" i="28"/>
  <c r="D222" i="28"/>
  <c r="C222" i="28"/>
  <c r="B222" i="28"/>
  <c r="H221" i="28"/>
  <c r="G221" i="28"/>
  <c r="F221" i="28"/>
  <c r="E221" i="28"/>
  <c r="D221" i="28"/>
  <c r="C221" i="28"/>
  <c r="B221" i="28"/>
  <c r="H220" i="28"/>
  <c r="G220" i="28"/>
  <c r="F220" i="28"/>
  <c r="E220" i="28"/>
  <c r="D220" i="28"/>
  <c r="C220" i="28"/>
  <c r="B220" i="28"/>
  <c r="H219" i="28"/>
  <c r="G219" i="28"/>
  <c r="F219" i="28"/>
  <c r="E219" i="28"/>
  <c r="D219" i="28"/>
  <c r="C219" i="28"/>
  <c r="B219" i="28"/>
  <c r="H218" i="28"/>
  <c r="G218" i="28"/>
  <c r="F218" i="28"/>
  <c r="E218" i="28"/>
  <c r="D218" i="28"/>
  <c r="C218" i="28"/>
  <c r="B218" i="28"/>
  <c r="H217" i="28"/>
  <c r="G217" i="28"/>
  <c r="F217" i="28"/>
  <c r="E217" i="28"/>
  <c r="D217" i="28"/>
  <c r="C217" i="28"/>
  <c r="B217" i="28"/>
  <c r="H216" i="28"/>
  <c r="G216" i="28"/>
  <c r="F216" i="28"/>
  <c r="E216" i="28"/>
  <c r="D216" i="28"/>
  <c r="C216" i="28"/>
  <c r="B216" i="28"/>
  <c r="H215" i="28"/>
  <c r="G215" i="28"/>
  <c r="F215" i="28"/>
  <c r="E215" i="28"/>
  <c r="D215" i="28"/>
  <c r="C215" i="28"/>
  <c r="B215" i="28"/>
  <c r="H214" i="28"/>
  <c r="G214" i="28"/>
  <c r="F214" i="28"/>
  <c r="E214" i="28"/>
  <c r="D214" i="28"/>
  <c r="C214" i="28"/>
  <c r="B214" i="28"/>
  <c r="H213" i="28"/>
  <c r="G213" i="28"/>
  <c r="F213" i="28"/>
  <c r="E213" i="28"/>
  <c r="D213" i="28"/>
  <c r="C213" i="28"/>
  <c r="B213" i="28"/>
  <c r="H212" i="28"/>
  <c r="G212" i="28"/>
  <c r="F212" i="28"/>
  <c r="E212" i="28"/>
  <c r="D212" i="28"/>
  <c r="C212" i="28"/>
  <c r="B212" i="28"/>
  <c r="H208" i="28"/>
  <c r="G208" i="28"/>
  <c r="F208" i="28"/>
  <c r="E208" i="28"/>
  <c r="D208" i="28"/>
  <c r="C208" i="28"/>
  <c r="B208" i="28"/>
  <c r="H207" i="28"/>
  <c r="G207" i="28"/>
  <c r="F207" i="28"/>
  <c r="E207" i="28"/>
  <c r="D207" i="28"/>
  <c r="C207" i="28"/>
  <c r="B207" i="28"/>
  <c r="H206" i="28"/>
  <c r="G206" i="28"/>
  <c r="F206" i="28"/>
  <c r="E206" i="28"/>
  <c r="D206" i="28"/>
  <c r="C206" i="28"/>
  <c r="B206" i="28"/>
  <c r="H205" i="28"/>
  <c r="G205" i="28"/>
  <c r="F205" i="28"/>
  <c r="E205" i="28"/>
  <c r="D205" i="28"/>
  <c r="C205" i="28"/>
  <c r="B205" i="28"/>
  <c r="H204" i="28"/>
  <c r="G204" i="28"/>
  <c r="F204" i="28"/>
  <c r="E204" i="28"/>
  <c r="D204" i="28"/>
  <c r="C204" i="28"/>
  <c r="B204" i="28"/>
  <c r="H203" i="28"/>
  <c r="G203" i="28"/>
  <c r="F203" i="28"/>
  <c r="E203" i="28"/>
  <c r="D203" i="28"/>
  <c r="C203" i="28"/>
  <c r="B203" i="28"/>
  <c r="H202" i="28"/>
  <c r="G202" i="28"/>
  <c r="F202" i="28"/>
  <c r="E202" i="28"/>
  <c r="D202" i="28"/>
  <c r="C202" i="28"/>
  <c r="B202" i="28"/>
  <c r="H201" i="28"/>
  <c r="G201" i="28"/>
  <c r="F201" i="28"/>
  <c r="E201" i="28"/>
  <c r="D201" i="28"/>
  <c r="C201" i="28"/>
  <c r="B201" i="28"/>
  <c r="H200" i="28"/>
  <c r="G200" i="28"/>
  <c r="F200" i="28"/>
  <c r="E200" i="28"/>
  <c r="D200" i="28"/>
  <c r="C200" i="28"/>
  <c r="B200" i="28"/>
  <c r="H199" i="28"/>
  <c r="G199" i="28"/>
  <c r="F199" i="28"/>
  <c r="E199" i="28"/>
  <c r="D199" i="28"/>
  <c r="C199" i="28"/>
  <c r="B199" i="28"/>
  <c r="H198" i="28"/>
  <c r="G198" i="28"/>
  <c r="F198" i="28"/>
  <c r="E198" i="28"/>
  <c r="D198" i="28"/>
  <c r="C198" i="28"/>
  <c r="B198" i="28"/>
  <c r="H197" i="28"/>
  <c r="G197" i="28"/>
  <c r="F197" i="28"/>
  <c r="E197" i="28"/>
  <c r="D197" i="28"/>
  <c r="C197" i="28"/>
  <c r="B197" i="28"/>
  <c r="H196" i="28"/>
  <c r="G196" i="28"/>
  <c r="F196" i="28"/>
  <c r="E196" i="28"/>
  <c r="D196" i="28"/>
  <c r="C196" i="28"/>
  <c r="B196" i="28"/>
  <c r="H192" i="28"/>
  <c r="G192" i="28"/>
  <c r="F192" i="28"/>
  <c r="E192" i="28"/>
  <c r="D192" i="28"/>
  <c r="C192" i="28"/>
  <c r="B192" i="28"/>
  <c r="H191" i="28"/>
  <c r="G191" i="28"/>
  <c r="F191" i="28"/>
  <c r="E191" i="28"/>
  <c r="D191" i="28"/>
  <c r="C191" i="28"/>
  <c r="B191" i="28"/>
  <c r="H190" i="28"/>
  <c r="G190" i="28"/>
  <c r="F190" i="28"/>
  <c r="E190" i="28"/>
  <c r="D190" i="28"/>
  <c r="C190" i="28"/>
  <c r="B190" i="28"/>
  <c r="H189" i="28"/>
  <c r="G189" i="28"/>
  <c r="F189" i="28"/>
  <c r="E189" i="28"/>
  <c r="D189" i="28"/>
  <c r="C189" i="28"/>
  <c r="B189" i="28"/>
  <c r="H188" i="28"/>
  <c r="G188" i="28"/>
  <c r="F188" i="28"/>
  <c r="E188" i="28"/>
  <c r="D188" i="28"/>
  <c r="C188" i="28"/>
  <c r="B188" i="28"/>
  <c r="H187" i="28"/>
  <c r="G187" i="28"/>
  <c r="F187" i="28"/>
  <c r="E187" i="28"/>
  <c r="D187" i="28"/>
  <c r="C187" i="28"/>
  <c r="B187" i="28"/>
  <c r="H186" i="28"/>
  <c r="G186" i="28"/>
  <c r="F186" i="28"/>
  <c r="E186" i="28"/>
  <c r="D186" i="28"/>
  <c r="C186" i="28"/>
  <c r="B186" i="28"/>
  <c r="H185" i="28"/>
  <c r="G185" i="28"/>
  <c r="F185" i="28"/>
  <c r="E185" i="28"/>
  <c r="D185" i="28"/>
  <c r="C185" i="28"/>
  <c r="B185" i="28"/>
  <c r="H184" i="28"/>
  <c r="G184" i="28"/>
  <c r="F184" i="28"/>
  <c r="E184" i="28"/>
  <c r="D184" i="28"/>
  <c r="C184" i="28"/>
  <c r="B184" i="28"/>
  <c r="H183" i="28"/>
  <c r="G183" i="28"/>
  <c r="F183" i="28"/>
  <c r="E183" i="28"/>
  <c r="D183" i="28"/>
  <c r="C183" i="28"/>
  <c r="B183" i="28"/>
  <c r="H182" i="28"/>
  <c r="G182" i="28"/>
  <c r="F182" i="28"/>
  <c r="E182" i="28"/>
  <c r="D182" i="28"/>
  <c r="C182" i="28"/>
  <c r="B182" i="28"/>
  <c r="H181" i="28"/>
  <c r="G181" i="28"/>
  <c r="F181" i="28"/>
  <c r="E181" i="28"/>
  <c r="D181" i="28"/>
  <c r="C181" i="28"/>
  <c r="B181" i="28"/>
  <c r="H180" i="28"/>
  <c r="G180" i="28"/>
  <c r="F180" i="28"/>
  <c r="E180" i="28"/>
  <c r="D180" i="28"/>
  <c r="C180" i="28"/>
  <c r="B180" i="28"/>
  <c r="H176" i="28"/>
  <c r="G176" i="28"/>
  <c r="F176" i="28"/>
  <c r="E176" i="28"/>
  <c r="D176" i="28"/>
  <c r="C176" i="28"/>
  <c r="B176" i="28"/>
  <c r="H175" i="28"/>
  <c r="G175" i="28"/>
  <c r="F175" i="28"/>
  <c r="E175" i="28"/>
  <c r="D175" i="28"/>
  <c r="C175" i="28"/>
  <c r="B175" i="28"/>
  <c r="H174" i="28"/>
  <c r="G174" i="28"/>
  <c r="F174" i="28"/>
  <c r="E174" i="28"/>
  <c r="D174" i="28"/>
  <c r="C174" i="28"/>
  <c r="B174" i="28"/>
  <c r="H173" i="28"/>
  <c r="G173" i="28"/>
  <c r="F173" i="28"/>
  <c r="E173" i="28"/>
  <c r="D173" i="28"/>
  <c r="C173" i="28"/>
  <c r="B173" i="28"/>
  <c r="H172" i="28"/>
  <c r="G172" i="28"/>
  <c r="F172" i="28"/>
  <c r="E172" i="28"/>
  <c r="D172" i="28"/>
  <c r="C172" i="28"/>
  <c r="B172" i="28"/>
  <c r="H171" i="28"/>
  <c r="G171" i="28"/>
  <c r="F171" i="28"/>
  <c r="E171" i="28"/>
  <c r="D171" i="28"/>
  <c r="C171" i="28"/>
  <c r="B171" i="28"/>
  <c r="H170" i="28"/>
  <c r="G170" i="28"/>
  <c r="F170" i="28"/>
  <c r="E170" i="28"/>
  <c r="D170" i="28"/>
  <c r="C170" i="28"/>
  <c r="B170" i="28"/>
  <c r="H169" i="28"/>
  <c r="G169" i="28"/>
  <c r="F169" i="28"/>
  <c r="E169" i="28"/>
  <c r="D169" i="28"/>
  <c r="C169" i="28"/>
  <c r="B169" i="28"/>
  <c r="H168" i="28"/>
  <c r="G168" i="28"/>
  <c r="F168" i="28"/>
  <c r="E168" i="28"/>
  <c r="D168" i="28"/>
  <c r="C168" i="28"/>
  <c r="B168" i="28"/>
  <c r="H167" i="28"/>
  <c r="G167" i="28"/>
  <c r="F167" i="28"/>
  <c r="E167" i="28"/>
  <c r="D167" i="28"/>
  <c r="C167" i="28"/>
  <c r="B167" i="28"/>
  <c r="H166" i="28"/>
  <c r="G166" i="28"/>
  <c r="F166" i="28"/>
  <c r="E166" i="28"/>
  <c r="D166" i="28"/>
  <c r="C166" i="28"/>
  <c r="B166" i="28"/>
  <c r="H165" i="28"/>
  <c r="G165" i="28"/>
  <c r="F165" i="28"/>
  <c r="E165" i="28"/>
  <c r="D165" i="28"/>
  <c r="C165" i="28"/>
  <c r="B165" i="28"/>
  <c r="H164" i="28"/>
  <c r="G164" i="28"/>
  <c r="F164" i="28"/>
  <c r="E164" i="28"/>
  <c r="D164" i="28"/>
  <c r="C164" i="28"/>
  <c r="B164" i="28"/>
  <c r="H158" i="28"/>
  <c r="G158" i="28"/>
  <c r="F158" i="28"/>
  <c r="E158" i="28"/>
  <c r="D158" i="28"/>
  <c r="C158" i="28"/>
  <c r="B158" i="28"/>
  <c r="H157" i="28"/>
  <c r="G157" i="28"/>
  <c r="F157" i="28"/>
  <c r="E157" i="28"/>
  <c r="D157" i="28"/>
  <c r="C157" i="28"/>
  <c r="B157" i="28"/>
  <c r="H156" i="28"/>
  <c r="G156" i="28"/>
  <c r="F156" i="28"/>
  <c r="E156" i="28"/>
  <c r="D156" i="28"/>
  <c r="C156" i="28"/>
  <c r="B156" i="28"/>
  <c r="H155" i="28"/>
  <c r="G155" i="28"/>
  <c r="F155" i="28"/>
  <c r="E155" i="28"/>
  <c r="D155" i="28"/>
  <c r="C155" i="28"/>
  <c r="B155" i="28"/>
  <c r="H154" i="28"/>
  <c r="G154" i="28"/>
  <c r="F154" i="28"/>
  <c r="E154" i="28"/>
  <c r="D154" i="28"/>
  <c r="C154" i="28"/>
  <c r="B154" i="28"/>
  <c r="H153" i="28"/>
  <c r="G153" i="28"/>
  <c r="F153" i="28"/>
  <c r="E153" i="28"/>
  <c r="D153" i="28"/>
  <c r="C153" i="28"/>
  <c r="B153" i="28"/>
  <c r="H152" i="28"/>
  <c r="G152" i="28"/>
  <c r="F152" i="28"/>
  <c r="E152" i="28"/>
  <c r="D152" i="28"/>
  <c r="C152" i="28"/>
  <c r="B152" i="28"/>
  <c r="H151" i="28"/>
  <c r="G151" i="28"/>
  <c r="F151" i="28"/>
  <c r="E151" i="28"/>
  <c r="D151" i="28"/>
  <c r="C151" i="28"/>
  <c r="B151" i="28"/>
  <c r="H150" i="28"/>
  <c r="G150" i="28"/>
  <c r="F150" i="28"/>
  <c r="E150" i="28"/>
  <c r="D150" i="28"/>
  <c r="C150" i="28"/>
  <c r="B150" i="28"/>
  <c r="H149" i="28"/>
  <c r="G149" i="28"/>
  <c r="F149" i="28"/>
  <c r="E149" i="28"/>
  <c r="D149" i="28"/>
  <c r="C149" i="28"/>
  <c r="B149" i="28"/>
  <c r="H148" i="28"/>
  <c r="G148" i="28"/>
  <c r="F148" i="28"/>
  <c r="E148" i="28"/>
  <c r="D148" i="28"/>
  <c r="C148" i="28"/>
  <c r="B148" i="28"/>
  <c r="H147" i="28"/>
  <c r="G147" i="28"/>
  <c r="F147" i="28"/>
  <c r="E147" i="28"/>
  <c r="D147" i="28"/>
  <c r="C147" i="28"/>
  <c r="B147" i="28"/>
  <c r="H146" i="28"/>
  <c r="G146" i="28"/>
  <c r="F146" i="28"/>
  <c r="E146" i="28"/>
  <c r="D146" i="28"/>
  <c r="C146" i="28"/>
  <c r="B146" i="28"/>
  <c r="H140" i="28"/>
  <c r="G140" i="28"/>
  <c r="F140" i="28"/>
  <c r="E140" i="28"/>
  <c r="D140" i="28"/>
  <c r="C140" i="28"/>
  <c r="B140" i="28"/>
  <c r="H139" i="28"/>
  <c r="G139" i="28"/>
  <c r="F139" i="28"/>
  <c r="E139" i="28"/>
  <c r="D139" i="28"/>
  <c r="C139" i="28"/>
  <c r="B139" i="28"/>
  <c r="H138" i="28"/>
  <c r="G138" i="28"/>
  <c r="F138" i="28"/>
  <c r="E138" i="28"/>
  <c r="D138" i="28"/>
  <c r="C138" i="28"/>
  <c r="B138" i="28"/>
  <c r="H137" i="28"/>
  <c r="G137" i="28"/>
  <c r="F137" i="28"/>
  <c r="E137" i="28"/>
  <c r="D137" i="28"/>
  <c r="C137" i="28"/>
  <c r="B137" i="28"/>
  <c r="H136" i="28"/>
  <c r="G136" i="28"/>
  <c r="F136" i="28"/>
  <c r="E136" i="28"/>
  <c r="D136" i="28"/>
  <c r="C136" i="28"/>
  <c r="B136" i="28"/>
  <c r="H135" i="28"/>
  <c r="G135" i="28"/>
  <c r="F135" i="28"/>
  <c r="E135" i="28"/>
  <c r="D135" i="28"/>
  <c r="C135" i="28"/>
  <c r="B135" i="28"/>
  <c r="H134" i="28"/>
  <c r="G134" i="28"/>
  <c r="F134" i="28"/>
  <c r="E134" i="28"/>
  <c r="D134" i="28"/>
  <c r="C134" i="28"/>
  <c r="B134" i="28"/>
  <c r="H133" i="28"/>
  <c r="G133" i="28"/>
  <c r="F133" i="28"/>
  <c r="E133" i="28"/>
  <c r="D133" i="28"/>
  <c r="C133" i="28"/>
  <c r="B133" i="28"/>
  <c r="H132" i="28"/>
  <c r="G132" i="28"/>
  <c r="F132" i="28"/>
  <c r="E132" i="28"/>
  <c r="D132" i="28"/>
  <c r="C132" i="28"/>
  <c r="B132" i="28"/>
  <c r="H131" i="28"/>
  <c r="G131" i="28"/>
  <c r="F131" i="28"/>
  <c r="E131" i="28"/>
  <c r="D131" i="28"/>
  <c r="C131" i="28"/>
  <c r="B131" i="28"/>
  <c r="H130" i="28"/>
  <c r="G130" i="28"/>
  <c r="F130" i="28"/>
  <c r="E130" i="28"/>
  <c r="D130" i="28"/>
  <c r="C130" i="28"/>
  <c r="B130" i="28"/>
  <c r="H129" i="28"/>
  <c r="G129" i="28"/>
  <c r="F129" i="28"/>
  <c r="E129" i="28"/>
  <c r="D129" i="28"/>
  <c r="C129" i="28"/>
  <c r="B129" i="28"/>
  <c r="H128" i="28"/>
  <c r="G128" i="28"/>
  <c r="F128" i="28"/>
  <c r="E128" i="28"/>
  <c r="D128" i="28"/>
  <c r="C128" i="28"/>
  <c r="B128" i="28"/>
  <c r="H127" i="28"/>
  <c r="G127" i="28"/>
  <c r="F127" i="28"/>
  <c r="E127" i="28"/>
  <c r="D127" i="28"/>
  <c r="C127" i="28"/>
  <c r="B127" i="28"/>
  <c r="H126" i="28"/>
  <c r="G126" i="28"/>
  <c r="F126" i="28"/>
  <c r="E126" i="28"/>
  <c r="D126" i="28"/>
  <c r="C126" i="28"/>
  <c r="B126" i="28"/>
  <c r="H120" i="28"/>
  <c r="G120" i="28"/>
  <c r="F120" i="28"/>
  <c r="E120" i="28"/>
  <c r="D120" i="28"/>
  <c r="C120" i="28"/>
  <c r="B120" i="28"/>
  <c r="H119" i="28"/>
  <c r="G119" i="28"/>
  <c r="F119" i="28"/>
  <c r="E119" i="28"/>
  <c r="D119" i="28"/>
  <c r="C119" i="28"/>
  <c r="B119" i="28"/>
  <c r="H118" i="28"/>
  <c r="G118" i="28"/>
  <c r="F118" i="28"/>
  <c r="E118" i="28"/>
  <c r="D118" i="28"/>
  <c r="C118" i="28"/>
  <c r="B118" i="28"/>
  <c r="H117" i="28"/>
  <c r="G117" i="28"/>
  <c r="F117" i="28"/>
  <c r="E117" i="28"/>
  <c r="D117" i="28"/>
  <c r="C117" i="28"/>
  <c r="B117" i="28"/>
  <c r="H116" i="28"/>
  <c r="G116" i="28"/>
  <c r="F116" i="28"/>
  <c r="E116" i="28"/>
  <c r="D116" i="28"/>
  <c r="C116" i="28"/>
  <c r="B116" i="28"/>
  <c r="H115" i="28"/>
  <c r="G115" i="28"/>
  <c r="F115" i="28"/>
  <c r="E115" i="28"/>
  <c r="D115" i="28"/>
  <c r="C115" i="28"/>
  <c r="B115" i="28"/>
  <c r="H114" i="28"/>
  <c r="G114" i="28"/>
  <c r="F114" i="28"/>
  <c r="E114" i="28"/>
  <c r="D114" i="28"/>
  <c r="C114" i="28"/>
  <c r="B114" i="28"/>
  <c r="H113" i="28"/>
  <c r="G113" i="28"/>
  <c r="F113" i="28"/>
  <c r="E113" i="28"/>
  <c r="D113" i="28"/>
  <c r="C113" i="28"/>
  <c r="B113" i="28"/>
  <c r="H112" i="28"/>
  <c r="G112" i="28"/>
  <c r="F112" i="28"/>
  <c r="E112" i="28"/>
  <c r="D112" i="28"/>
  <c r="C112" i="28"/>
  <c r="B112" i="28"/>
  <c r="H111" i="28"/>
  <c r="G111" i="28"/>
  <c r="F111" i="28"/>
  <c r="E111" i="28"/>
  <c r="D111" i="28"/>
  <c r="C111" i="28"/>
  <c r="B111" i="28"/>
  <c r="H110" i="28"/>
  <c r="G110" i="28"/>
  <c r="F110" i="28"/>
  <c r="E110" i="28"/>
  <c r="D110" i="28"/>
  <c r="C110" i="28"/>
  <c r="B110" i="28"/>
  <c r="H109" i="28"/>
  <c r="G109" i="28"/>
  <c r="F109" i="28"/>
  <c r="E109" i="28"/>
  <c r="D109" i="28"/>
  <c r="C109" i="28"/>
  <c r="B109" i="28"/>
  <c r="H108" i="28"/>
  <c r="G108" i="28"/>
  <c r="F108" i="28"/>
  <c r="E108" i="28"/>
  <c r="D108" i="28"/>
  <c r="C108" i="28"/>
  <c r="B108" i="28"/>
  <c r="H107" i="28"/>
  <c r="G107" i="28"/>
  <c r="F107" i="28"/>
  <c r="E107" i="28"/>
  <c r="D107" i="28"/>
  <c r="C107" i="28"/>
  <c r="B107" i="28"/>
  <c r="H106" i="28"/>
  <c r="G106" i="28"/>
  <c r="F106" i="28"/>
  <c r="E106" i="28"/>
  <c r="D106" i="28"/>
  <c r="C106" i="28"/>
  <c r="B106" i="28"/>
  <c r="H100" i="28"/>
  <c r="G100" i="28"/>
  <c r="F100" i="28"/>
  <c r="E100" i="28"/>
  <c r="D100" i="28"/>
  <c r="C100" i="28"/>
  <c r="B100" i="28"/>
  <c r="H99" i="28"/>
  <c r="G99" i="28"/>
  <c r="F99" i="28"/>
  <c r="E99" i="28"/>
  <c r="D99" i="28"/>
  <c r="C99" i="28"/>
  <c r="B99" i="28"/>
  <c r="H98" i="28"/>
  <c r="G98" i="28"/>
  <c r="F98" i="28"/>
  <c r="E98" i="28"/>
  <c r="D98" i="28"/>
  <c r="C98" i="28"/>
  <c r="B98" i="28"/>
  <c r="H97" i="28"/>
  <c r="G97" i="28"/>
  <c r="F97" i="28"/>
  <c r="E97" i="28"/>
  <c r="D97" i="28"/>
  <c r="C97" i="28"/>
  <c r="B97" i="28"/>
  <c r="H96" i="28"/>
  <c r="G96" i="28"/>
  <c r="F96" i="28"/>
  <c r="E96" i="28"/>
  <c r="D96" i="28"/>
  <c r="C96" i="28"/>
  <c r="B96" i="28"/>
  <c r="H95" i="28"/>
  <c r="G95" i="28"/>
  <c r="F95" i="28"/>
  <c r="E95" i="28"/>
  <c r="D95" i="28"/>
  <c r="C95" i="28"/>
  <c r="B95" i="28"/>
  <c r="H94" i="28"/>
  <c r="G94" i="28"/>
  <c r="F94" i="28"/>
  <c r="E94" i="28"/>
  <c r="D94" i="28"/>
  <c r="C94" i="28"/>
  <c r="B94" i="28"/>
  <c r="H93" i="28"/>
  <c r="G93" i="28"/>
  <c r="F93" i="28"/>
  <c r="E93" i="28"/>
  <c r="D93" i="28"/>
  <c r="C93" i="28"/>
  <c r="B93" i="28"/>
  <c r="H92" i="28"/>
  <c r="G92" i="28"/>
  <c r="F92" i="28"/>
  <c r="E92" i="28"/>
  <c r="D92" i="28"/>
  <c r="C92" i="28"/>
  <c r="B92" i="28"/>
  <c r="H91" i="28"/>
  <c r="G91" i="28"/>
  <c r="F91" i="28"/>
  <c r="E91" i="28"/>
  <c r="D91" i="28"/>
  <c r="C91" i="28"/>
  <c r="B91" i="28"/>
  <c r="H90" i="28"/>
  <c r="G90" i="28"/>
  <c r="F90" i="28"/>
  <c r="E90" i="28"/>
  <c r="D90" i="28"/>
  <c r="C90" i="28"/>
  <c r="B90" i="28"/>
  <c r="H89" i="28"/>
  <c r="G89" i="28"/>
  <c r="F89" i="28"/>
  <c r="E89" i="28"/>
  <c r="D89" i="28"/>
  <c r="C89" i="28"/>
  <c r="B89" i="28"/>
  <c r="H88" i="28"/>
  <c r="G88" i="28"/>
  <c r="F88" i="28"/>
  <c r="E88" i="28"/>
  <c r="D88" i="28"/>
  <c r="C88" i="28"/>
  <c r="B88" i="28"/>
  <c r="H87" i="28"/>
  <c r="G87" i="28"/>
  <c r="F87" i="28"/>
  <c r="E87" i="28"/>
  <c r="D87" i="28"/>
  <c r="C87" i="28"/>
  <c r="B87" i="28"/>
  <c r="H86" i="28"/>
  <c r="G86" i="28"/>
  <c r="F86" i="28"/>
  <c r="E86" i="28"/>
  <c r="D86" i="28"/>
  <c r="C86" i="28"/>
  <c r="B86" i="28"/>
  <c r="H80" i="28"/>
  <c r="G80" i="28"/>
  <c r="F80" i="28"/>
  <c r="E80" i="28"/>
  <c r="D80" i="28"/>
  <c r="C80" i="28"/>
  <c r="B80" i="28"/>
  <c r="H79" i="28"/>
  <c r="G79" i="28"/>
  <c r="F79" i="28"/>
  <c r="E79" i="28"/>
  <c r="D79" i="28"/>
  <c r="C79" i="28"/>
  <c r="B79" i="28"/>
  <c r="H78" i="28"/>
  <c r="G78" i="28"/>
  <c r="F78" i="28"/>
  <c r="E78" i="28"/>
  <c r="D78" i="28"/>
  <c r="C78" i="28"/>
  <c r="B78" i="28"/>
  <c r="H77" i="28"/>
  <c r="G77" i="28"/>
  <c r="F77" i="28"/>
  <c r="E77" i="28"/>
  <c r="D77" i="28"/>
  <c r="C77" i="28"/>
  <c r="B77" i="28"/>
  <c r="H76" i="28"/>
  <c r="G76" i="28"/>
  <c r="F76" i="28"/>
  <c r="E76" i="28"/>
  <c r="D76" i="28"/>
  <c r="C76" i="28"/>
  <c r="B76" i="28"/>
  <c r="H75" i="28"/>
  <c r="G75" i="28"/>
  <c r="F75" i="28"/>
  <c r="E75" i="28"/>
  <c r="D75" i="28"/>
  <c r="C75" i="28"/>
  <c r="B75" i="28"/>
  <c r="H74" i="28"/>
  <c r="G74" i="28"/>
  <c r="F74" i="28"/>
  <c r="E74" i="28"/>
  <c r="D74" i="28"/>
  <c r="C74" i="28"/>
  <c r="B74" i="28"/>
  <c r="H73" i="28"/>
  <c r="G73" i="28"/>
  <c r="F73" i="28"/>
  <c r="E73" i="28"/>
  <c r="D73" i="28"/>
  <c r="C73" i="28"/>
  <c r="B73" i="28"/>
  <c r="H72" i="28"/>
  <c r="G72" i="28"/>
  <c r="F72" i="28"/>
  <c r="E72" i="28"/>
  <c r="D72" i="28"/>
  <c r="C72" i="28"/>
  <c r="B72" i="28"/>
  <c r="H71" i="28"/>
  <c r="G71" i="28"/>
  <c r="F71" i="28"/>
  <c r="E71" i="28"/>
  <c r="D71" i="28"/>
  <c r="C71" i="28"/>
  <c r="B71" i="28"/>
  <c r="H70" i="28"/>
  <c r="G70" i="28"/>
  <c r="F70" i="28"/>
  <c r="E70" i="28"/>
  <c r="D70" i="28"/>
  <c r="C70" i="28"/>
  <c r="B70" i="28"/>
  <c r="H69" i="28"/>
  <c r="G69" i="28"/>
  <c r="F69" i="28"/>
  <c r="E69" i="28"/>
  <c r="D69" i="28"/>
  <c r="C69" i="28"/>
  <c r="B69" i="28"/>
  <c r="H68" i="28"/>
  <c r="G68" i="28"/>
  <c r="F68" i="28"/>
  <c r="E68" i="28"/>
  <c r="D68" i="28"/>
  <c r="C68" i="28"/>
  <c r="B68" i="28"/>
  <c r="H67" i="28"/>
  <c r="G67" i="28"/>
  <c r="F67" i="28"/>
  <c r="E67" i="28"/>
  <c r="D67" i="28"/>
  <c r="C67" i="28"/>
  <c r="B67" i="28"/>
  <c r="H66" i="28"/>
  <c r="G66" i="28"/>
  <c r="F66" i="28"/>
  <c r="E66" i="28"/>
  <c r="D66" i="28"/>
  <c r="C66" i="28"/>
  <c r="B66" i="28"/>
  <c r="H60" i="28"/>
  <c r="G60" i="28"/>
  <c r="F60" i="28"/>
  <c r="E60" i="28"/>
  <c r="D60" i="28"/>
  <c r="C60" i="28"/>
  <c r="B60" i="28"/>
  <c r="H59" i="28"/>
  <c r="G59" i="28"/>
  <c r="F59" i="28"/>
  <c r="E59" i="28"/>
  <c r="D59" i="28"/>
  <c r="C59" i="28"/>
  <c r="B59" i="28"/>
  <c r="H58" i="28"/>
  <c r="G58" i="28"/>
  <c r="F58" i="28"/>
  <c r="E58" i="28"/>
  <c r="D58" i="28"/>
  <c r="C58" i="28"/>
  <c r="B58" i="28"/>
  <c r="H57" i="28"/>
  <c r="G57" i="28"/>
  <c r="F57" i="28"/>
  <c r="E57" i="28"/>
  <c r="D57" i="28"/>
  <c r="C57" i="28"/>
  <c r="B57" i="28"/>
  <c r="H56" i="28"/>
  <c r="G56" i="28"/>
  <c r="F56" i="28"/>
  <c r="E56" i="28"/>
  <c r="D56" i="28"/>
  <c r="C56" i="28"/>
  <c r="B56" i="28"/>
  <c r="H55" i="28"/>
  <c r="G55" i="28"/>
  <c r="F55" i="28"/>
  <c r="E55" i="28"/>
  <c r="D55" i="28"/>
  <c r="C55" i="28"/>
  <c r="B55" i="28"/>
  <c r="H54" i="28"/>
  <c r="G54" i="28"/>
  <c r="F54" i="28"/>
  <c r="E54" i="28"/>
  <c r="D54" i="28"/>
  <c r="C54" i="28"/>
  <c r="B54" i="28"/>
  <c r="H53" i="28"/>
  <c r="G53" i="28"/>
  <c r="F53" i="28"/>
  <c r="E53" i="28"/>
  <c r="D53" i="28"/>
  <c r="C53" i="28"/>
  <c r="B53" i="28"/>
  <c r="H52" i="28"/>
  <c r="G52" i="28"/>
  <c r="F52" i="28"/>
  <c r="E52" i="28"/>
  <c r="D52" i="28"/>
  <c r="C52" i="28"/>
  <c r="B52" i="28"/>
  <c r="H51" i="28"/>
  <c r="G51" i="28"/>
  <c r="F51" i="28"/>
  <c r="E51" i="28"/>
  <c r="D51" i="28"/>
  <c r="C51" i="28"/>
  <c r="B51" i="28"/>
  <c r="H50" i="28"/>
  <c r="G50" i="28"/>
  <c r="F50" i="28"/>
  <c r="E50" i="28"/>
  <c r="D50" i="28"/>
  <c r="C50" i="28"/>
  <c r="B50" i="28"/>
  <c r="H49" i="28"/>
  <c r="G49" i="28"/>
  <c r="F49" i="28"/>
  <c r="E49" i="28"/>
  <c r="D49" i="28"/>
  <c r="C49" i="28"/>
  <c r="B49" i="28"/>
  <c r="H48" i="28"/>
  <c r="G48" i="28"/>
  <c r="F48" i="28"/>
  <c r="E48" i="28"/>
  <c r="D48" i="28"/>
  <c r="C48" i="28"/>
  <c r="B48" i="28"/>
  <c r="H47" i="28"/>
  <c r="G47" i="28"/>
  <c r="F47" i="28"/>
  <c r="E47" i="28"/>
  <c r="D47" i="28"/>
  <c r="C47" i="28"/>
  <c r="B47" i="28"/>
  <c r="H46" i="28"/>
  <c r="G46" i="28"/>
  <c r="F46" i="28"/>
  <c r="E46" i="28"/>
  <c r="D46" i="28"/>
  <c r="C46" i="28"/>
  <c r="B46" i="28"/>
  <c r="H40" i="28"/>
  <c r="G40" i="28"/>
  <c r="F40" i="28"/>
  <c r="E40" i="28"/>
  <c r="D40" i="28"/>
  <c r="C40" i="28"/>
  <c r="B40" i="28"/>
  <c r="H39" i="28"/>
  <c r="G39" i="28"/>
  <c r="F39" i="28"/>
  <c r="E39" i="28"/>
  <c r="D39" i="28"/>
  <c r="C39" i="28"/>
  <c r="B39" i="28"/>
  <c r="H38" i="28"/>
  <c r="G38" i="28"/>
  <c r="F38" i="28"/>
  <c r="E38" i="28"/>
  <c r="D38" i="28"/>
  <c r="C38" i="28"/>
  <c r="B38" i="28"/>
  <c r="H37" i="28"/>
  <c r="G37" i="28"/>
  <c r="F37" i="28"/>
  <c r="E37" i="28"/>
  <c r="D37" i="28"/>
  <c r="C37" i="28"/>
  <c r="B37" i="28"/>
  <c r="H36" i="28"/>
  <c r="G36" i="28"/>
  <c r="F36" i="28"/>
  <c r="E36" i="28"/>
  <c r="D36" i="28"/>
  <c r="C36" i="28"/>
  <c r="B36" i="28"/>
  <c r="H35" i="28"/>
  <c r="G35" i="28"/>
  <c r="F35" i="28"/>
  <c r="E35" i="28"/>
  <c r="D35" i="28"/>
  <c r="C35" i="28"/>
  <c r="B35" i="28"/>
  <c r="H34" i="28"/>
  <c r="G34" i="28"/>
  <c r="F34" i="28"/>
  <c r="E34" i="28"/>
  <c r="D34" i="28"/>
  <c r="C34" i="28"/>
  <c r="B34" i="28"/>
  <c r="H33" i="28"/>
  <c r="G33" i="28"/>
  <c r="F33" i="28"/>
  <c r="E33" i="28"/>
  <c r="D33" i="28"/>
  <c r="C33" i="28"/>
  <c r="B33" i="28"/>
  <c r="H32" i="28"/>
  <c r="G32" i="28"/>
  <c r="F32" i="28"/>
  <c r="E32" i="28"/>
  <c r="D32" i="28"/>
  <c r="C32" i="28"/>
  <c r="B32" i="28"/>
  <c r="H31" i="28"/>
  <c r="G31" i="28"/>
  <c r="F31" i="28"/>
  <c r="E31" i="28"/>
  <c r="D31" i="28"/>
  <c r="C31" i="28"/>
  <c r="B31" i="28"/>
  <c r="H30" i="28"/>
  <c r="G30" i="28"/>
  <c r="F30" i="28"/>
  <c r="E30" i="28"/>
  <c r="D30" i="28"/>
  <c r="C30" i="28"/>
  <c r="B30" i="28"/>
  <c r="H29" i="28"/>
  <c r="G29" i="28"/>
  <c r="F29" i="28"/>
  <c r="E29" i="28"/>
  <c r="D29" i="28"/>
  <c r="C29" i="28"/>
  <c r="B29" i="28"/>
  <c r="H28" i="28"/>
  <c r="G28" i="28"/>
  <c r="F28" i="28"/>
  <c r="E28" i="28"/>
  <c r="D28" i="28"/>
  <c r="C28" i="28"/>
  <c r="B28" i="28"/>
  <c r="H27" i="28"/>
  <c r="G27" i="28"/>
  <c r="F27" i="28"/>
  <c r="E27" i="28"/>
  <c r="D27" i="28"/>
  <c r="C27" i="28"/>
  <c r="B27" i="28"/>
  <c r="H26" i="28"/>
  <c r="G26" i="28"/>
  <c r="F26" i="28"/>
  <c r="E26" i="28"/>
  <c r="D26" i="28"/>
  <c r="C26" i="28"/>
  <c r="B26" i="28"/>
  <c r="H20" i="28"/>
  <c r="G20" i="28"/>
  <c r="F20" i="28"/>
  <c r="E20" i="28"/>
  <c r="D20" i="28"/>
  <c r="C20" i="28"/>
  <c r="B20" i="28"/>
  <c r="H19" i="28"/>
  <c r="G19" i="28"/>
  <c r="F19" i="28"/>
  <c r="E19" i="28"/>
  <c r="D19" i="28"/>
  <c r="C19" i="28"/>
  <c r="B19" i="28"/>
  <c r="H18" i="28"/>
  <c r="G18" i="28"/>
  <c r="F18" i="28"/>
  <c r="E18" i="28"/>
  <c r="D18" i="28"/>
  <c r="C18" i="28"/>
  <c r="B18" i="28"/>
  <c r="H17" i="28"/>
  <c r="G17" i="28"/>
  <c r="F17" i="28"/>
  <c r="E17" i="28"/>
  <c r="D17" i="28"/>
  <c r="C17" i="28"/>
  <c r="B17" i="28"/>
  <c r="H16" i="28"/>
  <c r="G16" i="28"/>
  <c r="F16" i="28"/>
  <c r="E16" i="28"/>
  <c r="D16" i="28"/>
  <c r="C16" i="28"/>
  <c r="B16" i="28"/>
  <c r="H15" i="28"/>
  <c r="G15" i="28"/>
  <c r="F15" i="28"/>
  <c r="E15" i="28"/>
  <c r="D15" i="28"/>
  <c r="C15" i="28"/>
  <c r="B15" i="28"/>
  <c r="H14" i="28"/>
  <c r="G14" i="28"/>
  <c r="F14" i="28"/>
  <c r="E14" i="28"/>
  <c r="D14" i="28"/>
  <c r="C14" i="28"/>
  <c r="B14" i="28"/>
  <c r="H13" i="28"/>
  <c r="G13" i="28"/>
  <c r="F13" i="28"/>
  <c r="E13" i="28"/>
  <c r="D13" i="28"/>
  <c r="C13" i="28"/>
  <c r="B13" i="28"/>
  <c r="H12" i="28"/>
  <c r="G12" i="28"/>
  <c r="F12" i="28"/>
  <c r="E12" i="28"/>
  <c r="D12" i="28"/>
  <c r="C12" i="28"/>
  <c r="B12" i="28"/>
  <c r="H11" i="28"/>
  <c r="G11" i="28"/>
  <c r="F11" i="28"/>
  <c r="E11" i="28"/>
  <c r="D11" i="28"/>
  <c r="C11" i="28"/>
  <c r="B11" i="28"/>
  <c r="H10" i="28"/>
  <c r="G10" i="28"/>
  <c r="F10" i="28"/>
  <c r="E10" i="28"/>
  <c r="D10" i="28"/>
  <c r="C10" i="28"/>
  <c r="B10" i="28"/>
  <c r="H9" i="28"/>
  <c r="G9" i="28"/>
  <c r="F9" i="28"/>
  <c r="E9" i="28"/>
  <c r="D9" i="28"/>
  <c r="C9" i="28"/>
  <c r="B9" i="28"/>
  <c r="H8" i="28"/>
  <c r="G8" i="28"/>
  <c r="F8" i="28"/>
  <c r="E8" i="28"/>
  <c r="D8" i="28"/>
  <c r="C8" i="28"/>
  <c r="B8" i="28"/>
  <c r="H7" i="28"/>
  <c r="G7" i="28"/>
  <c r="F7" i="28"/>
  <c r="E7" i="28"/>
  <c r="D7" i="28"/>
  <c r="C7" i="28"/>
  <c r="B7" i="28"/>
  <c r="H6" i="28"/>
  <c r="G6" i="28"/>
  <c r="F6" i="28"/>
  <c r="E6" i="28"/>
  <c r="D6" i="28"/>
  <c r="C6" i="28"/>
  <c r="B6" i="28"/>
  <c r="B66" i="33"/>
  <c r="B52" i="33"/>
  <c r="B38" i="33"/>
  <c r="B24" i="33"/>
  <c r="B10" i="33"/>
  <c r="G224" i="26"/>
  <c r="F224" i="26"/>
  <c r="E224" i="26"/>
  <c r="D224" i="26"/>
  <c r="C224" i="26"/>
  <c r="B224" i="26"/>
  <c r="H223" i="26"/>
  <c r="G223" i="26"/>
  <c r="F223" i="26"/>
  <c r="E223" i="26"/>
  <c r="D223" i="26"/>
  <c r="C223" i="26"/>
  <c r="B223" i="26"/>
  <c r="H222" i="26"/>
  <c r="G222" i="26"/>
  <c r="F222" i="26"/>
  <c r="E222" i="26"/>
  <c r="D222" i="26"/>
  <c r="C222" i="26"/>
  <c r="B222" i="26"/>
  <c r="H221" i="26"/>
  <c r="G221" i="26"/>
  <c r="F221" i="26"/>
  <c r="E221" i="26"/>
  <c r="D221" i="26"/>
  <c r="C221" i="26"/>
  <c r="B221" i="26"/>
  <c r="H220" i="26"/>
  <c r="G220" i="26"/>
  <c r="F220" i="26"/>
  <c r="E220" i="26"/>
  <c r="D220" i="26"/>
  <c r="C220" i="26"/>
  <c r="B220" i="26"/>
  <c r="H219" i="26"/>
  <c r="G219" i="26"/>
  <c r="F219" i="26"/>
  <c r="E219" i="26"/>
  <c r="D219" i="26"/>
  <c r="C219" i="26"/>
  <c r="B219" i="26"/>
  <c r="H218" i="26"/>
  <c r="G218" i="26"/>
  <c r="F218" i="26"/>
  <c r="E218" i="26"/>
  <c r="D218" i="26"/>
  <c r="C218" i="26"/>
  <c r="B218" i="26"/>
  <c r="H217" i="26"/>
  <c r="G217" i="26"/>
  <c r="F217" i="26"/>
  <c r="E217" i="26"/>
  <c r="D217" i="26"/>
  <c r="C217" i="26"/>
  <c r="B217" i="26"/>
  <c r="H216" i="26"/>
  <c r="G216" i="26"/>
  <c r="F216" i="26"/>
  <c r="E216" i="26"/>
  <c r="D216" i="26"/>
  <c r="C216" i="26"/>
  <c r="B216" i="26"/>
  <c r="H215" i="26"/>
  <c r="G215" i="26"/>
  <c r="F215" i="26"/>
  <c r="E215" i="26"/>
  <c r="D215" i="26"/>
  <c r="C215" i="26"/>
  <c r="B215" i="26"/>
  <c r="H214" i="26"/>
  <c r="G214" i="26"/>
  <c r="F214" i="26"/>
  <c r="E214" i="26"/>
  <c r="D214" i="26"/>
  <c r="C214" i="26"/>
  <c r="B214" i="26"/>
  <c r="H213" i="26"/>
  <c r="G213" i="26"/>
  <c r="F213" i="26"/>
  <c r="E213" i="26"/>
  <c r="D213" i="26"/>
  <c r="C213" i="26"/>
  <c r="B213" i="26"/>
  <c r="H212" i="26"/>
  <c r="G212" i="26"/>
  <c r="F212" i="26"/>
  <c r="E212" i="26"/>
  <c r="D212" i="26"/>
  <c r="C212" i="26"/>
  <c r="B212" i="26"/>
  <c r="G208" i="26"/>
  <c r="F208" i="26"/>
  <c r="E208" i="26"/>
  <c r="D208" i="26"/>
  <c r="C208" i="26"/>
  <c r="B208" i="26"/>
  <c r="H207" i="26"/>
  <c r="G207" i="26"/>
  <c r="F207" i="26"/>
  <c r="E207" i="26"/>
  <c r="D207" i="26"/>
  <c r="C207" i="26"/>
  <c r="B207" i="26"/>
  <c r="H206" i="26"/>
  <c r="G206" i="26"/>
  <c r="F206" i="26"/>
  <c r="E206" i="26"/>
  <c r="D206" i="26"/>
  <c r="C206" i="26"/>
  <c r="B206" i="26"/>
  <c r="H205" i="26"/>
  <c r="G205" i="26"/>
  <c r="F205" i="26"/>
  <c r="E205" i="26"/>
  <c r="D205" i="26"/>
  <c r="C205" i="26"/>
  <c r="B205" i="26"/>
  <c r="H204" i="26"/>
  <c r="G204" i="26"/>
  <c r="F204" i="26"/>
  <c r="E204" i="26"/>
  <c r="D204" i="26"/>
  <c r="C204" i="26"/>
  <c r="B204" i="26"/>
  <c r="H203" i="26"/>
  <c r="G203" i="26"/>
  <c r="F203" i="26"/>
  <c r="E203" i="26"/>
  <c r="D203" i="26"/>
  <c r="C203" i="26"/>
  <c r="B203" i="26"/>
  <c r="H202" i="26"/>
  <c r="G202" i="26"/>
  <c r="F202" i="26"/>
  <c r="E202" i="26"/>
  <c r="D202" i="26"/>
  <c r="C202" i="26"/>
  <c r="B202" i="26"/>
  <c r="H201" i="26"/>
  <c r="G201" i="26"/>
  <c r="F201" i="26"/>
  <c r="E201" i="26"/>
  <c r="D201" i="26"/>
  <c r="C201" i="26"/>
  <c r="B201" i="26"/>
  <c r="H200" i="26"/>
  <c r="G200" i="26"/>
  <c r="F200" i="26"/>
  <c r="E200" i="26"/>
  <c r="D200" i="26"/>
  <c r="C200" i="26"/>
  <c r="B200" i="26"/>
  <c r="H199" i="26"/>
  <c r="G199" i="26"/>
  <c r="F199" i="26"/>
  <c r="E199" i="26"/>
  <c r="D199" i="26"/>
  <c r="C199" i="26"/>
  <c r="B199" i="26"/>
  <c r="H198" i="26"/>
  <c r="G198" i="26"/>
  <c r="F198" i="26"/>
  <c r="E198" i="26"/>
  <c r="D198" i="26"/>
  <c r="C198" i="26"/>
  <c r="B198" i="26"/>
  <c r="H197" i="26"/>
  <c r="G197" i="26"/>
  <c r="F197" i="26"/>
  <c r="E197" i="26"/>
  <c r="D197" i="26"/>
  <c r="C197" i="26"/>
  <c r="B197" i="26"/>
  <c r="H196" i="26"/>
  <c r="G196" i="26"/>
  <c r="F196" i="26"/>
  <c r="E196" i="26"/>
  <c r="D196" i="26"/>
  <c r="C196" i="26"/>
  <c r="B196" i="26"/>
  <c r="G192" i="26"/>
  <c r="F192" i="26"/>
  <c r="E192" i="26"/>
  <c r="D192" i="26"/>
  <c r="C192" i="26"/>
  <c r="B192" i="26"/>
  <c r="H191" i="26"/>
  <c r="G191" i="26"/>
  <c r="F191" i="26"/>
  <c r="E191" i="26"/>
  <c r="D191" i="26"/>
  <c r="C191" i="26"/>
  <c r="B191" i="26"/>
  <c r="H190" i="26"/>
  <c r="G190" i="26"/>
  <c r="F190" i="26"/>
  <c r="E190" i="26"/>
  <c r="D190" i="26"/>
  <c r="C190" i="26"/>
  <c r="B190" i="26"/>
  <c r="H189" i="26"/>
  <c r="G189" i="26"/>
  <c r="F189" i="26"/>
  <c r="E189" i="26"/>
  <c r="D189" i="26"/>
  <c r="C189" i="26"/>
  <c r="B189" i="26"/>
  <c r="H188" i="26"/>
  <c r="G188" i="26"/>
  <c r="F188" i="26"/>
  <c r="E188" i="26"/>
  <c r="D188" i="26"/>
  <c r="C188" i="26"/>
  <c r="B188" i="26"/>
  <c r="H187" i="26"/>
  <c r="G187" i="26"/>
  <c r="F187" i="26"/>
  <c r="E187" i="26"/>
  <c r="D187" i="26"/>
  <c r="C187" i="26"/>
  <c r="B187" i="26"/>
  <c r="H186" i="26"/>
  <c r="G186" i="26"/>
  <c r="F186" i="26"/>
  <c r="E186" i="26"/>
  <c r="D186" i="26"/>
  <c r="C186" i="26"/>
  <c r="B186" i="26"/>
  <c r="H185" i="26"/>
  <c r="G185" i="26"/>
  <c r="F185" i="26"/>
  <c r="E185" i="26"/>
  <c r="D185" i="26"/>
  <c r="C185" i="26"/>
  <c r="B185" i="26"/>
  <c r="H184" i="26"/>
  <c r="G184" i="26"/>
  <c r="F184" i="26"/>
  <c r="E184" i="26"/>
  <c r="D184" i="26"/>
  <c r="C184" i="26"/>
  <c r="B184" i="26"/>
  <c r="H183" i="26"/>
  <c r="G183" i="26"/>
  <c r="F183" i="26"/>
  <c r="E183" i="26"/>
  <c r="D183" i="26"/>
  <c r="C183" i="26"/>
  <c r="B183" i="26"/>
  <c r="H182" i="26"/>
  <c r="G182" i="26"/>
  <c r="F182" i="26"/>
  <c r="E182" i="26"/>
  <c r="D182" i="26"/>
  <c r="C182" i="26"/>
  <c r="B182" i="26"/>
  <c r="H181" i="26"/>
  <c r="G181" i="26"/>
  <c r="F181" i="26"/>
  <c r="E181" i="26"/>
  <c r="D181" i="26"/>
  <c r="C181" i="26"/>
  <c r="B181" i="26"/>
  <c r="H180" i="26"/>
  <c r="G180" i="26"/>
  <c r="F180" i="26"/>
  <c r="E180" i="26"/>
  <c r="D180" i="26"/>
  <c r="C180" i="26"/>
  <c r="B180" i="26"/>
  <c r="G176" i="26"/>
  <c r="F176" i="26"/>
  <c r="E176" i="26"/>
  <c r="D176" i="26"/>
  <c r="C176" i="26"/>
  <c r="B176" i="26"/>
  <c r="H175" i="26"/>
  <c r="G175" i="26"/>
  <c r="F175" i="26"/>
  <c r="E175" i="26"/>
  <c r="D175" i="26"/>
  <c r="C175" i="26"/>
  <c r="B175" i="26"/>
  <c r="H174" i="26"/>
  <c r="G174" i="26"/>
  <c r="F174" i="26"/>
  <c r="E174" i="26"/>
  <c r="D174" i="26"/>
  <c r="C174" i="26"/>
  <c r="B174" i="26"/>
  <c r="H173" i="26"/>
  <c r="G173" i="26"/>
  <c r="F173" i="26"/>
  <c r="E173" i="26"/>
  <c r="D173" i="26"/>
  <c r="C173" i="26"/>
  <c r="B173" i="26"/>
  <c r="H172" i="26"/>
  <c r="G172" i="26"/>
  <c r="F172" i="26"/>
  <c r="E172" i="26"/>
  <c r="D172" i="26"/>
  <c r="C172" i="26"/>
  <c r="B172" i="26"/>
  <c r="H171" i="26"/>
  <c r="G171" i="26"/>
  <c r="F171" i="26"/>
  <c r="E171" i="26"/>
  <c r="D171" i="26"/>
  <c r="C171" i="26"/>
  <c r="B171" i="26"/>
  <c r="H170" i="26"/>
  <c r="G170" i="26"/>
  <c r="F170" i="26"/>
  <c r="E170" i="26"/>
  <c r="D170" i="26"/>
  <c r="C170" i="26"/>
  <c r="B170" i="26"/>
  <c r="H169" i="26"/>
  <c r="G169" i="26"/>
  <c r="F169" i="26"/>
  <c r="E169" i="26"/>
  <c r="D169" i="26"/>
  <c r="C169" i="26"/>
  <c r="B169" i="26"/>
  <c r="H168" i="26"/>
  <c r="G168" i="26"/>
  <c r="F168" i="26"/>
  <c r="E168" i="26"/>
  <c r="D168" i="26"/>
  <c r="C168" i="26"/>
  <c r="B168" i="26"/>
  <c r="H167" i="26"/>
  <c r="G167" i="26"/>
  <c r="F167" i="26"/>
  <c r="E167" i="26"/>
  <c r="D167" i="26"/>
  <c r="C167" i="26"/>
  <c r="B167" i="26"/>
  <c r="H166" i="26"/>
  <c r="G166" i="26"/>
  <c r="F166" i="26"/>
  <c r="E166" i="26"/>
  <c r="D166" i="26"/>
  <c r="C166" i="26"/>
  <c r="B166" i="26"/>
  <c r="H165" i="26"/>
  <c r="G165" i="26"/>
  <c r="F165" i="26"/>
  <c r="E165" i="26"/>
  <c r="D165" i="26"/>
  <c r="C165" i="26"/>
  <c r="B165" i="26"/>
  <c r="H164" i="26"/>
  <c r="G164" i="26"/>
  <c r="F164" i="26"/>
  <c r="E164" i="26"/>
  <c r="D164" i="26"/>
  <c r="C164" i="26"/>
  <c r="B164" i="26"/>
  <c r="G158" i="26"/>
  <c r="F158" i="26"/>
  <c r="E158" i="26"/>
  <c r="D158" i="26"/>
  <c r="C158" i="26"/>
  <c r="B158" i="26"/>
  <c r="H157" i="26"/>
  <c r="G157" i="26"/>
  <c r="F157" i="26"/>
  <c r="E157" i="26"/>
  <c r="D157" i="26"/>
  <c r="C157" i="26"/>
  <c r="B157" i="26"/>
  <c r="H156" i="26"/>
  <c r="G156" i="26"/>
  <c r="F156" i="26"/>
  <c r="E156" i="26"/>
  <c r="D156" i="26"/>
  <c r="C156" i="26"/>
  <c r="B156" i="26"/>
  <c r="H155" i="26"/>
  <c r="G155" i="26"/>
  <c r="F155" i="26"/>
  <c r="E155" i="26"/>
  <c r="D155" i="26"/>
  <c r="C155" i="26"/>
  <c r="B155" i="26"/>
  <c r="H154" i="26"/>
  <c r="G154" i="26"/>
  <c r="F154" i="26"/>
  <c r="E154" i="26"/>
  <c r="D154" i="26"/>
  <c r="C154" i="26"/>
  <c r="B154" i="26"/>
  <c r="H153" i="26"/>
  <c r="G153" i="26"/>
  <c r="F153" i="26"/>
  <c r="E153" i="26"/>
  <c r="D153" i="26"/>
  <c r="C153" i="26"/>
  <c r="B153" i="26"/>
  <c r="H152" i="26"/>
  <c r="G152" i="26"/>
  <c r="F152" i="26"/>
  <c r="E152" i="26"/>
  <c r="D152" i="26"/>
  <c r="C152" i="26"/>
  <c r="B152" i="26"/>
  <c r="H151" i="26"/>
  <c r="G151" i="26"/>
  <c r="F151" i="26"/>
  <c r="E151" i="26"/>
  <c r="D151" i="26"/>
  <c r="C151" i="26"/>
  <c r="B151" i="26"/>
  <c r="H150" i="26"/>
  <c r="G150" i="26"/>
  <c r="F150" i="26"/>
  <c r="E150" i="26"/>
  <c r="D150" i="26"/>
  <c r="C150" i="26"/>
  <c r="B150" i="26"/>
  <c r="H149" i="26"/>
  <c r="G149" i="26"/>
  <c r="F149" i="26"/>
  <c r="E149" i="26"/>
  <c r="D149" i="26"/>
  <c r="C149" i="26"/>
  <c r="B149" i="26"/>
  <c r="H148" i="26"/>
  <c r="G148" i="26"/>
  <c r="F148" i="26"/>
  <c r="E148" i="26"/>
  <c r="D148" i="26"/>
  <c r="C148" i="26"/>
  <c r="B148" i="26"/>
  <c r="H147" i="26"/>
  <c r="G147" i="26"/>
  <c r="F147" i="26"/>
  <c r="E147" i="26"/>
  <c r="D147" i="26"/>
  <c r="C147" i="26"/>
  <c r="B147" i="26"/>
  <c r="H146" i="26"/>
  <c r="G146" i="26"/>
  <c r="F146" i="26"/>
  <c r="E146" i="26"/>
  <c r="D146" i="26"/>
  <c r="C146" i="26"/>
  <c r="B146" i="26"/>
  <c r="G140" i="26"/>
  <c r="F140" i="26"/>
  <c r="E140" i="26"/>
  <c r="D140" i="26"/>
  <c r="C140" i="26"/>
  <c r="B140" i="26"/>
  <c r="H139" i="26"/>
  <c r="G139" i="26"/>
  <c r="F139" i="26"/>
  <c r="E139" i="26"/>
  <c r="D139" i="26"/>
  <c r="C139" i="26"/>
  <c r="B139" i="26"/>
  <c r="H138" i="26"/>
  <c r="G138" i="26"/>
  <c r="F138" i="26"/>
  <c r="E138" i="26"/>
  <c r="D138" i="26"/>
  <c r="C138" i="26"/>
  <c r="B138" i="26"/>
  <c r="H137" i="26"/>
  <c r="G137" i="26"/>
  <c r="F137" i="26"/>
  <c r="E137" i="26"/>
  <c r="D137" i="26"/>
  <c r="C137" i="26"/>
  <c r="B137" i="26"/>
  <c r="H136" i="26"/>
  <c r="G136" i="26"/>
  <c r="F136" i="26"/>
  <c r="E136" i="26"/>
  <c r="D136" i="26"/>
  <c r="C136" i="26"/>
  <c r="B136" i="26"/>
  <c r="H135" i="26"/>
  <c r="G135" i="26"/>
  <c r="F135" i="26"/>
  <c r="E135" i="26"/>
  <c r="D135" i="26"/>
  <c r="C135" i="26"/>
  <c r="B135" i="26"/>
  <c r="H134" i="26"/>
  <c r="G134" i="26"/>
  <c r="F134" i="26"/>
  <c r="E134" i="26"/>
  <c r="D134" i="26"/>
  <c r="C134" i="26"/>
  <c r="B134" i="26"/>
  <c r="H133" i="26"/>
  <c r="G133" i="26"/>
  <c r="F133" i="26"/>
  <c r="E133" i="26"/>
  <c r="D133" i="26"/>
  <c r="C133" i="26"/>
  <c r="B133" i="26"/>
  <c r="H132" i="26"/>
  <c r="G132" i="26"/>
  <c r="F132" i="26"/>
  <c r="E132" i="26"/>
  <c r="D132" i="26"/>
  <c r="C132" i="26"/>
  <c r="B132" i="26"/>
  <c r="H131" i="26"/>
  <c r="G131" i="26"/>
  <c r="F131" i="26"/>
  <c r="E131" i="26"/>
  <c r="D131" i="26"/>
  <c r="C131" i="26"/>
  <c r="B131" i="26"/>
  <c r="H130" i="26"/>
  <c r="G130" i="26"/>
  <c r="F130" i="26"/>
  <c r="E130" i="26"/>
  <c r="D130" i="26"/>
  <c r="C130" i="26"/>
  <c r="B130" i="26"/>
  <c r="H129" i="26"/>
  <c r="G129" i="26"/>
  <c r="F129" i="26"/>
  <c r="E129" i="26"/>
  <c r="D129" i="26"/>
  <c r="C129" i="26"/>
  <c r="B129" i="26"/>
  <c r="H128" i="26"/>
  <c r="G128" i="26"/>
  <c r="F128" i="26"/>
  <c r="E128" i="26"/>
  <c r="D128" i="26"/>
  <c r="C128" i="26"/>
  <c r="B128" i="26"/>
  <c r="H127" i="26"/>
  <c r="G127" i="26"/>
  <c r="F127" i="26"/>
  <c r="E127" i="26"/>
  <c r="D127" i="26"/>
  <c r="C127" i="26"/>
  <c r="B127" i="26"/>
  <c r="H126" i="26"/>
  <c r="G126" i="26"/>
  <c r="F126" i="26"/>
  <c r="E126" i="26"/>
  <c r="D126" i="26"/>
  <c r="C126" i="26"/>
  <c r="B126" i="26"/>
  <c r="G120" i="26"/>
  <c r="F120" i="26"/>
  <c r="E120" i="26"/>
  <c r="D120" i="26"/>
  <c r="C120" i="26"/>
  <c r="B120" i="26"/>
  <c r="H119" i="26"/>
  <c r="G119" i="26"/>
  <c r="F119" i="26"/>
  <c r="E119" i="26"/>
  <c r="D119" i="26"/>
  <c r="C119" i="26"/>
  <c r="B119" i="26"/>
  <c r="H118" i="26"/>
  <c r="G118" i="26"/>
  <c r="F118" i="26"/>
  <c r="E118" i="26"/>
  <c r="D118" i="26"/>
  <c r="C118" i="26"/>
  <c r="B118" i="26"/>
  <c r="H117" i="26"/>
  <c r="G117" i="26"/>
  <c r="F117" i="26"/>
  <c r="E117" i="26"/>
  <c r="D117" i="26"/>
  <c r="C117" i="26"/>
  <c r="B117" i="26"/>
  <c r="H116" i="26"/>
  <c r="G116" i="26"/>
  <c r="F116" i="26"/>
  <c r="E116" i="26"/>
  <c r="D116" i="26"/>
  <c r="C116" i="26"/>
  <c r="B116" i="26"/>
  <c r="H115" i="26"/>
  <c r="G115" i="26"/>
  <c r="F115" i="26"/>
  <c r="E115" i="26"/>
  <c r="D115" i="26"/>
  <c r="C115" i="26"/>
  <c r="B115" i="26"/>
  <c r="H114" i="26"/>
  <c r="G114" i="26"/>
  <c r="F114" i="26"/>
  <c r="E114" i="26"/>
  <c r="D114" i="26"/>
  <c r="C114" i="26"/>
  <c r="B114" i="26"/>
  <c r="H113" i="26"/>
  <c r="G113" i="26"/>
  <c r="F113" i="26"/>
  <c r="E113" i="26"/>
  <c r="D113" i="26"/>
  <c r="C113" i="26"/>
  <c r="B113" i="26"/>
  <c r="H112" i="26"/>
  <c r="G112" i="26"/>
  <c r="F112" i="26"/>
  <c r="E112" i="26"/>
  <c r="D112" i="26"/>
  <c r="C112" i="26"/>
  <c r="B112" i="26"/>
  <c r="H111" i="26"/>
  <c r="G111" i="26"/>
  <c r="F111" i="26"/>
  <c r="E111" i="26"/>
  <c r="D111" i="26"/>
  <c r="C111" i="26"/>
  <c r="B111" i="26"/>
  <c r="H110" i="26"/>
  <c r="G110" i="26"/>
  <c r="F110" i="26"/>
  <c r="E110" i="26"/>
  <c r="D110" i="26"/>
  <c r="C110" i="26"/>
  <c r="B110" i="26"/>
  <c r="H109" i="26"/>
  <c r="G109" i="26"/>
  <c r="F109" i="26"/>
  <c r="E109" i="26"/>
  <c r="D109" i="26"/>
  <c r="C109" i="26"/>
  <c r="B109" i="26"/>
  <c r="H108" i="26"/>
  <c r="G108" i="26"/>
  <c r="F108" i="26"/>
  <c r="E108" i="26"/>
  <c r="D108" i="26"/>
  <c r="C108" i="26"/>
  <c r="B108" i="26"/>
  <c r="H107" i="26"/>
  <c r="G107" i="26"/>
  <c r="F107" i="26"/>
  <c r="E107" i="26"/>
  <c r="D107" i="26"/>
  <c r="C107" i="26"/>
  <c r="B107" i="26"/>
  <c r="H106" i="26"/>
  <c r="G106" i="26"/>
  <c r="F106" i="26"/>
  <c r="E106" i="26"/>
  <c r="D106" i="26"/>
  <c r="C106" i="26"/>
  <c r="B106" i="26"/>
  <c r="G100" i="26"/>
  <c r="F100" i="26"/>
  <c r="E100" i="26"/>
  <c r="D100" i="26"/>
  <c r="C100" i="26"/>
  <c r="B100" i="26"/>
  <c r="H99" i="26"/>
  <c r="G99" i="26"/>
  <c r="F99" i="26"/>
  <c r="E99" i="26"/>
  <c r="D99" i="26"/>
  <c r="C99" i="26"/>
  <c r="B99" i="26"/>
  <c r="H98" i="26"/>
  <c r="G98" i="26"/>
  <c r="F98" i="26"/>
  <c r="E98" i="26"/>
  <c r="D98" i="26"/>
  <c r="C98" i="26"/>
  <c r="B98" i="26"/>
  <c r="H97" i="26"/>
  <c r="G97" i="26"/>
  <c r="F97" i="26"/>
  <c r="E97" i="26"/>
  <c r="D97" i="26"/>
  <c r="C97" i="26"/>
  <c r="B97" i="26"/>
  <c r="H96" i="26"/>
  <c r="G96" i="26"/>
  <c r="F96" i="26"/>
  <c r="E96" i="26"/>
  <c r="D96" i="26"/>
  <c r="C96" i="26"/>
  <c r="B96" i="26"/>
  <c r="H95" i="26"/>
  <c r="G95" i="26"/>
  <c r="F95" i="26"/>
  <c r="E95" i="26"/>
  <c r="D95" i="26"/>
  <c r="C95" i="26"/>
  <c r="B95" i="26"/>
  <c r="H94" i="26"/>
  <c r="G94" i="26"/>
  <c r="F94" i="26"/>
  <c r="E94" i="26"/>
  <c r="D94" i="26"/>
  <c r="C94" i="26"/>
  <c r="B94" i="26"/>
  <c r="H93" i="26"/>
  <c r="G93" i="26"/>
  <c r="F93" i="26"/>
  <c r="E93" i="26"/>
  <c r="D93" i="26"/>
  <c r="C93" i="26"/>
  <c r="B93" i="26"/>
  <c r="H92" i="26"/>
  <c r="G92" i="26"/>
  <c r="F92" i="26"/>
  <c r="E92" i="26"/>
  <c r="D92" i="26"/>
  <c r="C92" i="26"/>
  <c r="B92" i="26"/>
  <c r="H91" i="26"/>
  <c r="G91" i="26"/>
  <c r="F91" i="26"/>
  <c r="E91" i="26"/>
  <c r="D91" i="26"/>
  <c r="C91" i="26"/>
  <c r="B91" i="26"/>
  <c r="H90" i="26"/>
  <c r="G90" i="26"/>
  <c r="F90" i="26"/>
  <c r="E90" i="26"/>
  <c r="D90" i="26"/>
  <c r="C90" i="26"/>
  <c r="B90" i="26"/>
  <c r="H89" i="26"/>
  <c r="G89" i="26"/>
  <c r="F89" i="26"/>
  <c r="E89" i="26"/>
  <c r="D89" i="26"/>
  <c r="C89" i="26"/>
  <c r="B89" i="26"/>
  <c r="H88" i="26"/>
  <c r="G88" i="26"/>
  <c r="F88" i="26"/>
  <c r="E88" i="26"/>
  <c r="D88" i="26"/>
  <c r="C88" i="26"/>
  <c r="B88" i="26"/>
  <c r="H87" i="26"/>
  <c r="G87" i="26"/>
  <c r="F87" i="26"/>
  <c r="E87" i="26"/>
  <c r="D87" i="26"/>
  <c r="C87" i="26"/>
  <c r="B87" i="26"/>
  <c r="H86" i="26"/>
  <c r="G86" i="26"/>
  <c r="F86" i="26"/>
  <c r="E86" i="26"/>
  <c r="D86" i="26"/>
  <c r="C86" i="26"/>
  <c r="B86" i="26"/>
  <c r="G80" i="26"/>
  <c r="F80" i="26"/>
  <c r="E80" i="26"/>
  <c r="D80" i="26"/>
  <c r="C80" i="26"/>
  <c r="B80" i="26"/>
  <c r="H79" i="26"/>
  <c r="G79" i="26"/>
  <c r="F79" i="26"/>
  <c r="E79" i="26"/>
  <c r="D79" i="26"/>
  <c r="C79" i="26"/>
  <c r="B79" i="26"/>
  <c r="H78" i="26"/>
  <c r="G78" i="26"/>
  <c r="F78" i="26"/>
  <c r="E78" i="26"/>
  <c r="D78" i="26"/>
  <c r="C78" i="26"/>
  <c r="B78" i="26"/>
  <c r="H77" i="26"/>
  <c r="G77" i="26"/>
  <c r="F77" i="26"/>
  <c r="E77" i="26"/>
  <c r="D77" i="26"/>
  <c r="C77" i="26"/>
  <c r="B77" i="26"/>
  <c r="H76" i="26"/>
  <c r="G76" i="26"/>
  <c r="F76" i="26"/>
  <c r="E76" i="26"/>
  <c r="D76" i="26"/>
  <c r="C76" i="26"/>
  <c r="B76" i="26"/>
  <c r="H75" i="26"/>
  <c r="G75" i="26"/>
  <c r="F75" i="26"/>
  <c r="E75" i="26"/>
  <c r="D75" i="26"/>
  <c r="C75" i="26"/>
  <c r="B75" i="26"/>
  <c r="H74" i="26"/>
  <c r="G74" i="26"/>
  <c r="F74" i="26"/>
  <c r="E74" i="26"/>
  <c r="D74" i="26"/>
  <c r="C74" i="26"/>
  <c r="B74" i="26"/>
  <c r="H73" i="26"/>
  <c r="G73" i="26"/>
  <c r="F73" i="26"/>
  <c r="E73" i="26"/>
  <c r="D73" i="26"/>
  <c r="C73" i="26"/>
  <c r="B73" i="26"/>
  <c r="H72" i="26"/>
  <c r="G72" i="26"/>
  <c r="F72" i="26"/>
  <c r="E72" i="26"/>
  <c r="D72" i="26"/>
  <c r="C72" i="26"/>
  <c r="B72" i="26"/>
  <c r="H71" i="26"/>
  <c r="G71" i="26"/>
  <c r="F71" i="26"/>
  <c r="E71" i="26"/>
  <c r="D71" i="26"/>
  <c r="C71" i="26"/>
  <c r="B71" i="26"/>
  <c r="H70" i="26"/>
  <c r="G70" i="26"/>
  <c r="F70" i="26"/>
  <c r="E70" i="26"/>
  <c r="D70" i="26"/>
  <c r="C70" i="26"/>
  <c r="B70" i="26"/>
  <c r="H69" i="26"/>
  <c r="G69" i="26"/>
  <c r="F69" i="26"/>
  <c r="E69" i="26"/>
  <c r="D69" i="26"/>
  <c r="C69" i="26"/>
  <c r="B69" i="26"/>
  <c r="H68" i="26"/>
  <c r="G68" i="26"/>
  <c r="F68" i="26"/>
  <c r="E68" i="26"/>
  <c r="D68" i="26"/>
  <c r="C68" i="26"/>
  <c r="B68" i="26"/>
  <c r="H67" i="26"/>
  <c r="G67" i="26"/>
  <c r="F67" i="26"/>
  <c r="E67" i="26"/>
  <c r="D67" i="26"/>
  <c r="C67" i="26"/>
  <c r="B67" i="26"/>
  <c r="H66" i="26"/>
  <c r="G66" i="26"/>
  <c r="F66" i="26"/>
  <c r="E66" i="26"/>
  <c r="D66" i="26"/>
  <c r="C66" i="26"/>
  <c r="B66" i="26"/>
  <c r="G60" i="26"/>
  <c r="F60" i="26"/>
  <c r="E60" i="26"/>
  <c r="D60" i="26"/>
  <c r="C60" i="26"/>
  <c r="B60" i="26"/>
  <c r="H59" i="26"/>
  <c r="G59" i="26"/>
  <c r="F59" i="26"/>
  <c r="E59" i="26"/>
  <c r="D59" i="26"/>
  <c r="C59" i="26"/>
  <c r="B59" i="26"/>
  <c r="H58" i="26"/>
  <c r="G58" i="26"/>
  <c r="F58" i="26"/>
  <c r="E58" i="26"/>
  <c r="D58" i="26"/>
  <c r="C58" i="26"/>
  <c r="B58" i="26"/>
  <c r="H57" i="26"/>
  <c r="G57" i="26"/>
  <c r="F57" i="26"/>
  <c r="E57" i="26"/>
  <c r="D57" i="26"/>
  <c r="C57" i="26"/>
  <c r="B57" i="26"/>
  <c r="H56" i="26"/>
  <c r="G56" i="26"/>
  <c r="F56" i="26"/>
  <c r="E56" i="26"/>
  <c r="D56" i="26"/>
  <c r="C56" i="26"/>
  <c r="B56" i="26"/>
  <c r="H55" i="26"/>
  <c r="G55" i="26"/>
  <c r="F55" i="26"/>
  <c r="E55" i="26"/>
  <c r="D55" i="26"/>
  <c r="C55" i="26"/>
  <c r="B55" i="26"/>
  <c r="H54" i="26"/>
  <c r="G54" i="26"/>
  <c r="F54" i="26"/>
  <c r="E54" i="26"/>
  <c r="D54" i="26"/>
  <c r="C54" i="26"/>
  <c r="B54" i="26"/>
  <c r="H53" i="26"/>
  <c r="G53" i="26"/>
  <c r="F53" i="26"/>
  <c r="E53" i="26"/>
  <c r="D53" i="26"/>
  <c r="C53" i="26"/>
  <c r="B53" i="26"/>
  <c r="H52" i="26"/>
  <c r="G52" i="26"/>
  <c r="F52" i="26"/>
  <c r="E52" i="26"/>
  <c r="D52" i="26"/>
  <c r="C52" i="26"/>
  <c r="B52" i="26"/>
  <c r="H51" i="26"/>
  <c r="G51" i="26"/>
  <c r="F51" i="26"/>
  <c r="E51" i="26"/>
  <c r="D51" i="26"/>
  <c r="C51" i="26"/>
  <c r="B51" i="26"/>
  <c r="H50" i="26"/>
  <c r="G50" i="26"/>
  <c r="F50" i="26"/>
  <c r="E50" i="26"/>
  <c r="D50" i="26"/>
  <c r="C50" i="26"/>
  <c r="B50" i="26"/>
  <c r="H49" i="26"/>
  <c r="G49" i="26"/>
  <c r="F49" i="26"/>
  <c r="E49" i="26"/>
  <c r="D49" i="26"/>
  <c r="C49" i="26"/>
  <c r="B49" i="26"/>
  <c r="H48" i="26"/>
  <c r="G48" i="26"/>
  <c r="F48" i="26"/>
  <c r="E48" i="26"/>
  <c r="D48" i="26"/>
  <c r="C48" i="26"/>
  <c r="B48" i="26"/>
  <c r="H47" i="26"/>
  <c r="G47" i="26"/>
  <c r="F47" i="26"/>
  <c r="E47" i="26"/>
  <c r="D47" i="26"/>
  <c r="C47" i="26"/>
  <c r="B47" i="26"/>
  <c r="H46" i="26"/>
  <c r="G46" i="26"/>
  <c r="F46" i="26"/>
  <c r="E46" i="26"/>
  <c r="D46" i="26"/>
  <c r="C46" i="26"/>
  <c r="B46" i="26"/>
  <c r="G40" i="26"/>
  <c r="F40" i="26"/>
  <c r="E40" i="26"/>
  <c r="D40" i="26"/>
  <c r="C40" i="26"/>
  <c r="B40" i="26"/>
  <c r="H39" i="26"/>
  <c r="G39" i="26"/>
  <c r="F39" i="26"/>
  <c r="E39" i="26"/>
  <c r="D39" i="26"/>
  <c r="C39" i="26"/>
  <c r="B39" i="26"/>
  <c r="H38" i="26"/>
  <c r="G38" i="26"/>
  <c r="F38" i="26"/>
  <c r="E38" i="26"/>
  <c r="D38" i="26"/>
  <c r="C38" i="26"/>
  <c r="B38" i="26"/>
  <c r="H37" i="26"/>
  <c r="G37" i="26"/>
  <c r="F37" i="26"/>
  <c r="E37" i="26"/>
  <c r="D37" i="26"/>
  <c r="C37" i="26"/>
  <c r="B37" i="26"/>
  <c r="H36" i="26"/>
  <c r="G36" i="26"/>
  <c r="F36" i="26"/>
  <c r="E36" i="26"/>
  <c r="D36" i="26"/>
  <c r="C36" i="26"/>
  <c r="B36" i="26"/>
  <c r="H35" i="26"/>
  <c r="G35" i="26"/>
  <c r="F35" i="26"/>
  <c r="E35" i="26"/>
  <c r="D35" i="26"/>
  <c r="C35" i="26"/>
  <c r="B35" i="26"/>
  <c r="H34" i="26"/>
  <c r="G34" i="26"/>
  <c r="F34" i="26"/>
  <c r="E34" i="26"/>
  <c r="D34" i="26"/>
  <c r="C34" i="26"/>
  <c r="B34" i="26"/>
  <c r="H33" i="26"/>
  <c r="G33" i="26"/>
  <c r="F33" i="26"/>
  <c r="E33" i="26"/>
  <c r="D33" i="26"/>
  <c r="C33" i="26"/>
  <c r="B33" i="26"/>
  <c r="H32" i="26"/>
  <c r="G32" i="26"/>
  <c r="F32" i="26"/>
  <c r="E32" i="26"/>
  <c r="D32" i="26"/>
  <c r="C32" i="26"/>
  <c r="B32" i="26"/>
  <c r="H31" i="26"/>
  <c r="G31" i="26"/>
  <c r="F31" i="26"/>
  <c r="E31" i="26"/>
  <c r="D31" i="26"/>
  <c r="C31" i="26"/>
  <c r="B31" i="26"/>
  <c r="H30" i="26"/>
  <c r="G30" i="26"/>
  <c r="F30" i="26"/>
  <c r="E30" i="26"/>
  <c r="D30" i="26"/>
  <c r="C30" i="26"/>
  <c r="B30" i="26"/>
  <c r="H29" i="26"/>
  <c r="G29" i="26"/>
  <c r="F29" i="26"/>
  <c r="E29" i="26"/>
  <c r="D29" i="26"/>
  <c r="C29" i="26"/>
  <c r="B29" i="26"/>
  <c r="H28" i="26"/>
  <c r="G28" i="26"/>
  <c r="F28" i="26"/>
  <c r="E28" i="26"/>
  <c r="D28" i="26"/>
  <c r="C28" i="26"/>
  <c r="B28" i="26"/>
  <c r="H27" i="26"/>
  <c r="G27" i="26"/>
  <c r="F27" i="26"/>
  <c r="E27" i="26"/>
  <c r="D27" i="26"/>
  <c r="C27" i="26"/>
  <c r="B27" i="26"/>
  <c r="H26" i="26"/>
  <c r="G26" i="26"/>
  <c r="F26" i="26"/>
  <c r="E26" i="26"/>
  <c r="D26" i="26"/>
  <c r="C26" i="26"/>
  <c r="B26" i="26"/>
  <c r="G20" i="26"/>
  <c r="F20" i="26"/>
  <c r="E20" i="26"/>
  <c r="D20" i="26"/>
  <c r="C20" i="26"/>
  <c r="B20" i="26"/>
  <c r="H19" i="26"/>
  <c r="G19" i="26"/>
  <c r="F19" i="26"/>
  <c r="E19" i="26"/>
  <c r="D19" i="26"/>
  <c r="C19" i="26"/>
  <c r="B19" i="26"/>
  <c r="H18" i="26"/>
  <c r="G18" i="26"/>
  <c r="F18" i="26"/>
  <c r="E18" i="26"/>
  <c r="D18" i="26"/>
  <c r="C18" i="26"/>
  <c r="B18" i="26"/>
  <c r="H17" i="26"/>
  <c r="G17" i="26"/>
  <c r="F17" i="26"/>
  <c r="E17" i="26"/>
  <c r="D17" i="26"/>
  <c r="C17" i="26"/>
  <c r="B17" i="26"/>
  <c r="H16" i="26"/>
  <c r="G16" i="26"/>
  <c r="F16" i="26"/>
  <c r="E16" i="26"/>
  <c r="D16" i="26"/>
  <c r="C16" i="26"/>
  <c r="B16" i="26"/>
  <c r="H15" i="26"/>
  <c r="G15" i="26"/>
  <c r="F15" i="26"/>
  <c r="E15" i="26"/>
  <c r="D15" i="26"/>
  <c r="C15" i="26"/>
  <c r="B15" i="26"/>
  <c r="H14" i="26"/>
  <c r="G14" i="26"/>
  <c r="F14" i="26"/>
  <c r="E14" i="26"/>
  <c r="D14" i="26"/>
  <c r="C14" i="26"/>
  <c r="B14" i="26"/>
  <c r="H13" i="26"/>
  <c r="G13" i="26"/>
  <c r="F13" i="26"/>
  <c r="E13" i="26"/>
  <c r="D13" i="26"/>
  <c r="C13" i="26"/>
  <c r="B13" i="26"/>
  <c r="H12" i="26"/>
  <c r="G12" i="26"/>
  <c r="F12" i="26"/>
  <c r="E12" i="26"/>
  <c r="D12" i="26"/>
  <c r="C12" i="26"/>
  <c r="B12" i="26"/>
  <c r="H11" i="26"/>
  <c r="G11" i="26"/>
  <c r="F11" i="26"/>
  <c r="E11" i="26"/>
  <c r="D11" i="26"/>
  <c r="C11" i="26"/>
  <c r="B11" i="26"/>
  <c r="H10" i="26"/>
  <c r="G10" i="26"/>
  <c r="F10" i="26"/>
  <c r="E10" i="26"/>
  <c r="D10" i="26"/>
  <c r="C10" i="26"/>
  <c r="B10" i="26"/>
  <c r="H9" i="26"/>
  <c r="G9" i="26"/>
  <c r="F9" i="26"/>
  <c r="E9" i="26"/>
  <c r="D9" i="26"/>
  <c r="C9" i="26"/>
  <c r="B9" i="26"/>
  <c r="H8" i="26"/>
  <c r="G8" i="26"/>
  <c r="F8" i="26"/>
  <c r="E8" i="26"/>
  <c r="D8" i="26"/>
  <c r="C8" i="26"/>
  <c r="B8" i="26"/>
  <c r="H7" i="26"/>
  <c r="G7" i="26"/>
  <c r="F7" i="26"/>
  <c r="E7" i="26"/>
  <c r="D7" i="26"/>
  <c r="C7" i="26"/>
  <c r="B7" i="26"/>
  <c r="H6" i="26"/>
  <c r="G6" i="26"/>
  <c r="F6" i="26"/>
  <c r="E6" i="26"/>
  <c r="D6" i="26"/>
  <c r="C6" i="26"/>
  <c r="B6" i="26"/>
  <c r="AC33" i="36"/>
  <c r="AB33" i="36"/>
  <c r="AC24" i="36"/>
  <c r="AB24" i="36"/>
  <c r="N24" i="36"/>
  <c r="M24" i="36"/>
  <c r="L24" i="36"/>
  <c r="G19" i="36"/>
  <c r="K16" i="36"/>
  <c r="AC4" i="36"/>
  <c r="AB4" i="36"/>
  <c r="A41" i="18"/>
  <c r="A40" i="18"/>
  <c r="A39" i="18"/>
  <c r="U4" i="22"/>
  <c r="T4" i="22"/>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C56" i="15"/>
  <c r="B56" i="15"/>
  <c r="AX25"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C20" i="15"/>
  <c r="B20" i="15"/>
  <c r="AV14" i="15"/>
  <c r="AU14" i="15"/>
  <c r="AZ8" i="15"/>
  <c r="AQ4" i="15"/>
  <c r="AJ4" i="15"/>
  <c r="AI4" i="15"/>
  <c r="AJ45" i="13"/>
  <c r="AI45" i="13"/>
  <c r="AJ33" i="13"/>
  <c r="AI33" i="13"/>
  <c r="AJ18" i="13"/>
  <c r="AI18" i="13"/>
  <c r="M20" i="38"/>
  <c r="L20" i="38"/>
  <c r="K20" i="38"/>
  <c r="J20" i="38"/>
  <c r="I20" i="38"/>
  <c r="H20" i="38"/>
  <c r="G20" i="38"/>
  <c r="F20" i="38"/>
  <c r="E20" i="38"/>
  <c r="D20" i="38"/>
  <c r="X1102" i="9"/>
  <c r="X1103" i="9" s="1"/>
  <c r="V1102" i="9"/>
  <c r="V1103" i="9" s="1"/>
  <c r="U1102" i="9"/>
  <c r="U1103" i="9" s="1"/>
  <c r="T1102" i="9"/>
  <c r="T1103" i="9" s="1"/>
  <c r="S1102" i="9"/>
  <c r="S1103" i="9" s="1"/>
  <c r="R1102" i="9"/>
  <c r="R1103" i="9" s="1"/>
  <c r="AJ4" i="13"/>
  <c r="AI4" i="13"/>
  <c r="B239" i="11"/>
  <c r="B238" i="11"/>
  <c r="B237" i="11"/>
  <c r="B236" i="11"/>
  <c r="B235" i="11"/>
  <c r="B234" i="11"/>
  <c r="B229" i="11"/>
  <c r="B228" i="11"/>
  <c r="B227" i="11"/>
  <c r="B226" i="11"/>
  <c r="B225" i="11"/>
  <c r="B224" i="11"/>
  <c r="B223" i="11"/>
  <c r="B222" i="11"/>
  <c r="B221" i="11"/>
  <c r="B220" i="11"/>
  <c r="B219" i="11"/>
  <c r="B213" i="11"/>
  <c r="B211" i="11"/>
  <c r="B210" i="11"/>
  <c r="B209" i="11"/>
  <c r="B208" i="11"/>
  <c r="B207" i="11"/>
  <c r="B201" i="11"/>
  <c r="B200" i="11"/>
  <c r="B199" i="11"/>
  <c r="B198" i="11"/>
  <c r="B197" i="11"/>
  <c r="B196" i="11"/>
  <c r="B190" i="11"/>
  <c r="B189" i="11"/>
  <c r="B188" i="11"/>
  <c r="B187" i="11"/>
  <c r="B186" i="11"/>
  <c r="B185" i="11"/>
  <c r="B184" i="11"/>
  <c r="B176" i="11"/>
  <c r="B174" i="11"/>
  <c r="B173" i="11"/>
  <c r="B172" i="11"/>
  <c r="B171" i="11"/>
  <c r="B170" i="11"/>
  <c r="F163" i="11"/>
  <c r="B162" i="11"/>
  <c r="F161" i="11"/>
  <c r="B160" i="11"/>
  <c r="F159" i="11"/>
  <c r="B158" i="11"/>
  <c r="B152" i="11"/>
  <c r="B151" i="11"/>
  <c r="B150" i="11"/>
  <c r="B149" i="11"/>
  <c r="B148" i="11"/>
  <c r="B147" i="11"/>
  <c r="B146" i="11"/>
  <c r="B139" i="11"/>
  <c r="B138" i="11"/>
  <c r="B137" i="11"/>
  <c r="B136" i="11"/>
  <c r="B135" i="11"/>
  <c r="B134" i="11"/>
  <c r="B133" i="11"/>
  <c r="B126" i="11"/>
  <c r="B125" i="11"/>
  <c r="B124" i="11"/>
  <c r="B123" i="11"/>
  <c r="B122" i="11"/>
  <c r="B121" i="11"/>
  <c r="B120" i="11"/>
  <c r="B112" i="11"/>
  <c r="B111" i="11"/>
  <c r="B110" i="11"/>
  <c r="B109" i="11"/>
  <c r="B108" i="11"/>
  <c r="B107" i="11"/>
  <c r="B106" i="11"/>
  <c r="B97" i="11"/>
  <c r="B96" i="11"/>
  <c r="B95" i="11"/>
  <c r="B94" i="11"/>
  <c r="B93" i="11"/>
  <c r="B92" i="11"/>
  <c r="B91" i="11"/>
  <c r="B82" i="11"/>
  <c r="B81" i="11"/>
  <c r="B80" i="11"/>
  <c r="B79" i="11"/>
  <c r="B78" i="11"/>
  <c r="B77" i="11"/>
  <c r="B76" i="11"/>
  <c r="B68" i="11"/>
  <c r="B67" i="11"/>
  <c r="B66" i="11"/>
  <c r="B65" i="11"/>
  <c r="B64" i="11"/>
  <c r="B63" i="11"/>
  <c r="B62" i="11"/>
  <c r="B61" i="11"/>
  <c r="B48" i="11"/>
  <c r="B47" i="11"/>
  <c r="B46" i="11"/>
  <c r="B45" i="11"/>
  <c r="B44" i="11"/>
  <c r="B43" i="11"/>
  <c r="B42" i="11"/>
  <c r="B41" i="11"/>
  <c r="B28" i="11"/>
  <c r="B27" i="11"/>
  <c r="B26" i="11"/>
  <c r="B25" i="11"/>
  <c r="B24" i="11"/>
  <c r="B23" i="11"/>
  <c r="B22" i="11"/>
  <c r="B21" i="11"/>
  <c r="B20" i="11"/>
  <c r="B19" i="11"/>
  <c r="B18" i="11"/>
  <c r="B17" i="11"/>
  <c r="B16" i="11"/>
  <c r="B15" i="11"/>
  <c r="AC52" i="20"/>
  <c r="AB52" i="20"/>
  <c r="AA52" i="20"/>
  <c r="Z52" i="20"/>
  <c r="Y52" i="20"/>
  <c r="X52" i="20"/>
  <c r="W52" i="20"/>
  <c r="V52" i="20"/>
  <c r="U52" i="20"/>
  <c r="T52" i="20"/>
  <c r="S52" i="20"/>
  <c r="R52" i="20"/>
  <c r="Q52" i="20"/>
  <c r="L52" i="20"/>
  <c r="AH52" i="20"/>
  <c r="AG52" i="20"/>
  <c r="G48" i="20"/>
  <c r="B48" i="20"/>
  <c r="AK47" i="20"/>
  <c r="G47" i="20"/>
  <c r="B47" i="20"/>
  <c r="AK46" i="20"/>
  <c r="AC64" i="20"/>
  <c r="AB64" i="20"/>
  <c r="AA64" i="20"/>
  <c r="Z64" i="20"/>
  <c r="Y64" i="20"/>
  <c r="X64" i="20"/>
  <c r="W64" i="20"/>
  <c r="V64" i="20"/>
  <c r="U64" i="20"/>
  <c r="T64" i="20"/>
  <c r="S64" i="20"/>
  <c r="R64" i="20"/>
  <c r="Q64" i="20"/>
  <c r="L64" i="20"/>
  <c r="AE34" i="1"/>
  <c r="AC63" i="20"/>
  <c r="AB63" i="20"/>
  <c r="AA63" i="20"/>
  <c r="Y63" i="20"/>
  <c r="X63" i="20"/>
  <c r="W63" i="20"/>
  <c r="U63" i="20"/>
  <c r="T63" i="20"/>
  <c r="S63" i="20"/>
  <c r="Q63" i="20"/>
  <c r="O34" i="1"/>
  <c r="N34" i="1"/>
  <c r="M34" i="1"/>
  <c r="L63" i="20"/>
  <c r="K34" i="1"/>
  <c r="J34" i="1"/>
  <c r="I34" i="1"/>
  <c r="H34" i="1"/>
  <c r="G34" i="1"/>
  <c r="F34" i="1"/>
  <c r="E34" i="1"/>
  <c r="D34" i="1"/>
  <c r="C34" i="1"/>
  <c r="AJ33" i="1"/>
  <c r="AI33" i="1"/>
  <c r="AC62" i="20"/>
  <c r="AB62" i="20"/>
  <c r="AA62" i="20"/>
  <c r="Z62" i="20"/>
  <c r="Y62" i="20"/>
  <c r="X62" i="20"/>
  <c r="U62" i="20"/>
  <c r="T62" i="20"/>
  <c r="S62" i="20"/>
  <c r="R62" i="20"/>
  <c r="Q62" i="20"/>
  <c r="P33" i="1"/>
  <c r="O33" i="1"/>
  <c r="N33" i="1"/>
  <c r="M33" i="1"/>
  <c r="L62" i="20"/>
  <c r="K33" i="1"/>
  <c r="J33" i="1"/>
  <c r="I33" i="1"/>
  <c r="H33" i="1"/>
  <c r="F33" i="1"/>
  <c r="E33" i="1"/>
  <c r="D33" i="1"/>
  <c r="B62" i="20"/>
  <c r="AJ32" i="1"/>
  <c r="AI32" i="1"/>
  <c r="AE32" i="1"/>
  <c r="AD32" i="1"/>
  <c r="AC61" i="20"/>
  <c r="AB61" i="20"/>
  <c r="AA32" i="1"/>
  <c r="Y61" i="20"/>
  <c r="X61" i="20"/>
  <c r="W61" i="20"/>
  <c r="V61" i="20"/>
  <c r="U61" i="20"/>
  <c r="T61" i="20"/>
  <c r="S32" i="1"/>
  <c r="Q61" i="20"/>
  <c r="P32" i="1"/>
  <c r="O32" i="1"/>
  <c r="N32" i="1"/>
  <c r="M32" i="1"/>
  <c r="L61" i="20"/>
  <c r="K32" i="1"/>
  <c r="J32" i="1"/>
  <c r="I32" i="1"/>
  <c r="H32" i="1"/>
  <c r="G61" i="20"/>
  <c r="F32" i="1"/>
  <c r="E32" i="1"/>
  <c r="D32" i="1"/>
  <c r="C32" i="1"/>
  <c r="AI31" i="1"/>
  <c r="AH31" i="1"/>
  <c r="AC60" i="20"/>
  <c r="AB60" i="20"/>
  <c r="AA60" i="20"/>
  <c r="Z60" i="20"/>
  <c r="Y60" i="20"/>
  <c r="X60" i="20"/>
  <c r="V60" i="20"/>
  <c r="U60" i="20"/>
  <c r="T60" i="20"/>
  <c r="S60" i="20"/>
  <c r="R60" i="20"/>
  <c r="Q60" i="20"/>
  <c r="P31" i="1"/>
  <c r="O31" i="1"/>
  <c r="N31" i="1"/>
  <c r="M31" i="1"/>
  <c r="L60" i="20"/>
  <c r="K31" i="1"/>
  <c r="J31" i="1"/>
  <c r="I31" i="1"/>
  <c r="H31" i="1"/>
  <c r="F31" i="1"/>
  <c r="E31" i="1"/>
  <c r="D31" i="1"/>
  <c r="C31" i="1"/>
  <c r="B60" i="20"/>
  <c r="AJ59" i="20"/>
  <c r="AI59" i="20"/>
  <c r="AG59" i="20"/>
  <c r="AF59" i="20"/>
  <c r="AE59" i="20"/>
  <c r="AC59" i="20"/>
  <c r="AB59" i="20"/>
  <c r="AA59" i="20"/>
  <c r="Y59" i="20"/>
  <c r="X59" i="20"/>
  <c r="W59" i="20"/>
  <c r="U59" i="20"/>
  <c r="T59" i="20"/>
  <c r="S59" i="20"/>
  <c r="Q59" i="20"/>
  <c r="P29" i="1"/>
  <c r="O29" i="1"/>
  <c r="N29" i="1"/>
  <c r="M29" i="1"/>
  <c r="L59" i="20"/>
  <c r="K29" i="1"/>
  <c r="J29" i="1"/>
  <c r="I29" i="1"/>
  <c r="H29" i="1"/>
  <c r="G59" i="20"/>
  <c r="F29" i="1"/>
  <c r="E29" i="1"/>
  <c r="D29" i="1"/>
  <c r="C29" i="1"/>
  <c r="AK68" i="1"/>
  <c r="AA68" i="1"/>
  <c r="S68" i="1"/>
  <c r="K68" i="1"/>
  <c r="C68" i="1"/>
  <c r="A68" i="1"/>
  <c r="AR88" i="1"/>
  <c r="AQ88" i="1"/>
  <c r="AP88" i="1"/>
  <c r="AO88" i="1"/>
  <c r="AY46" i="1"/>
  <c r="AW46" i="1"/>
  <c r="C28" i="42" s="1"/>
  <c r="BA44" i="1"/>
  <c r="AZ44" i="1"/>
  <c r="AY44" i="1"/>
  <c r="AX44" i="1"/>
  <c r="AW44" i="1"/>
  <c r="P34" i="1"/>
  <c r="A34" i="1"/>
  <c r="AA33" i="1"/>
  <c r="C33" i="1"/>
  <c r="A33" i="1"/>
  <c r="AF32" i="1"/>
  <c r="V32" i="1"/>
  <c r="A32" i="1"/>
  <c r="A31" i="1"/>
  <c r="A29" i="1"/>
  <c r="A26" i="1"/>
  <c r="A25" i="1"/>
  <c r="A24" i="1"/>
  <c r="A22" i="1"/>
  <c r="AH21" i="1"/>
  <c r="AH44" i="1" s="1"/>
  <c r="AG21" i="1"/>
  <c r="AG68" i="1" s="1"/>
  <c r="AF21" i="1"/>
  <c r="AF68" i="1" s="1"/>
  <c r="AE21" i="1"/>
  <c r="AE68" i="1" s="1"/>
  <c r="AD21" i="1"/>
  <c r="AD44" i="1" s="1"/>
  <c r="AC21" i="1"/>
  <c r="AC68" i="1" s="1"/>
  <c r="AB21" i="1"/>
  <c r="AB44" i="1" s="1"/>
  <c r="AA21" i="1"/>
  <c r="AA44" i="1" s="1"/>
  <c r="Z21" i="1"/>
  <c r="Z44" i="1" s="1"/>
  <c r="Y21" i="1"/>
  <c r="Y68" i="1" s="1"/>
  <c r="X21" i="1"/>
  <c r="X68" i="1" s="1"/>
  <c r="W21" i="1"/>
  <c r="W68" i="1" s="1"/>
  <c r="V21" i="1"/>
  <c r="V44" i="1" s="1"/>
  <c r="U21" i="1"/>
  <c r="U68" i="1" s="1"/>
  <c r="T21" i="1"/>
  <c r="T44" i="1" s="1"/>
  <c r="S21" i="1"/>
  <c r="S44" i="1" s="1"/>
  <c r="R21" i="1"/>
  <c r="R44" i="1" s="1"/>
  <c r="Q21" i="1"/>
  <c r="Q68" i="1" s="1"/>
  <c r="P21" i="1"/>
  <c r="P68" i="1" s="1"/>
  <c r="O21" i="1"/>
  <c r="O68" i="1" s="1"/>
  <c r="N21" i="1"/>
  <c r="N44" i="1" s="1"/>
  <c r="M21" i="1"/>
  <c r="M68" i="1" s="1"/>
  <c r="L21" i="1"/>
  <c r="L44" i="1" s="1"/>
  <c r="K21" i="1"/>
  <c r="K44" i="1" s="1"/>
  <c r="J21" i="1"/>
  <c r="J44" i="1" s="1"/>
  <c r="I21" i="1"/>
  <c r="I68" i="1" s="1"/>
  <c r="H21" i="1"/>
  <c r="H68" i="1" s="1"/>
  <c r="G21" i="1"/>
  <c r="G68" i="1" s="1"/>
  <c r="F21" i="1"/>
  <c r="F68" i="1" s="1"/>
  <c r="E21" i="1"/>
  <c r="E68" i="1" s="1"/>
  <c r="D21" i="1"/>
  <c r="D44" i="1" s="1"/>
  <c r="C21" i="1"/>
  <c r="C44" i="1" s="1"/>
  <c r="B21" i="1"/>
  <c r="B44" i="1" s="1"/>
  <c r="AI4" i="1"/>
  <c r="AI21" i="1" s="1"/>
  <c r="AF34" i="4"/>
  <c r="X34" i="4"/>
  <c r="AJ24" i="4"/>
  <c r="AI24" i="4"/>
  <c r="AJ21" i="4"/>
  <c r="AI21" i="4"/>
  <c r="AJ14" i="4"/>
  <c r="AI14" i="4"/>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J12" i="4"/>
  <c r="AJ26" i="19" s="1"/>
  <c r="AI12" i="4"/>
  <c r="AI26" i="19" s="1"/>
  <c r="AI28" i="19" s="1"/>
  <c r="AI31" i="19" s="1"/>
  <c r="AI33" i="19" s="1"/>
  <c r="AI35" i="19" s="1"/>
  <c r="AG12" i="4"/>
  <c r="AG26" i="19" s="1"/>
  <c r="AG28" i="19" s="1"/>
  <c r="AG31" i="19" s="1"/>
  <c r="AG33" i="19" s="1"/>
  <c r="AG35" i="19" s="1"/>
  <c r="AF12" i="4"/>
  <c r="AF26" i="19" s="1"/>
  <c r="AF28" i="19" s="1"/>
  <c r="AF31" i="19" s="1"/>
  <c r="AF33" i="19" s="1"/>
  <c r="AF35" i="19" s="1"/>
  <c r="AJ28" i="4"/>
  <c r="AI28" i="4"/>
  <c r="AH28" i="4"/>
  <c r="AG28" i="4"/>
  <c r="AF28" i="4"/>
  <c r="AE28" i="4"/>
  <c r="AD28" i="4"/>
  <c r="AC28" i="4"/>
  <c r="AB28" i="4"/>
  <c r="AA28" i="4"/>
  <c r="Z28" i="4"/>
  <c r="Y28" i="4"/>
  <c r="X28" i="4"/>
  <c r="W28" i="4"/>
  <c r="V28" i="4"/>
  <c r="U28" i="4"/>
  <c r="T28" i="4"/>
  <c r="S28" i="4"/>
  <c r="R28" i="4"/>
  <c r="Q28" i="4"/>
  <c r="AJ27" i="4"/>
  <c r="AI27" i="4"/>
  <c r="AH27" i="4"/>
  <c r="AG27" i="4"/>
  <c r="AF27" i="4"/>
  <c r="AE27" i="4"/>
  <c r="AD27" i="4"/>
  <c r="AC27" i="4"/>
  <c r="AB27" i="4"/>
  <c r="AA27" i="4"/>
  <c r="Z27" i="4"/>
  <c r="Y27" i="4"/>
  <c r="X27" i="4"/>
  <c r="W27" i="4"/>
  <c r="V27" i="4"/>
  <c r="U27" i="4"/>
  <c r="T27" i="4"/>
  <c r="S27" i="4"/>
  <c r="R27" i="4"/>
  <c r="Q27" i="4"/>
  <c r="Y25" i="4"/>
  <c r="U30" i="1"/>
  <c r="M30" i="1"/>
  <c r="E30" i="1"/>
  <c r="AJ4" i="4"/>
  <c r="AI4" i="4"/>
  <c r="AJ34" i="19"/>
  <c r="AI34" i="19"/>
  <c r="AH34" i="19"/>
  <c r="AG34" i="19"/>
  <c r="AF34" i="19"/>
  <c r="AA34" i="19"/>
  <c r="V34" i="19"/>
  <c r="Q34" i="19"/>
  <c r="L34" i="19"/>
  <c r="I32" i="19"/>
  <c r="AI30" i="19"/>
  <c r="AH28" i="19"/>
  <c r="AH31" i="19" s="1"/>
  <c r="AH33" i="19" s="1"/>
  <c r="AH35" i="19" s="1"/>
  <c r="T27" i="19"/>
  <c r="J27" i="19"/>
  <c r="B27" i="19"/>
  <c r="AH26" i="19"/>
  <c r="AE26" i="19"/>
  <c r="AD26" i="19"/>
  <c r="AC26" i="19"/>
  <c r="AB26" i="19"/>
  <c r="AA26" i="19"/>
  <c r="AB32" i="19" s="1"/>
  <c r="Z26" i="19"/>
  <c r="Y26" i="19"/>
  <c r="X26" i="19"/>
  <c r="W26" i="19"/>
  <c r="V26" i="19"/>
  <c r="Z32" i="19" s="1"/>
  <c r="U26" i="19"/>
  <c r="T26" i="19"/>
  <c r="T28" i="19" s="1"/>
  <c r="T31" i="19" s="1"/>
  <c r="S26" i="19"/>
  <c r="R26" i="19"/>
  <c r="Q26" i="19"/>
  <c r="R32" i="19" s="1"/>
  <c r="P26" i="19"/>
  <c r="O26" i="19"/>
  <c r="N26" i="19"/>
  <c r="M26" i="19"/>
  <c r="L26" i="19"/>
  <c r="H32" i="19" s="1"/>
  <c r="K26" i="19"/>
  <c r="J26" i="19"/>
  <c r="J28" i="19" s="1"/>
  <c r="J31" i="19" s="1"/>
  <c r="I26" i="19"/>
  <c r="H26" i="19"/>
  <c r="G26" i="19"/>
  <c r="F26" i="19"/>
  <c r="E26" i="19"/>
  <c r="D26" i="19"/>
  <c r="C26" i="19"/>
  <c r="B26" i="19"/>
  <c r="B28" i="19" s="1"/>
  <c r="B31" i="19" s="1"/>
  <c r="AJ29" i="4"/>
  <c r="AI29" i="4"/>
  <c r="AH29" i="4"/>
  <c r="AG29" i="4"/>
  <c r="AF29" i="4"/>
  <c r="AE29" i="4"/>
  <c r="AD29" i="4"/>
  <c r="AC29" i="4"/>
  <c r="AB29" i="4"/>
  <c r="AA29" i="4"/>
  <c r="Z29" i="4"/>
  <c r="Y29" i="4"/>
  <c r="X29" i="4"/>
  <c r="W29" i="4"/>
  <c r="V29" i="4"/>
  <c r="U29" i="4"/>
  <c r="T29" i="4"/>
  <c r="S29" i="4"/>
  <c r="R29" i="4"/>
  <c r="Q29" i="4"/>
  <c r="AD43" i="6"/>
  <c r="AC43" i="6"/>
  <c r="AB43" i="6"/>
  <c r="AB46" i="6" s="1"/>
  <c r="AA43" i="6"/>
  <c r="AA46" i="6" s="1"/>
  <c r="V43" i="6"/>
  <c r="U43" i="6"/>
  <c r="T43" i="6"/>
  <c r="T46" i="6" s="1"/>
  <c r="S43" i="6"/>
  <c r="S46" i="6" s="1"/>
  <c r="R43" i="6"/>
  <c r="Q43" i="6"/>
  <c r="P43" i="6"/>
  <c r="O43" i="6"/>
  <c r="N43" i="6"/>
  <c r="M43" i="6"/>
  <c r="L43" i="6"/>
  <c r="L46" i="6" s="1"/>
  <c r="K43" i="6"/>
  <c r="K46" i="6" s="1"/>
  <c r="J43" i="6"/>
  <c r="J46" i="6" s="1"/>
  <c r="AJ4" i="19"/>
  <c r="AI4" i="19"/>
  <c r="A69" i="42"/>
  <c r="A66" i="42"/>
  <c r="A65" i="42"/>
  <c r="A64" i="42"/>
  <c r="A63" i="42"/>
  <c r="A62" i="42"/>
  <c r="A61" i="42"/>
  <c r="A60" i="42"/>
  <c r="A59" i="42"/>
  <c r="A58" i="42"/>
  <c r="A56" i="42"/>
  <c r="A55" i="42"/>
  <c r="A54" i="42"/>
  <c r="C33" i="42"/>
  <c r="E32" i="42"/>
  <c r="C32" i="42"/>
  <c r="E28" i="42"/>
  <c r="B22" i="42"/>
  <c r="E15" i="42"/>
  <c r="E11" i="42"/>
  <c r="C11" i="42"/>
  <c r="F146" i="33" l="1"/>
  <c r="AD52" i="20"/>
  <c r="G29" i="1"/>
  <c r="G124" i="33"/>
  <c r="F157" i="33"/>
  <c r="AA160" i="24"/>
  <c r="AA159" i="24"/>
  <c r="AA163" i="24"/>
  <c r="F135" i="33"/>
  <c r="AA162" i="24"/>
  <c r="AA161" i="24" s="1"/>
  <c r="AC143" i="24"/>
  <c r="AB162" i="24"/>
  <c r="AB161" i="24" s="1"/>
  <c r="AD162" i="24"/>
  <c r="AD161" i="24" s="1"/>
  <c r="AB143" i="24"/>
  <c r="AC162" i="24"/>
  <c r="AC161" i="24" s="1"/>
  <c r="AB142" i="24"/>
  <c r="AB160" i="24"/>
  <c r="AD143" i="24"/>
  <c r="AD10" i="24"/>
  <c r="Q32" i="1"/>
  <c r="Q79" i="1" s="1"/>
  <c r="AC142" i="24"/>
  <c r="AC160" i="24"/>
  <c r="AB141" i="24"/>
  <c r="AB10" i="24"/>
  <c r="AB159" i="24"/>
  <c r="AC141" i="24"/>
  <c r="AC10" i="24"/>
  <c r="AC159" i="24"/>
  <c r="AB144" i="24"/>
  <c r="AB163" i="24"/>
  <c r="AC144" i="24"/>
  <c r="AC163" i="24"/>
  <c r="AD144" i="24"/>
  <c r="AD163" i="24"/>
  <c r="N36" i="13"/>
  <c r="C37" i="13"/>
  <c r="K37" i="13"/>
  <c r="S37" i="13"/>
  <c r="AA37" i="13"/>
  <c r="I48" i="6"/>
  <c r="J48" i="6"/>
  <c r="I85" i="1"/>
  <c r="Q85" i="1"/>
  <c r="Y85" i="1"/>
  <c r="X31" i="1"/>
  <c r="X78" i="1" s="1"/>
  <c r="AG61" i="20"/>
  <c r="F133" i="33"/>
  <c r="Q86" i="1"/>
  <c r="Y86" i="1"/>
  <c r="AG62" i="20"/>
  <c r="H82" i="1"/>
  <c r="P82" i="1"/>
  <c r="X82" i="1"/>
  <c r="AF82" i="1"/>
  <c r="AC32" i="1"/>
  <c r="AC79" i="1" s="1"/>
  <c r="AG60" i="20"/>
  <c r="AD60" i="20"/>
  <c r="AC29" i="1"/>
  <c r="AG31" i="1"/>
  <c r="AJ23" i="20"/>
  <c r="AI52" i="20"/>
  <c r="AI23" i="20"/>
  <c r="B31" i="1"/>
  <c r="Z31" i="1"/>
  <c r="Z78" i="1" s="1"/>
  <c r="AF60" i="20"/>
  <c r="AF52" i="20"/>
  <c r="G82" i="1"/>
  <c r="O82" i="1"/>
  <c r="W82" i="1"/>
  <c r="AE82" i="1"/>
  <c r="AF61" i="20"/>
  <c r="T32" i="1"/>
  <c r="T79" i="1" s="1"/>
  <c r="AF62" i="20"/>
  <c r="D10" i="42"/>
  <c r="D11" i="42"/>
  <c r="D12" i="42"/>
  <c r="D13" i="42"/>
  <c r="D14" i="42"/>
  <c r="D15" i="42"/>
  <c r="D16" i="42"/>
  <c r="AN43" i="1"/>
  <c r="AO49" i="1" s="1"/>
  <c r="I82" i="1"/>
  <c r="Q82" i="1"/>
  <c r="Y82" i="1"/>
  <c r="AG82" i="1"/>
  <c r="Q31" i="1"/>
  <c r="AJ15" i="20"/>
  <c r="Y31" i="1"/>
  <c r="Y78" i="1" s="1"/>
  <c r="X34" i="1"/>
  <c r="U29" i="1"/>
  <c r="S33" i="1"/>
  <c r="V27" i="24"/>
  <c r="AF29" i="1"/>
  <c r="AH35" i="20"/>
  <c r="D80" i="1"/>
  <c r="AB33" i="1"/>
  <c r="AB80" i="1" s="1"/>
  <c r="Y34" i="1"/>
  <c r="R31" i="1"/>
  <c r="R78" i="1" s="1"/>
  <c r="AK15" i="20"/>
  <c r="W32" i="1"/>
  <c r="W79" i="1" s="1"/>
  <c r="AE29" i="1"/>
  <c r="S31" i="1"/>
  <c r="S78" i="1" s="1"/>
  <c r="G32" i="1"/>
  <c r="G79" i="1" s="1"/>
  <c r="L33" i="1"/>
  <c r="L80" i="1" s="1"/>
  <c r="D48" i="6"/>
  <c r="Q34" i="1"/>
  <c r="M80" i="1"/>
  <c r="T33" i="1"/>
  <c r="T80" i="1" s="1"/>
  <c r="D85" i="1"/>
  <c r="L85" i="1"/>
  <c r="T85" i="1"/>
  <c r="AB85" i="1"/>
  <c r="AD61" i="20"/>
  <c r="F30" i="1"/>
  <c r="F77" i="1" s="1"/>
  <c r="N30" i="1"/>
  <c r="N77" i="1" s="1"/>
  <c r="V30" i="1"/>
  <c r="V77" i="1" s="1"/>
  <c r="C82" i="1"/>
  <c r="AF35" i="20"/>
  <c r="AJ35" i="20"/>
  <c r="K82" i="1"/>
  <c r="S82" i="1"/>
  <c r="AA82" i="1"/>
  <c r="E48" i="6"/>
  <c r="U33" i="1"/>
  <c r="U80" i="1" s="1"/>
  <c r="F48" i="6"/>
  <c r="AH62" i="20"/>
  <c r="G48" i="6"/>
  <c r="L78" i="24"/>
  <c r="T78" i="24"/>
  <c r="K79" i="24"/>
  <c r="S79" i="24"/>
  <c r="AA79" i="24"/>
  <c r="J80" i="24"/>
  <c r="R80" i="24"/>
  <c r="W29" i="1"/>
  <c r="AA31" i="1"/>
  <c r="AA78" i="1" s="1"/>
  <c r="X32" i="1"/>
  <c r="X79" i="1" s="1"/>
  <c r="X86" i="1"/>
  <c r="AC33" i="1"/>
  <c r="AC80" i="1" s="1"/>
  <c r="AH60" i="20"/>
  <c r="AH30" i="20"/>
  <c r="G36" i="13"/>
  <c r="C48" i="6"/>
  <c r="K885" i="9"/>
  <c r="K886" i="9" s="1"/>
  <c r="T34" i="1"/>
  <c r="AK52" i="20"/>
  <c r="Q29" i="1"/>
  <c r="E135" i="33"/>
  <c r="C78" i="1"/>
  <c r="O80" i="1"/>
  <c r="AA79" i="1"/>
  <c r="AI27" i="20"/>
  <c r="J53" i="1"/>
  <c r="J76" i="1" s="1"/>
  <c r="AF27" i="20"/>
  <c r="K53" i="1"/>
  <c r="K76" i="1" s="1"/>
  <c r="S53" i="1"/>
  <c r="AG29" i="1"/>
  <c r="AI44" i="1"/>
  <c r="AI68" i="1"/>
  <c r="E44" i="1"/>
  <c r="M44" i="1"/>
  <c r="U44" i="1"/>
  <c r="AC44" i="1"/>
  <c r="B68" i="1"/>
  <c r="J68" i="1"/>
  <c r="R68" i="1"/>
  <c r="Z68" i="1"/>
  <c r="AH68" i="1"/>
  <c r="AJ4" i="1"/>
  <c r="AJ21" i="1" s="1"/>
  <c r="G44" i="1"/>
  <c r="O44" i="1"/>
  <c r="W44" i="1"/>
  <c r="AE44" i="1"/>
  <c r="D68" i="1"/>
  <c r="L68" i="1"/>
  <c r="T68" i="1"/>
  <c r="AB68" i="1"/>
  <c r="F44" i="1"/>
  <c r="H44" i="1"/>
  <c r="P44" i="1"/>
  <c r="X44" i="1"/>
  <c r="AF44" i="1"/>
  <c r="I44" i="1"/>
  <c r="Q44" i="1"/>
  <c r="Y44" i="1"/>
  <c r="AG44" i="1"/>
  <c r="N68" i="1"/>
  <c r="V68" i="1"/>
  <c r="AD68" i="1"/>
  <c r="E78" i="1"/>
  <c r="N78" i="1"/>
  <c r="H80" i="1"/>
  <c r="P80" i="1"/>
  <c r="I80" i="1"/>
  <c r="C52" i="42"/>
  <c r="E52" i="42" s="1"/>
  <c r="G157" i="33"/>
  <c r="M78" i="24"/>
  <c r="L79" i="24"/>
  <c r="T79" i="24"/>
  <c r="AB79" i="24"/>
  <c r="K80" i="24"/>
  <c r="S80" i="24"/>
  <c r="H48" i="6"/>
  <c r="AC31" i="1"/>
  <c r="AC78" i="1" s="1"/>
  <c r="AB37" i="13"/>
  <c r="F78" i="24"/>
  <c r="N78" i="24"/>
  <c r="V78" i="24"/>
  <c r="AD78" i="24"/>
  <c r="M79" i="24"/>
  <c r="U79" i="24"/>
  <c r="AC79" i="24"/>
  <c r="L80" i="24"/>
  <c r="T80" i="24"/>
  <c r="AB80" i="24"/>
  <c r="L34" i="1"/>
  <c r="AB34" i="1"/>
  <c r="AI18" i="20"/>
  <c r="AK23" i="20"/>
  <c r="AI35" i="20"/>
  <c r="I30" i="1"/>
  <c r="I77" i="1" s="1"/>
  <c r="Q30" i="1"/>
  <c r="Q77" i="1" s="1"/>
  <c r="Y29" i="1"/>
  <c r="AF18" i="20"/>
  <c r="AH27" i="20"/>
  <c r="AA29" i="1"/>
  <c r="U31" i="1"/>
  <c r="U78" i="1" s="1"/>
  <c r="AI78" i="1"/>
  <c r="AI60" i="20"/>
  <c r="B51" i="20"/>
  <c r="B52" i="20" s="1"/>
  <c r="B64" i="20" s="1"/>
  <c r="B15" i="20"/>
  <c r="AH15" i="20"/>
  <c r="AK18" i="20"/>
  <c r="AA138" i="24"/>
  <c r="AA144" i="24" s="1"/>
  <c r="G155" i="33"/>
  <c r="AN8" i="24"/>
  <c r="K79" i="1"/>
  <c r="AA143" i="24"/>
  <c r="AB85" i="24"/>
  <c r="AD31" i="1"/>
  <c r="AD78" i="1" s="1"/>
  <c r="Y33" i="1"/>
  <c r="Y80" i="1" s="1"/>
  <c r="U86" i="1"/>
  <c r="H78" i="1"/>
  <c r="E124" i="33"/>
  <c r="AA142" i="24"/>
  <c r="AP8" i="24"/>
  <c r="J18" i="24"/>
  <c r="R18" i="24"/>
  <c r="Z18" i="24"/>
  <c r="AE63" i="20"/>
  <c r="AP6" i="24"/>
  <c r="AP7" i="24"/>
  <c r="AJ62" i="20"/>
  <c r="AF23" i="20"/>
  <c r="AJ30" i="20"/>
  <c r="AO5" i="24"/>
  <c r="X33" i="1"/>
  <c r="X80" i="1" s="1"/>
  <c r="AB82" i="1"/>
  <c r="I70" i="1"/>
  <c r="AG70" i="1"/>
  <c r="I78" i="1"/>
  <c r="L32" i="1"/>
  <c r="L79" i="1" s="1"/>
  <c r="M82" i="1"/>
  <c r="M79" i="1"/>
  <c r="AJ79" i="1"/>
  <c r="AI29" i="1"/>
  <c r="AB32" i="1"/>
  <c r="AB79" i="1" s="1"/>
  <c r="Q33" i="1"/>
  <c r="Q80" i="1" s="1"/>
  <c r="U34" i="1"/>
  <c r="M85" i="1"/>
  <c r="AF15" i="20"/>
  <c r="AG18" i="20"/>
  <c r="AG23" i="20"/>
  <c r="AJ27" i="20"/>
  <c r="AD84" i="24"/>
  <c r="D82" i="1"/>
  <c r="T82" i="1"/>
  <c r="Q70" i="1"/>
  <c r="AC82" i="1"/>
  <c r="B30" i="1"/>
  <c r="B77" i="1" s="1"/>
  <c r="J30" i="1"/>
  <c r="J77" i="1" s="1"/>
  <c r="R30" i="1"/>
  <c r="R77" i="1" s="1"/>
  <c r="Z30" i="1"/>
  <c r="Z77" i="1" s="1"/>
  <c r="AF33" i="1"/>
  <c r="AF80" i="1" s="1"/>
  <c r="N85" i="1"/>
  <c r="D78" i="1"/>
  <c r="AJ60" i="20"/>
  <c r="AG15" i="20"/>
  <c r="B18" i="20"/>
  <c r="AH18" i="20"/>
  <c r="AH23" i="20"/>
  <c r="AK27" i="20"/>
  <c r="R27" i="24"/>
  <c r="AJ61" i="20"/>
  <c r="L82" i="1"/>
  <c r="Y70" i="1"/>
  <c r="E82" i="1"/>
  <c r="U82" i="1"/>
  <c r="S29" i="1"/>
  <c r="V31" i="1"/>
  <c r="V78" i="1" s="1"/>
  <c r="K30" i="1"/>
  <c r="K77" i="1" s="1"/>
  <c r="AG33" i="1"/>
  <c r="AG80" i="1" s="1"/>
  <c r="C79" i="1"/>
  <c r="S79" i="1"/>
  <c r="U27" i="24"/>
  <c r="AB31" i="1"/>
  <c r="AB78" i="1" s="1"/>
  <c r="AG32" i="1"/>
  <c r="AG79" i="1" s="1"/>
  <c r="AI30" i="20"/>
  <c r="AB29" i="1"/>
  <c r="K78" i="1"/>
  <c r="T31" i="1"/>
  <c r="T78" i="1" s="1"/>
  <c r="AA34" i="1"/>
  <c r="AI62" i="20"/>
  <c r="H35" i="13"/>
  <c r="P35" i="13"/>
  <c r="R53" i="1"/>
  <c r="D30" i="1"/>
  <c r="D77" i="1" s="1"/>
  <c r="L30" i="1"/>
  <c r="T30" i="1"/>
  <c r="T77" i="1" s="1"/>
  <c r="AB30" i="1"/>
  <c r="AB77" i="1" s="1"/>
  <c r="L31" i="1"/>
  <c r="L78" i="1" s="1"/>
  <c r="Y32" i="1"/>
  <c r="Y79" i="1" s="1"/>
  <c r="R86" i="1"/>
  <c r="Z86" i="1"/>
  <c r="AE61" i="20"/>
  <c r="AB18" i="24"/>
  <c r="AC84" i="24"/>
  <c r="C53" i="1"/>
  <c r="C76" i="1" s="1"/>
  <c r="AA53" i="1"/>
  <c r="AI53" i="1"/>
  <c r="B82" i="1"/>
  <c r="J82" i="1"/>
  <c r="R82" i="1"/>
  <c r="Z82" i="1"/>
  <c r="T29" i="1"/>
  <c r="AF31" i="1"/>
  <c r="AF78" i="1" s="1"/>
  <c r="B33" i="1"/>
  <c r="B80" i="1" s="1"/>
  <c r="AH33" i="1"/>
  <c r="AH80" i="1" s="1"/>
  <c r="S34" i="1"/>
  <c r="M18" i="24"/>
  <c r="U18" i="24"/>
  <c r="L29" i="1"/>
  <c r="F78" i="1"/>
  <c r="H79" i="1"/>
  <c r="Z33" i="1"/>
  <c r="Z80" i="1" s="1"/>
  <c r="AF30" i="20"/>
  <c r="AN7" i="24"/>
  <c r="AO9" i="24"/>
  <c r="X29" i="1"/>
  <c r="U32" i="1"/>
  <c r="E80" i="1"/>
  <c r="W34" i="1"/>
  <c r="C85" i="1"/>
  <c r="K85" i="1"/>
  <c r="S85" i="1"/>
  <c r="AA85" i="1"/>
  <c r="AI15" i="20"/>
  <c r="AJ18" i="20"/>
  <c r="AK30" i="20"/>
  <c r="AG30" i="20"/>
  <c r="AK35" i="20"/>
  <c r="F82" i="1"/>
  <c r="N82" i="1"/>
  <c r="V82" i="1"/>
  <c r="AD82" i="1"/>
  <c r="AJ29" i="1"/>
  <c r="AJ31" i="1"/>
  <c r="AJ78" i="1" s="1"/>
  <c r="AF79" i="1"/>
  <c r="R33" i="1"/>
  <c r="R80" i="1" s="1"/>
  <c r="H37" i="13"/>
  <c r="P37" i="13"/>
  <c r="AO7" i="24"/>
  <c r="AP9" i="24"/>
  <c r="Z27" i="24"/>
  <c r="E35" i="13"/>
  <c r="U35" i="13"/>
  <c r="B36" i="13"/>
  <c r="J36" i="13"/>
  <c r="R36" i="13"/>
  <c r="Z36" i="13"/>
  <c r="G37" i="13"/>
  <c r="O37" i="13"/>
  <c r="W37" i="13"/>
  <c r="N969" i="9"/>
  <c r="N970" i="9" s="1"/>
  <c r="L35" i="13"/>
  <c r="I78" i="24"/>
  <c r="Q78" i="24"/>
  <c r="Y78" i="24"/>
  <c r="H79" i="24"/>
  <c r="P79" i="24"/>
  <c r="X79" i="24"/>
  <c r="G80" i="24"/>
  <c r="O80" i="24"/>
  <c r="W80" i="24"/>
  <c r="G78" i="24"/>
  <c r="O78" i="24"/>
  <c r="W78" i="24"/>
  <c r="M80" i="24"/>
  <c r="U80" i="24"/>
  <c r="AC80" i="24"/>
  <c r="H78" i="24"/>
  <c r="P78" i="24"/>
  <c r="X78" i="24"/>
  <c r="G79" i="24"/>
  <c r="O79" i="24"/>
  <c r="W79" i="24"/>
  <c r="F80" i="24"/>
  <c r="N80" i="24"/>
  <c r="V80" i="24"/>
  <c r="AD80" i="24"/>
  <c r="Q79" i="24"/>
  <c r="I20" i="36"/>
  <c r="R28" i="38"/>
  <c r="G85" i="1"/>
  <c r="F158" i="11"/>
  <c r="B161" i="11"/>
  <c r="Z142" i="24"/>
  <c r="F24" i="38"/>
  <c r="R25" i="38"/>
  <c r="J27" i="38"/>
  <c r="W85" i="1"/>
  <c r="B159" i="11"/>
  <c r="F162" i="11"/>
  <c r="G35" i="13"/>
  <c r="O35" i="13"/>
  <c r="W35" i="13"/>
  <c r="Y37" i="13"/>
  <c r="G24" i="38"/>
  <c r="K25" i="38"/>
  <c r="S25" i="38"/>
  <c r="C27" i="38"/>
  <c r="K27" i="38"/>
  <c r="S28" i="38"/>
  <c r="E15" i="36"/>
  <c r="F26" i="38"/>
  <c r="I18" i="36"/>
  <c r="B163" i="11"/>
  <c r="F15" i="36"/>
  <c r="G26" i="38"/>
  <c r="J18" i="36"/>
  <c r="B20" i="36"/>
  <c r="V86" i="1"/>
  <c r="T35" i="13"/>
  <c r="M15" i="36"/>
  <c r="E17" i="36"/>
  <c r="U138" i="24"/>
  <c r="U145" i="24" s="1"/>
  <c r="W86" i="1"/>
  <c r="B16" i="36"/>
  <c r="F17" i="36"/>
  <c r="K28" i="38"/>
  <c r="O85" i="1"/>
  <c r="M138" i="24"/>
  <c r="M145" i="24" s="1"/>
  <c r="E117" i="33"/>
  <c r="J26" i="38"/>
  <c r="J25" i="38"/>
  <c r="M17" i="36"/>
  <c r="E79" i="1"/>
  <c r="T28" i="38"/>
  <c r="K20" i="36"/>
  <c r="AG35" i="20"/>
  <c r="B38" i="13"/>
  <c r="J38" i="13"/>
  <c r="R38" i="13"/>
  <c r="Z38" i="13"/>
  <c r="G39" i="13"/>
  <c r="O39" i="13"/>
  <c r="W39" i="13"/>
  <c r="C40" i="13"/>
  <c r="K40" i="13"/>
  <c r="S40" i="13"/>
  <c r="AA40" i="13"/>
  <c r="D6" i="36" s="1"/>
  <c r="D9" i="36" s="1"/>
  <c r="N25" i="38"/>
  <c r="D35" i="13"/>
  <c r="AB35" i="13"/>
  <c r="I36" i="13"/>
  <c r="Q36" i="13"/>
  <c r="Y36" i="13"/>
  <c r="F37" i="13"/>
  <c r="N37" i="13"/>
  <c r="V37" i="13"/>
  <c r="C38" i="13"/>
  <c r="K38" i="13"/>
  <c r="S38" i="13"/>
  <c r="AA38" i="13"/>
  <c r="AN9" i="24"/>
  <c r="U141" i="24"/>
  <c r="V25" i="38"/>
  <c r="F160" i="11"/>
  <c r="F35" i="13"/>
  <c r="N35" i="13"/>
  <c r="V35" i="13"/>
  <c r="C36" i="13"/>
  <c r="K36" i="13"/>
  <c r="S36" i="13"/>
  <c r="AA36" i="13"/>
  <c r="B39" i="13"/>
  <c r="J39" i="13"/>
  <c r="AA141" i="24"/>
  <c r="AN5" i="24"/>
  <c r="R26" i="38"/>
  <c r="P78" i="1"/>
  <c r="V972" i="9"/>
  <c r="F139" i="33"/>
  <c r="F28" i="38"/>
  <c r="E20" i="36"/>
  <c r="M20" i="36"/>
  <c r="F27" i="38"/>
  <c r="AG27" i="20"/>
  <c r="X35" i="13"/>
  <c r="J24" i="38"/>
  <c r="N27" i="38"/>
  <c r="F36" i="13"/>
  <c r="V36" i="13"/>
  <c r="R24" i="38"/>
  <c r="V27" i="38"/>
  <c r="AJ52" i="20"/>
  <c r="M35" i="13"/>
  <c r="D38" i="13"/>
  <c r="T38" i="13"/>
  <c r="D37" i="13"/>
  <c r="T37" i="13"/>
  <c r="F39" i="13"/>
  <c r="N39" i="13"/>
  <c r="V39" i="13"/>
  <c r="B40" i="13"/>
  <c r="J40" i="13"/>
  <c r="R40" i="13"/>
  <c r="Z40" i="13"/>
  <c r="H20" i="36"/>
  <c r="Q28" i="38"/>
  <c r="F25" i="38"/>
  <c r="L967" i="9"/>
  <c r="L976" i="9" s="1"/>
  <c r="K1050" i="9"/>
  <c r="K1056" i="9" s="1"/>
  <c r="AO8" i="24"/>
  <c r="K138" i="24"/>
  <c r="S138" i="24"/>
  <c r="H24" i="38"/>
  <c r="P24" i="38"/>
  <c r="D25" i="38"/>
  <c r="L25" i="38"/>
  <c r="T25" i="38"/>
  <c r="H26" i="38"/>
  <c r="P26" i="38"/>
  <c r="D27" i="38"/>
  <c r="L27" i="38"/>
  <c r="T27" i="38"/>
  <c r="H28" i="38"/>
  <c r="P28" i="38"/>
  <c r="E24" i="38"/>
  <c r="D15" i="36"/>
  <c r="L15" i="36"/>
  <c r="I25" i="38"/>
  <c r="H16" i="36"/>
  <c r="E26" i="38"/>
  <c r="D17" i="36"/>
  <c r="L17" i="36"/>
  <c r="I27" i="38"/>
  <c r="H18" i="36"/>
  <c r="V40" i="13"/>
  <c r="C6" i="36" s="1"/>
  <c r="C9" i="36" s="1"/>
  <c r="L138" i="24"/>
  <c r="T138" i="24"/>
  <c r="I24" i="38"/>
  <c r="Q24" i="38"/>
  <c r="E25" i="38"/>
  <c r="M25" i="38"/>
  <c r="U25" i="38"/>
  <c r="I26" i="38"/>
  <c r="Q26" i="38"/>
  <c r="E27" i="38"/>
  <c r="M27" i="38"/>
  <c r="U27" i="38"/>
  <c r="AP5" i="24"/>
  <c r="AN6" i="24"/>
  <c r="K18" i="24"/>
  <c r="S18" i="24"/>
  <c r="AA18" i="24"/>
  <c r="AB76" i="24"/>
  <c r="F138" i="24"/>
  <c r="N138" i="24"/>
  <c r="V138" i="24"/>
  <c r="C24" i="38"/>
  <c r="K24" i="38"/>
  <c r="S24" i="38"/>
  <c r="G25" i="38"/>
  <c r="O25" i="38"/>
  <c r="C26" i="38"/>
  <c r="K26" i="38"/>
  <c r="S26" i="38"/>
  <c r="G27" i="38"/>
  <c r="O27" i="38"/>
  <c r="T855" i="9"/>
  <c r="AO6" i="24"/>
  <c r="G138" i="24"/>
  <c r="O138" i="24"/>
  <c r="W138" i="24"/>
  <c r="D24" i="38"/>
  <c r="L24" i="38"/>
  <c r="T24" i="38"/>
  <c r="H25" i="38"/>
  <c r="P25" i="38"/>
  <c r="D26" i="38"/>
  <c r="L26" i="38"/>
  <c r="T26" i="38"/>
  <c r="H27" i="38"/>
  <c r="P27" i="38"/>
  <c r="D20" i="36"/>
  <c r="L20" i="36"/>
  <c r="AC18" i="24"/>
  <c r="H138" i="24"/>
  <c r="P138" i="24"/>
  <c r="X138" i="24"/>
  <c r="T770" i="9"/>
  <c r="T1022" i="9"/>
  <c r="F27" i="24"/>
  <c r="J78" i="24"/>
  <c r="R78" i="24"/>
  <c r="Z78" i="24"/>
  <c r="I79" i="24"/>
  <c r="Y79" i="24"/>
  <c r="H80" i="24"/>
  <c r="P80" i="24"/>
  <c r="X80" i="24"/>
  <c r="I138" i="24"/>
  <c r="Q138" i="24"/>
  <c r="Y138" i="24"/>
  <c r="G28" i="38"/>
  <c r="F20" i="36"/>
  <c r="J27" i="24"/>
  <c r="F39" i="24"/>
  <c r="F40" i="24" s="1"/>
  <c r="N39" i="24"/>
  <c r="N40" i="24" s="1"/>
  <c r="V39" i="24"/>
  <c r="V40" i="24" s="1"/>
  <c r="AD39" i="24"/>
  <c r="X76" i="24"/>
  <c r="J138" i="24"/>
  <c r="R138" i="24"/>
  <c r="Z138" i="24"/>
  <c r="F53" i="1"/>
  <c r="AD53" i="1"/>
  <c r="J78" i="1"/>
  <c r="B78" i="1"/>
  <c r="J80" i="1"/>
  <c r="O79" i="1"/>
  <c r="AG78" i="1"/>
  <c r="AH78" i="1"/>
  <c r="D53" i="1"/>
  <c r="L53" i="1"/>
  <c r="T53" i="1"/>
  <c r="AB53" i="1"/>
  <c r="AJ53" i="1"/>
  <c r="Q78" i="1"/>
  <c r="I79" i="1"/>
  <c r="U79" i="1"/>
  <c r="AE79" i="1"/>
  <c r="N53" i="1"/>
  <c r="V53" i="1"/>
  <c r="F79" i="1"/>
  <c r="N79" i="1"/>
  <c r="V79" i="1"/>
  <c r="AD79" i="1"/>
  <c r="F80" i="1"/>
  <c r="N80" i="1"/>
  <c r="A8" i="42"/>
  <c r="C58" i="42"/>
  <c r="AD27" i="19"/>
  <c r="AD28" i="19" s="1"/>
  <c r="AD31" i="19" s="1"/>
  <c r="AD33" i="19" s="1"/>
  <c r="S32" i="19"/>
  <c r="AC32" i="19"/>
  <c r="C75" i="38"/>
  <c r="C19" i="38"/>
  <c r="K75" i="38"/>
  <c r="K19" i="38"/>
  <c r="K22" i="38" s="1"/>
  <c r="S75" i="38"/>
  <c r="S19" i="38"/>
  <c r="AC103" i="6"/>
  <c r="Q138" i="9"/>
  <c r="T9" i="27"/>
  <c r="T7" i="27" s="1"/>
  <c r="Q48" i="38"/>
  <c r="Q46" i="38"/>
  <c r="Q74" i="38"/>
  <c r="Q23" i="38"/>
  <c r="Q47" i="38"/>
  <c r="Q45" i="38"/>
  <c r="Q43" i="38"/>
  <c r="Q41" i="38"/>
  <c r="Q17" i="38"/>
  <c r="Q76" i="38" s="1"/>
  <c r="C16" i="27"/>
  <c r="R34" i="4" s="1"/>
  <c r="T113" i="6"/>
  <c r="K16" i="27"/>
  <c r="Z34" i="4" s="1"/>
  <c r="C27" i="19"/>
  <c r="C28" i="19" s="1"/>
  <c r="C31" i="19" s="1"/>
  <c r="C33" i="19" s="1"/>
  <c r="K27" i="19"/>
  <c r="K28" i="19" s="1"/>
  <c r="K31" i="19" s="1"/>
  <c r="K33" i="19" s="1"/>
  <c r="U27" i="19"/>
  <c r="U28" i="19" s="1"/>
  <c r="U31" i="19" s="1"/>
  <c r="U33" i="19" s="1"/>
  <c r="AE27" i="19"/>
  <c r="AE28" i="19" s="1"/>
  <c r="AE31" i="19" s="1"/>
  <c r="AE33" i="19" s="1"/>
  <c r="Q28" i="19"/>
  <c r="Q31" i="19" s="1"/>
  <c r="Q33" i="19" s="1"/>
  <c r="B32" i="19"/>
  <c r="B33" i="19" s="1"/>
  <c r="J32" i="19"/>
  <c r="J33" i="19" s="1"/>
  <c r="T32" i="19"/>
  <c r="T33" i="19" s="1"/>
  <c r="AD32" i="19"/>
  <c r="D79" i="1"/>
  <c r="W8" i="36"/>
  <c r="W37" i="36" s="1"/>
  <c r="D75" i="38"/>
  <c r="D19" i="38"/>
  <c r="D22" i="38" s="1"/>
  <c r="L75" i="38"/>
  <c r="L19" i="38"/>
  <c r="L22" i="38" s="1"/>
  <c r="T75" i="38"/>
  <c r="T19" i="38"/>
  <c r="U9" i="27"/>
  <c r="U7" i="27" s="1"/>
  <c r="Q44" i="9"/>
  <c r="AD103" i="6"/>
  <c r="D16" i="27"/>
  <c r="S34" i="4" s="1"/>
  <c r="M113" i="6"/>
  <c r="T16" i="27"/>
  <c r="AI34" i="4" s="1"/>
  <c r="D27" i="19"/>
  <c r="D28" i="19" s="1"/>
  <c r="D31" i="19" s="1"/>
  <c r="D33" i="19" s="1"/>
  <c r="M27" i="19"/>
  <c r="M28" i="19" s="1"/>
  <c r="M31" i="19" s="1"/>
  <c r="M33" i="19" s="1"/>
  <c r="W27" i="19"/>
  <c r="W28" i="19" s="1"/>
  <c r="W31" i="19" s="1"/>
  <c r="W33" i="19" s="1"/>
  <c r="C32" i="19"/>
  <c r="K32" i="19"/>
  <c r="U32" i="19"/>
  <c r="AE32" i="19"/>
  <c r="AQ5" i="15"/>
  <c r="E75" i="38"/>
  <c r="E19" i="38"/>
  <c r="E22" i="38" s="1"/>
  <c r="M75" i="38"/>
  <c r="M19" i="38"/>
  <c r="M22" i="38" s="1"/>
  <c r="U75" i="38"/>
  <c r="U19" i="38"/>
  <c r="N9" i="27"/>
  <c r="N7" i="27" s="1"/>
  <c r="W106" i="6"/>
  <c r="W103" i="6"/>
  <c r="E16" i="27"/>
  <c r="T34" i="4" s="1"/>
  <c r="N113" i="6"/>
  <c r="U16" i="27"/>
  <c r="AJ34" i="4" s="1"/>
  <c r="AD113" i="6"/>
  <c r="AC65" i="35"/>
  <c r="AJ48" i="35"/>
  <c r="E27" i="19"/>
  <c r="E28" i="19" s="1"/>
  <c r="E31" i="19" s="1"/>
  <c r="E33" i="19" s="1"/>
  <c r="N27" i="19"/>
  <c r="N28" i="19" s="1"/>
  <c r="N31" i="19" s="1"/>
  <c r="N33" i="19" s="1"/>
  <c r="X27" i="19"/>
  <c r="X28" i="19" s="1"/>
  <c r="X31" i="19" s="1"/>
  <c r="AA28" i="19"/>
  <c r="AA31" i="19" s="1"/>
  <c r="AA33" i="19" s="1"/>
  <c r="D32" i="19"/>
  <c r="M32" i="19"/>
  <c r="W32" i="19"/>
  <c r="AX5" i="15"/>
  <c r="F75" i="38"/>
  <c r="F19" i="38"/>
  <c r="F22" i="38" s="1"/>
  <c r="N75" i="38"/>
  <c r="N19" i="38"/>
  <c r="V75" i="38"/>
  <c r="V19" i="38"/>
  <c r="Q598" i="9"/>
  <c r="O9" i="27"/>
  <c r="O7" i="27" s="1"/>
  <c r="X103" i="6"/>
  <c r="AB106" i="6"/>
  <c r="F16" i="27"/>
  <c r="U34" i="4" s="1"/>
  <c r="O113" i="6"/>
  <c r="AA71" i="35"/>
  <c r="AA75" i="35" s="1"/>
  <c r="AB71" i="35"/>
  <c r="AB75" i="35" s="1"/>
  <c r="B21" i="42"/>
  <c r="F27" i="19"/>
  <c r="F28" i="19" s="1"/>
  <c r="F31" i="19" s="1"/>
  <c r="F33" i="19" s="1"/>
  <c r="O27" i="19"/>
  <c r="O28" i="19" s="1"/>
  <c r="O31" i="19" s="1"/>
  <c r="O33" i="19" s="1"/>
  <c r="Y27" i="19"/>
  <c r="Y28" i="19" s="1"/>
  <c r="Y31" i="19" s="1"/>
  <c r="Y33" i="19" s="1"/>
  <c r="L28" i="19"/>
  <c r="L31" i="19" s="1"/>
  <c r="L33" i="19" s="1"/>
  <c r="E32" i="19"/>
  <c r="N32" i="19"/>
  <c r="X32" i="19"/>
  <c r="G75" i="38"/>
  <c r="G19" i="38"/>
  <c r="G22" i="38" s="1"/>
  <c r="O75" i="38"/>
  <c r="O19" i="38"/>
  <c r="P9" i="27"/>
  <c r="Y103" i="6"/>
  <c r="Q506" i="9"/>
  <c r="AC106" i="6"/>
  <c r="P113" i="6"/>
  <c r="G16" i="27"/>
  <c r="V34" i="4" s="1"/>
  <c r="O16" i="27"/>
  <c r="AD34" i="4" s="1"/>
  <c r="F13" i="27"/>
  <c r="G27" i="19"/>
  <c r="G28" i="19" s="1"/>
  <c r="G31" i="19" s="1"/>
  <c r="G33" i="19" s="1"/>
  <c r="P27" i="19"/>
  <c r="P28" i="19" s="1"/>
  <c r="P31" i="19" s="1"/>
  <c r="P33" i="19" s="1"/>
  <c r="Z27" i="19"/>
  <c r="Z28" i="19" s="1"/>
  <c r="Z31" i="19" s="1"/>
  <c r="Z33" i="19" s="1"/>
  <c r="F32" i="19"/>
  <c r="O32" i="19"/>
  <c r="Y32" i="19"/>
  <c r="C80" i="1"/>
  <c r="K80" i="1"/>
  <c r="S80" i="1"/>
  <c r="AA80" i="1"/>
  <c r="AI80" i="1"/>
  <c r="O78" i="1"/>
  <c r="P7" i="27"/>
  <c r="H19" i="38"/>
  <c r="H22" i="38" s="1"/>
  <c r="H75" i="38"/>
  <c r="P19" i="38"/>
  <c r="P75" i="38"/>
  <c r="Q414" i="9"/>
  <c r="Q9" i="27"/>
  <c r="Q7" i="27" s="1"/>
  <c r="Z103" i="6"/>
  <c r="N85" i="6"/>
  <c r="E6" i="27" s="1"/>
  <c r="F14" i="38" s="1"/>
  <c r="Q113" i="6"/>
  <c r="H16" i="27"/>
  <c r="W34" i="4" s="1"/>
  <c r="H27" i="19"/>
  <c r="H28" i="19" s="1"/>
  <c r="H31" i="19" s="1"/>
  <c r="H33" i="19" s="1"/>
  <c r="R27" i="19"/>
  <c r="R28" i="19" s="1"/>
  <c r="R31" i="19" s="1"/>
  <c r="R33" i="19" s="1"/>
  <c r="AB27" i="19"/>
  <c r="AB28" i="19" s="1"/>
  <c r="AB31" i="19" s="1"/>
  <c r="AB33" i="19" s="1"/>
  <c r="V28" i="19"/>
  <c r="V31" i="19" s="1"/>
  <c r="V33" i="19" s="1"/>
  <c r="G32" i="19"/>
  <c r="P32" i="19"/>
  <c r="I75" i="38"/>
  <c r="I19" i="38"/>
  <c r="I22" i="38" s="1"/>
  <c r="Q75" i="38"/>
  <c r="Q19" i="38"/>
  <c r="Q322" i="9"/>
  <c r="R9" i="27"/>
  <c r="R7" i="27" s="1"/>
  <c r="AA103" i="6"/>
  <c r="AA85" i="6"/>
  <c r="R6" i="27" s="1"/>
  <c r="Y7" i="36" s="1"/>
  <c r="G46" i="38"/>
  <c r="G44" i="38"/>
  <c r="G42" i="38"/>
  <c r="G74" i="38"/>
  <c r="G23" i="38"/>
  <c r="G47" i="38"/>
  <c r="G45" i="38"/>
  <c r="G41" i="38"/>
  <c r="G17" i="38"/>
  <c r="G76" i="38" s="1"/>
  <c r="W112" i="6"/>
  <c r="U47" i="37"/>
  <c r="U53" i="37"/>
  <c r="U49" i="37"/>
  <c r="I27" i="19"/>
  <c r="I28" i="19" s="1"/>
  <c r="I31" i="19" s="1"/>
  <c r="I33" i="19" s="1"/>
  <c r="S27" i="19"/>
  <c r="S28" i="19" s="1"/>
  <c r="S31" i="19" s="1"/>
  <c r="S33" i="19" s="1"/>
  <c r="AC27" i="19"/>
  <c r="AC28" i="19" s="1"/>
  <c r="AC31" i="19" s="1"/>
  <c r="AC33" i="19" s="1"/>
  <c r="M78" i="1"/>
  <c r="P79" i="1"/>
  <c r="J75" i="38"/>
  <c r="J19" i="38"/>
  <c r="J22" i="38" s="1"/>
  <c r="R75" i="38"/>
  <c r="R19" i="38"/>
  <c r="AB103" i="6"/>
  <c r="Q230" i="9"/>
  <c r="S9" i="27"/>
  <c r="S7" i="27" s="1"/>
  <c r="S113" i="6"/>
  <c r="J16" i="27"/>
  <c r="Y34" i="4" s="1"/>
  <c r="Z70" i="35"/>
  <c r="Z74" i="35" s="1"/>
  <c r="Z65" i="35"/>
  <c r="Z72" i="35" s="1"/>
  <c r="V53" i="37"/>
  <c r="R105" i="6"/>
  <c r="I18" i="27" s="1"/>
  <c r="N84" i="6"/>
  <c r="E9" i="27" s="1"/>
  <c r="E7" i="27" s="1"/>
  <c r="V84" i="6"/>
  <c r="P790" i="9" s="1"/>
  <c r="Z85" i="6"/>
  <c r="Q6" i="27" s="1"/>
  <c r="N91" i="6"/>
  <c r="O112" i="6" s="1"/>
  <c r="V91" i="6"/>
  <c r="AD91" i="6"/>
  <c r="Y92" i="6"/>
  <c r="V101" i="6"/>
  <c r="AD101" i="6"/>
  <c r="Z102" i="6"/>
  <c r="AD106" i="6"/>
  <c r="N121" i="6"/>
  <c r="V121" i="6"/>
  <c r="P435" i="9"/>
  <c r="P619" i="9"/>
  <c r="P705" i="9"/>
  <c r="P961" i="9"/>
  <c r="AA48" i="35"/>
  <c r="AJ58" i="35"/>
  <c r="W47" i="37"/>
  <c r="U60" i="37"/>
  <c r="AB70" i="35"/>
  <c r="AB74" i="35" s="1"/>
  <c r="P84" i="6"/>
  <c r="L85" i="6"/>
  <c r="C6" i="27" s="1"/>
  <c r="D14" i="38" s="1"/>
  <c r="AB85" i="6"/>
  <c r="S6" i="27" s="1"/>
  <c r="P91" i="6"/>
  <c r="X91" i="6"/>
  <c r="K92" i="6"/>
  <c r="B16" i="27" s="1"/>
  <c r="Q34" i="4" s="1"/>
  <c r="AA92" i="6"/>
  <c r="X101" i="6"/>
  <c r="P102" i="6"/>
  <c r="AB102" i="6"/>
  <c r="P106" i="6"/>
  <c r="X106" i="6"/>
  <c r="Q228" i="9"/>
  <c r="Q504" i="9"/>
  <c r="P959" i="9"/>
  <c r="V40" i="37"/>
  <c r="W60" i="37"/>
  <c r="Q84" i="6"/>
  <c r="H9" i="27" s="1"/>
  <c r="H7" i="27" s="1"/>
  <c r="AC85" i="6"/>
  <c r="T6" i="27" s="1"/>
  <c r="AA8" i="36" s="1"/>
  <c r="Q91" i="6"/>
  <c r="Y91" i="6"/>
  <c r="AB92" i="6"/>
  <c r="Y101" i="6"/>
  <c r="U102" i="6"/>
  <c r="AC102" i="6"/>
  <c r="Q106" i="6"/>
  <c r="Y106" i="6"/>
  <c r="Q121" i="6"/>
  <c r="Y121" i="6"/>
  <c r="Q137" i="9"/>
  <c r="P529" i="9"/>
  <c r="R84" i="6"/>
  <c r="I9" i="27" s="1"/>
  <c r="I7" i="27" s="1"/>
  <c r="AD85" i="6"/>
  <c r="U6" i="27" s="1"/>
  <c r="V14" i="38" s="1"/>
  <c r="R91" i="6"/>
  <c r="Z91" i="6"/>
  <c r="U92" i="6"/>
  <c r="Z101" i="6"/>
  <c r="V102" i="6"/>
  <c r="AD102" i="6"/>
  <c r="Z106" i="6"/>
  <c r="R121" i="6"/>
  <c r="Z121" i="6"/>
  <c r="Q412" i="9"/>
  <c r="P528" i="9"/>
  <c r="P1043" i="9"/>
  <c r="U27" i="37"/>
  <c r="K84" i="6"/>
  <c r="P1042" i="9" s="1"/>
  <c r="S84" i="6"/>
  <c r="W85" i="6"/>
  <c r="N6" i="27" s="1"/>
  <c r="K91" i="6"/>
  <c r="B14" i="27" s="1"/>
  <c r="S91" i="6"/>
  <c r="AA91" i="6"/>
  <c r="V92" i="6"/>
  <c r="K101" i="6"/>
  <c r="AA101" i="6"/>
  <c r="W102" i="6"/>
  <c r="K106" i="6"/>
  <c r="B13" i="27" s="1"/>
  <c r="AA106" i="6"/>
  <c r="K121" i="6"/>
  <c r="Q505" i="9"/>
  <c r="P527" i="9"/>
  <c r="U54" i="37"/>
  <c r="Q79" i="6"/>
  <c r="Y79" i="6"/>
  <c r="L84" i="6"/>
  <c r="C9" i="27" s="1"/>
  <c r="C7" i="27" s="1"/>
  <c r="T84" i="6"/>
  <c r="K9" i="27" s="1"/>
  <c r="K7" i="27" s="1"/>
  <c r="P85" i="6"/>
  <c r="G6" i="27" s="1"/>
  <c r="X85" i="6"/>
  <c r="O6" i="27" s="1"/>
  <c r="P14" i="38" s="1"/>
  <c r="L91" i="6"/>
  <c r="T91" i="6"/>
  <c r="AB91" i="6"/>
  <c r="W92" i="6"/>
  <c r="AB101" i="6"/>
  <c r="X102" i="6"/>
  <c r="L121" i="6"/>
  <c r="T121" i="6"/>
  <c r="AB121" i="6"/>
  <c r="P437" i="9"/>
  <c r="Q596" i="9"/>
  <c r="P621" i="9"/>
  <c r="P791" i="9"/>
  <c r="AB65" i="35"/>
  <c r="AB72" i="35" s="1"/>
  <c r="V54" i="37"/>
  <c r="M84" i="6"/>
  <c r="D9" i="27" s="1"/>
  <c r="D7" i="27" s="1"/>
  <c r="U84" i="6"/>
  <c r="M91" i="6"/>
  <c r="U91" i="6"/>
  <c r="AC91" i="6"/>
  <c r="U101" i="6"/>
  <c r="AC101" i="6"/>
  <c r="U106" i="6"/>
  <c r="M121" i="6"/>
  <c r="U121" i="6"/>
  <c r="G39" i="24"/>
  <c r="G30" i="24" s="1"/>
  <c r="L32" i="24"/>
  <c r="L42" i="24" s="1"/>
  <c r="L43" i="24" s="1"/>
  <c r="L27" i="24"/>
  <c r="T32" i="24"/>
  <c r="T42" i="24" s="1"/>
  <c r="T43" i="24" s="1"/>
  <c r="T27" i="24"/>
  <c r="U71" i="24"/>
  <c r="AC71" i="24"/>
  <c r="Z76" i="24"/>
  <c r="V46" i="24"/>
  <c r="M27" i="24"/>
  <c r="F46" i="24"/>
  <c r="N27" i="24"/>
  <c r="AD46" i="24"/>
  <c r="J79" i="24"/>
  <c r="R79" i="24"/>
  <c r="Z79" i="24"/>
  <c r="I80" i="24"/>
  <c r="Q80" i="24"/>
  <c r="Y80" i="24"/>
  <c r="N46" i="24"/>
  <c r="Y76" i="24"/>
  <c r="N20" i="38"/>
  <c r="T6" i="36"/>
  <c r="N51" i="6"/>
  <c r="N52" i="6" s="1"/>
  <c r="N36" i="6"/>
  <c r="N37" i="6" s="1"/>
  <c r="V51" i="6"/>
  <c r="V52" i="6" s="1"/>
  <c r="V60" i="6" s="1"/>
  <c r="V63" i="6" s="1"/>
  <c r="V36" i="6"/>
  <c r="V37" i="6" s="1"/>
  <c r="X37" i="13"/>
  <c r="V1059" i="9"/>
  <c r="F154" i="33"/>
  <c r="O36" i="13"/>
  <c r="W36" i="13"/>
  <c r="G38" i="13"/>
  <c r="O38" i="13"/>
  <c r="V85" i="1"/>
  <c r="I37" i="13"/>
  <c r="Q37" i="13"/>
  <c r="L798" i="9"/>
  <c r="L807" i="9" s="1"/>
  <c r="L800" i="9"/>
  <c r="L801" i="9" s="1"/>
  <c r="J885" i="9"/>
  <c r="J886" i="9" s="1"/>
  <c r="J883" i="9"/>
  <c r="J888" i="9" s="1"/>
  <c r="AB38" i="13"/>
  <c r="L40" i="13"/>
  <c r="T40" i="13"/>
  <c r="AB40" i="13"/>
  <c r="E6" i="36" s="1"/>
  <c r="E9" i="36" s="1"/>
  <c r="M1050" i="9"/>
  <c r="M1059" i="9" s="1"/>
  <c r="M1052" i="9"/>
  <c r="M1053" i="9" s="1"/>
  <c r="AB86" i="1"/>
  <c r="B35" i="13"/>
  <c r="J35" i="13"/>
  <c r="R35" i="13"/>
  <c r="Z35" i="13"/>
  <c r="B37" i="13"/>
  <c r="J37" i="13"/>
  <c r="R37" i="13"/>
  <c r="Z37" i="13"/>
  <c r="F38" i="13"/>
  <c r="N38" i="13"/>
  <c r="V38" i="13"/>
  <c r="R39" i="13"/>
  <c r="Z39" i="13"/>
  <c r="F40" i="13"/>
  <c r="N40" i="13"/>
  <c r="W804" i="9"/>
  <c r="G118" i="33"/>
  <c r="U893" i="9"/>
  <c r="E133" i="33"/>
  <c r="J70" i="1"/>
  <c r="Z70" i="1"/>
  <c r="C20" i="38"/>
  <c r="Q6" i="36"/>
  <c r="C35" i="13"/>
  <c r="K35" i="13"/>
  <c r="S35" i="13"/>
  <c r="AA35" i="13"/>
  <c r="W38" i="13"/>
  <c r="C39" i="13"/>
  <c r="K39" i="13"/>
  <c r="S39" i="13"/>
  <c r="AA39" i="13"/>
  <c r="G40" i="13"/>
  <c r="O40" i="13"/>
  <c r="W40" i="13"/>
  <c r="K70" i="1"/>
  <c r="AA70" i="1"/>
  <c r="H36" i="13"/>
  <c r="P36" i="13"/>
  <c r="X36" i="13"/>
  <c r="H38" i="13"/>
  <c r="P38" i="13"/>
  <c r="X38" i="13"/>
  <c r="D39" i="13"/>
  <c r="L39" i="13"/>
  <c r="T39" i="13"/>
  <c r="AB39" i="13"/>
  <c r="H40" i="13"/>
  <c r="P40" i="13"/>
  <c r="X40" i="13"/>
  <c r="E37" i="13"/>
  <c r="M37" i="13"/>
  <c r="U37" i="13"/>
  <c r="I38" i="13"/>
  <c r="Q38" i="13"/>
  <c r="Y38" i="13"/>
  <c r="E39" i="13"/>
  <c r="M39" i="13"/>
  <c r="U39" i="13"/>
  <c r="I40" i="13"/>
  <c r="Q40" i="13"/>
  <c r="B6" i="36" s="1"/>
  <c r="B9" i="36" s="1"/>
  <c r="Y40" i="13"/>
  <c r="L36" i="6"/>
  <c r="L37" i="6" s="1"/>
  <c r="M967" i="9"/>
  <c r="M973" i="9" s="1"/>
  <c r="M807" i="9"/>
  <c r="T36" i="6"/>
  <c r="T37" i="6" s="1"/>
  <c r="P797" i="9"/>
  <c r="L1050" i="9"/>
  <c r="L1059" i="9" s="1"/>
  <c r="K798" i="9"/>
  <c r="K807" i="9" s="1"/>
  <c r="R51" i="6"/>
  <c r="R52" i="6" s="1"/>
  <c r="T939" i="9"/>
  <c r="O93" i="6"/>
  <c r="O46" i="6"/>
  <c r="O88" i="6" s="1"/>
  <c r="P93" i="6"/>
  <c r="P46" i="6"/>
  <c r="P40" i="6" s="1"/>
  <c r="B53" i="1"/>
  <c r="Z53" i="1"/>
  <c r="AH53" i="1"/>
  <c r="M46" i="6"/>
  <c r="M93" i="6"/>
  <c r="U46" i="6"/>
  <c r="U93" i="6"/>
  <c r="K90" i="6"/>
  <c r="B15" i="27" s="1"/>
  <c r="K94" i="6"/>
  <c r="K126" i="6"/>
  <c r="K41" i="6"/>
  <c r="S90" i="6"/>
  <c r="S94" i="6"/>
  <c r="S126" i="6"/>
  <c r="S41" i="6"/>
  <c r="AA90" i="6"/>
  <c r="AA94" i="6"/>
  <c r="AA126" i="6"/>
  <c r="AA41" i="6"/>
  <c r="S25" i="4"/>
  <c r="C30" i="1"/>
  <c r="S30" i="1"/>
  <c r="AJ80" i="1"/>
  <c r="I53" i="1"/>
  <c r="Q53" i="1"/>
  <c r="Y53" i="1"/>
  <c r="AG53" i="1"/>
  <c r="AD64" i="20"/>
  <c r="S61" i="20"/>
  <c r="L93" i="6"/>
  <c r="G18" i="24"/>
  <c r="O18" i="24"/>
  <c r="W18" i="24"/>
  <c r="L94" i="6"/>
  <c r="L126" i="6"/>
  <c r="L41" i="6"/>
  <c r="L118" i="6"/>
  <c r="L40" i="6"/>
  <c r="T94" i="6"/>
  <c r="T126" i="6"/>
  <c r="T41" i="6"/>
  <c r="T118" i="6"/>
  <c r="AB94" i="6"/>
  <c r="AB126" i="6"/>
  <c r="AB41" i="6"/>
  <c r="AB118" i="6"/>
  <c r="T25" i="4"/>
  <c r="AB25" i="4"/>
  <c r="G30" i="1"/>
  <c r="W30" i="1"/>
  <c r="S93" i="6"/>
  <c r="S118" i="6"/>
  <c r="H18" i="24"/>
  <c r="P18" i="24"/>
  <c r="X18" i="24"/>
  <c r="AC46" i="6"/>
  <c r="AC93" i="6"/>
  <c r="W36" i="36"/>
  <c r="AJ28" i="19"/>
  <c r="AJ31" i="19" s="1"/>
  <c r="AJ33" i="19" s="1"/>
  <c r="AJ35" i="19" s="1"/>
  <c r="U25" i="4"/>
  <c r="H30" i="1"/>
  <c r="X30" i="1"/>
  <c r="AB90" i="6"/>
  <c r="T93" i="6"/>
  <c r="Y25" i="24"/>
  <c r="Y24" i="24"/>
  <c r="Y23" i="24"/>
  <c r="Y22" i="24"/>
  <c r="I18" i="24"/>
  <c r="Q18" i="24"/>
  <c r="Y18" i="24"/>
  <c r="Y21" i="24"/>
  <c r="N46" i="6"/>
  <c r="N88" i="6" s="1"/>
  <c r="N93" i="6"/>
  <c r="V46" i="6"/>
  <c r="V93" i="6"/>
  <c r="AD46" i="6"/>
  <c r="AD93" i="6"/>
  <c r="V25" i="4"/>
  <c r="Y30" i="1"/>
  <c r="V59" i="20"/>
  <c r="V29" i="1"/>
  <c r="AD59" i="20"/>
  <c r="AD29" i="1"/>
  <c r="B32" i="1"/>
  <c r="B79" i="1" s="1"/>
  <c r="B61" i="20"/>
  <c r="J79" i="1"/>
  <c r="R61" i="20"/>
  <c r="R32" i="1"/>
  <c r="R79" i="1" s="1"/>
  <c r="Z61" i="20"/>
  <c r="Z32" i="1"/>
  <c r="Z79" i="1" s="1"/>
  <c r="AH61" i="20"/>
  <c r="AH32" i="1"/>
  <c r="V33" i="1"/>
  <c r="V80" i="1" s="1"/>
  <c r="V62" i="20"/>
  <c r="AD33" i="1"/>
  <c r="AD80" i="1" s="1"/>
  <c r="AD62" i="20"/>
  <c r="B34" i="1"/>
  <c r="R63" i="20"/>
  <c r="R34" i="1"/>
  <c r="Z63" i="20"/>
  <c r="Z34" i="1"/>
  <c r="AA61" i="20"/>
  <c r="AA93" i="6"/>
  <c r="AA118" i="6"/>
  <c r="Z25" i="24"/>
  <c r="Z24" i="24"/>
  <c r="Z23" i="24"/>
  <c r="Z22" i="24"/>
  <c r="Z21" i="24"/>
  <c r="Z11" i="24"/>
  <c r="W25" i="4"/>
  <c r="E53" i="1"/>
  <c r="E76" i="1" s="1"/>
  <c r="M53" i="1"/>
  <c r="U53" i="1"/>
  <c r="AC53" i="1"/>
  <c r="L77" i="1"/>
  <c r="G31" i="1"/>
  <c r="G78" i="1" s="1"/>
  <c r="G60" i="20"/>
  <c r="W31" i="1"/>
  <c r="W78" i="1" s="1"/>
  <c r="W60" i="20"/>
  <c r="AE31" i="1"/>
  <c r="AE78" i="1" s="1"/>
  <c r="AE60" i="20"/>
  <c r="G33" i="1"/>
  <c r="G80" i="1" s="1"/>
  <c r="G62" i="20"/>
  <c r="W33" i="1"/>
  <c r="W80" i="1" s="1"/>
  <c r="W62" i="20"/>
  <c r="AE33" i="1"/>
  <c r="AE80" i="1" s="1"/>
  <c r="AE62" i="20"/>
  <c r="K40" i="6"/>
  <c r="AB93" i="6"/>
  <c r="X25" i="4"/>
  <c r="O30" i="1"/>
  <c r="S40" i="6"/>
  <c r="L18" i="24"/>
  <c r="T18" i="24"/>
  <c r="Q93" i="6"/>
  <c r="Q46" i="6"/>
  <c r="E77" i="1"/>
  <c r="M77" i="1"/>
  <c r="U77" i="1"/>
  <c r="Q25" i="4"/>
  <c r="P30" i="1"/>
  <c r="G53" i="1"/>
  <c r="O53" i="1"/>
  <c r="W53" i="1"/>
  <c r="AE53" i="1"/>
  <c r="AI61" i="20"/>
  <c r="T40" i="6"/>
  <c r="L90" i="6"/>
  <c r="R93" i="6"/>
  <c r="R46" i="6"/>
  <c r="R25" i="4"/>
  <c r="Z25" i="4"/>
  <c r="H53" i="1"/>
  <c r="P53" i="1"/>
  <c r="X53" i="1"/>
  <c r="AF53" i="1"/>
  <c r="B29" i="1"/>
  <c r="B59" i="20"/>
  <c r="R59" i="20"/>
  <c r="R29" i="1"/>
  <c r="Z59" i="20"/>
  <c r="Z29" i="1"/>
  <c r="AH59" i="20"/>
  <c r="AH29" i="1"/>
  <c r="V63" i="20"/>
  <c r="V34" i="1"/>
  <c r="AD63" i="20"/>
  <c r="K93" i="6"/>
  <c r="K118" i="6"/>
  <c r="F18" i="24"/>
  <c r="N18" i="24"/>
  <c r="V18" i="24"/>
  <c r="G51" i="20"/>
  <c r="AD85" i="24"/>
  <c r="AD86" i="24"/>
  <c r="AE52" i="20"/>
  <c r="AE64" i="20" s="1"/>
  <c r="AA10" i="24"/>
  <c r="AD18" i="24"/>
  <c r="AA85" i="24"/>
  <c r="AA86" i="24"/>
  <c r="AC85" i="24"/>
  <c r="AC86" i="24"/>
  <c r="T86" i="1"/>
  <c r="E70" i="1"/>
  <c r="M70" i="1"/>
  <c r="U70" i="1"/>
  <c r="AC70" i="1"/>
  <c r="AK70" i="1"/>
  <c r="G70" i="1"/>
  <c r="O70" i="1"/>
  <c r="W70" i="1"/>
  <c r="AE70" i="1"/>
  <c r="N70" i="1"/>
  <c r="AD70" i="1"/>
  <c r="U85" i="1"/>
  <c r="H70" i="1"/>
  <c r="P70" i="1"/>
  <c r="X70" i="1"/>
  <c r="AF70" i="1"/>
  <c r="B70" i="1"/>
  <c r="R70" i="1"/>
  <c r="AH70" i="1"/>
  <c r="E85" i="1"/>
  <c r="D36" i="13"/>
  <c r="L36" i="13"/>
  <c r="T36" i="13"/>
  <c r="AB36" i="13"/>
  <c r="H39" i="13"/>
  <c r="P39" i="13"/>
  <c r="X39" i="13"/>
  <c r="D40" i="13"/>
  <c r="L37" i="13"/>
  <c r="C70" i="1"/>
  <c r="S70" i="1"/>
  <c r="AI70" i="1"/>
  <c r="F85" i="1"/>
  <c r="I35" i="13"/>
  <c r="Q35" i="13"/>
  <c r="Y35" i="13"/>
  <c r="E36" i="13"/>
  <c r="M36" i="13"/>
  <c r="U36" i="13"/>
  <c r="E38" i="13"/>
  <c r="M38" i="13"/>
  <c r="U38" i="13"/>
  <c r="I39" i="13"/>
  <c r="Q39" i="13"/>
  <c r="Y39" i="13"/>
  <c r="E40" i="13"/>
  <c r="M40" i="13"/>
  <c r="U40" i="13"/>
  <c r="P85" i="1"/>
  <c r="X85" i="1"/>
  <c r="S86" i="1"/>
  <c r="AA86" i="1"/>
  <c r="H85" i="1"/>
  <c r="F70" i="1"/>
  <c r="V70" i="1"/>
  <c r="D70" i="1"/>
  <c r="L70" i="1"/>
  <c r="T70" i="1"/>
  <c r="AB70" i="1"/>
  <c r="AT8" i="15"/>
  <c r="AJ70" i="1"/>
  <c r="B85" i="1"/>
  <c r="J85" i="1"/>
  <c r="R85" i="1"/>
  <c r="Z85" i="1"/>
  <c r="L38" i="13"/>
  <c r="P51" i="6"/>
  <c r="P52" i="6" s="1"/>
  <c r="P36" i="6"/>
  <c r="P37" i="6" s="1"/>
  <c r="R6" i="36"/>
  <c r="S6" i="36"/>
  <c r="P105" i="6"/>
  <c r="P89" i="6"/>
  <c r="U60" i="6"/>
  <c r="K36" i="6"/>
  <c r="K37" i="6" s="1"/>
  <c r="S36" i="6"/>
  <c r="S37" i="6" s="1"/>
  <c r="Q51" i="6"/>
  <c r="Q52" i="6" s="1"/>
  <c r="O105" i="6"/>
  <c r="O89" i="6"/>
  <c r="M36" i="6"/>
  <c r="M37" i="6" s="1"/>
  <c r="U36" i="6"/>
  <c r="U37" i="6" s="1"/>
  <c r="Q89" i="6"/>
  <c r="Q105" i="6"/>
  <c r="R89" i="6"/>
  <c r="O36" i="6"/>
  <c r="O37" i="6" s="1"/>
  <c r="K89" i="6"/>
  <c r="B19" i="27" s="1"/>
  <c r="K105" i="6"/>
  <c r="B18" i="27" s="1"/>
  <c r="S89" i="6"/>
  <c r="S105" i="6"/>
  <c r="L105" i="6"/>
  <c r="L89" i="6"/>
  <c r="T105" i="6"/>
  <c r="T89" i="6"/>
  <c r="M105" i="6"/>
  <c r="U105" i="6"/>
  <c r="M89" i="6"/>
  <c r="N105" i="6"/>
  <c r="N89" i="6"/>
  <c r="V105" i="6"/>
  <c r="V89" i="6"/>
  <c r="L88" i="6"/>
  <c r="U89" i="6"/>
  <c r="O805" i="9"/>
  <c r="O806" i="9"/>
  <c r="O807" i="9"/>
  <c r="O803" i="9"/>
  <c r="O808" i="9"/>
  <c r="O32" i="24"/>
  <c r="O42" i="24" s="1"/>
  <c r="O43" i="24" s="1"/>
  <c r="O27" i="24"/>
  <c r="K893" i="9"/>
  <c r="K889" i="9"/>
  <c r="K890" i="9"/>
  <c r="K891" i="9"/>
  <c r="K888" i="9"/>
  <c r="K892" i="9"/>
  <c r="L893" i="9"/>
  <c r="L889" i="9"/>
  <c r="L890" i="9"/>
  <c r="L891" i="9"/>
  <c r="L888" i="9"/>
  <c r="L892" i="9"/>
  <c r="K969" i="9"/>
  <c r="K970" i="9" s="1"/>
  <c r="K967" i="9"/>
  <c r="J1058" i="9"/>
  <c r="J1059" i="9"/>
  <c r="J1055" i="9"/>
  <c r="J1060" i="9"/>
  <c r="J1056" i="9"/>
  <c r="J1057" i="9"/>
  <c r="J798" i="9"/>
  <c r="M890" i="9"/>
  <c r="M891" i="9"/>
  <c r="O1055" i="9"/>
  <c r="I32" i="24"/>
  <c r="I42" i="24" s="1"/>
  <c r="I43" i="24" s="1"/>
  <c r="I27" i="24"/>
  <c r="M46" i="24"/>
  <c r="M39" i="24"/>
  <c r="U46" i="24"/>
  <c r="U39" i="24"/>
  <c r="AC46" i="24"/>
  <c r="AC39" i="24"/>
  <c r="S48" i="24"/>
  <c r="S39" i="24"/>
  <c r="I39" i="24"/>
  <c r="N890" i="9"/>
  <c r="N891" i="9"/>
  <c r="N892" i="9"/>
  <c r="N888" i="9"/>
  <c r="M889" i="9"/>
  <c r="N977" i="9"/>
  <c r="N973" i="9"/>
  <c r="N974" i="9"/>
  <c r="N976" i="9"/>
  <c r="K32" i="24"/>
  <c r="K42" i="24" s="1"/>
  <c r="K43" i="24" s="1"/>
  <c r="K27" i="24"/>
  <c r="K39" i="24"/>
  <c r="O883" i="9"/>
  <c r="O885" i="9"/>
  <c r="O886" i="9" s="1"/>
  <c r="N889" i="9"/>
  <c r="M892" i="9"/>
  <c r="O977" i="9"/>
  <c r="O973" i="9"/>
  <c r="O974" i="9"/>
  <c r="O975" i="9"/>
  <c r="O976" i="9"/>
  <c r="AA39" i="24"/>
  <c r="P882" i="9"/>
  <c r="N1060" i="9"/>
  <c r="N1056" i="9"/>
  <c r="N1057" i="9"/>
  <c r="N1058" i="9"/>
  <c r="G32" i="24"/>
  <c r="G42" i="24" s="1"/>
  <c r="G43" i="24" s="1"/>
  <c r="G27" i="24"/>
  <c r="W32" i="24"/>
  <c r="W42" i="24" s="1"/>
  <c r="W43" i="24" s="1"/>
  <c r="W27" i="24"/>
  <c r="M808" i="9"/>
  <c r="M804" i="9"/>
  <c r="M805" i="9"/>
  <c r="M806" i="9"/>
  <c r="O1057" i="9"/>
  <c r="O1058" i="9"/>
  <c r="O1056" i="9"/>
  <c r="P32" i="24"/>
  <c r="P42" i="24" s="1"/>
  <c r="P43" i="24" s="1"/>
  <c r="P27" i="24"/>
  <c r="X32" i="24"/>
  <c r="X42" i="24" s="1"/>
  <c r="X43" i="24" s="1"/>
  <c r="X27" i="24"/>
  <c r="H32" i="24"/>
  <c r="H42" i="24" s="1"/>
  <c r="H43" i="24" s="1"/>
  <c r="N798" i="9"/>
  <c r="N800" i="9"/>
  <c r="N801" i="9" s="1"/>
  <c r="M888" i="9"/>
  <c r="J967" i="9"/>
  <c r="J969" i="9"/>
  <c r="J970" i="9" s="1"/>
  <c r="P966" i="9"/>
  <c r="O972" i="9"/>
  <c r="N975" i="9"/>
  <c r="O1059" i="9"/>
  <c r="Q32" i="24"/>
  <c r="Q42" i="24" s="1"/>
  <c r="Q43" i="24" s="1"/>
  <c r="Q27" i="24"/>
  <c r="Y32" i="24"/>
  <c r="Y42" i="24" s="1"/>
  <c r="Y43" i="24" s="1"/>
  <c r="Y27" i="24"/>
  <c r="AB78" i="24"/>
  <c r="AB71" i="24"/>
  <c r="Z80" i="24"/>
  <c r="J1052" i="9"/>
  <c r="J1053" i="9" s="1"/>
  <c r="P1049" i="9"/>
  <c r="N1055" i="9"/>
  <c r="S32" i="24"/>
  <c r="S42" i="24" s="1"/>
  <c r="S43" i="24" s="1"/>
  <c r="S27" i="24"/>
  <c r="L39" i="24"/>
  <c r="T39" i="24"/>
  <c r="AB39" i="24"/>
  <c r="M800" i="9"/>
  <c r="M801" i="9" s="1"/>
  <c r="L885" i="9"/>
  <c r="L886" i="9" s="1"/>
  <c r="O969" i="9"/>
  <c r="O970" i="9" s="1"/>
  <c r="N1052" i="9"/>
  <c r="N1053" i="9" s="1"/>
  <c r="O39" i="24"/>
  <c r="M885" i="9"/>
  <c r="M886" i="9" s="1"/>
  <c r="O1052" i="9"/>
  <c r="O1053" i="9" s="1"/>
  <c r="H39" i="24"/>
  <c r="P39" i="24"/>
  <c r="X39" i="24"/>
  <c r="Q39" i="24"/>
  <c r="O800" i="9"/>
  <c r="O801" i="9" s="1"/>
  <c r="N885" i="9"/>
  <c r="N886" i="9" s="1"/>
  <c r="F79" i="24"/>
  <c r="N79" i="24"/>
  <c r="V79" i="24"/>
  <c r="AD79" i="24"/>
  <c r="J39" i="24"/>
  <c r="R39" i="24"/>
  <c r="Z39" i="24"/>
  <c r="W39" i="24"/>
  <c r="Y39" i="24"/>
  <c r="J46" i="24"/>
  <c r="R46" i="24"/>
  <c r="Z46" i="24"/>
  <c r="Z71" i="24"/>
  <c r="AA84" i="24"/>
  <c r="Y86" i="24"/>
  <c r="K78" i="24"/>
  <c r="S78" i="24"/>
  <c r="AA78" i="24"/>
  <c r="V76" i="24"/>
  <c r="AD76" i="24"/>
  <c r="AA76" i="24"/>
  <c r="V71" i="24"/>
  <c r="AD71" i="24"/>
  <c r="U76" i="24"/>
  <c r="AC76" i="24"/>
  <c r="X84" i="24"/>
  <c r="AB86" i="24"/>
  <c r="W71" i="24"/>
  <c r="U78" i="24"/>
  <c r="AC78" i="24"/>
  <c r="AA80" i="24"/>
  <c r="Y84" i="24"/>
  <c r="X71" i="24"/>
  <c r="W76" i="24"/>
  <c r="Z84" i="24"/>
  <c r="Y71" i="24"/>
  <c r="Y85" i="24"/>
  <c r="AB84" i="24"/>
  <c r="AA71" i="24"/>
  <c r="BF50" i="1" l="1"/>
  <c r="A25" i="42"/>
  <c r="AU45" i="1"/>
  <c r="B40" i="42" s="1"/>
  <c r="AE141" i="24"/>
  <c r="V30" i="24"/>
  <c r="AK14" i="20"/>
  <c r="AE143" i="24"/>
  <c r="AC32" i="24"/>
  <c r="AC42" i="24" s="1"/>
  <c r="AC43" i="24" s="1"/>
  <c r="AB32" i="24"/>
  <c r="AB42" i="24" s="1"/>
  <c r="AB43" i="24" s="1"/>
  <c r="AA164" i="24"/>
  <c r="AF26" i="20"/>
  <c r="AE144" i="24"/>
  <c r="AC145" i="24"/>
  <c r="AC164" i="24"/>
  <c r="AD32" i="24"/>
  <c r="AD42" i="24" s="1"/>
  <c r="AD43" i="24" s="1"/>
  <c r="AD145" i="24"/>
  <c r="AD164" i="24"/>
  <c r="AB145" i="24"/>
  <c r="AB164" i="24"/>
  <c r="AE142" i="24"/>
  <c r="J892" i="9"/>
  <c r="R892" i="9" s="1"/>
  <c r="N30" i="24"/>
  <c r="P88" i="6"/>
  <c r="P109" i="6" s="1"/>
  <c r="L76" i="1"/>
  <c r="L1055" i="9"/>
  <c r="T1055" i="9" s="1"/>
  <c r="M972" i="9"/>
  <c r="E139" i="33" s="1"/>
  <c r="M977" i="9"/>
  <c r="U977" i="9" s="1"/>
  <c r="L1060" i="9"/>
  <c r="D155" i="33" s="1"/>
  <c r="A38" i="42"/>
  <c r="AU49" i="1"/>
  <c r="B44" i="42" s="1"/>
  <c r="AU50" i="1"/>
  <c r="B45" i="42" s="1"/>
  <c r="AU51" i="1"/>
  <c r="B46" i="42" s="1"/>
  <c r="AU48" i="1"/>
  <c r="B43" i="42" s="1"/>
  <c r="AU47" i="1"/>
  <c r="B42" i="42" s="1"/>
  <c r="AU46" i="1"/>
  <c r="B41" i="42" s="1"/>
  <c r="J889" i="9"/>
  <c r="R889" i="9" s="1"/>
  <c r="AJ14" i="20"/>
  <c r="J893" i="9"/>
  <c r="R893" i="9" s="1"/>
  <c r="AI14" i="20"/>
  <c r="J890" i="9"/>
  <c r="B130" i="33" s="1"/>
  <c r="AP10" i="24"/>
  <c r="AA32" i="24"/>
  <c r="AA42" i="24" s="1"/>
  <c r="AA43" i="24" s="1"/>
  <c r="AE84" i="24"/>
  <c r="AG26" i="20"/>
  <c r="L974" i="9"/>
  <c r="T974" i="9" s="1"/>
  <c r="K805" i="9"/>
  <c r="S805" i="9" s="1"/>
  <c r="D146" i="33"/>
  <c r="L975" i="9"/>
  <c r="D142" i="33" s="1"/>
  <c r="AF14" i="20"/>
  <c r="B14" i="20"/>
  <c r="L973" i="9"/>
  <c r="T973" i="9" s="1"/>
  <c r="K803" i="9"/>
  <c r="C117" i="33" s="1"/>
  <c r="K804" i="9"/>
  <c r="S804" i="9" s="1"/>
  <c r="L977" i="9"/>
  <c r="T977" i="9" s="1"/>
  <c r="K808" i="9"/>
  <c r="S808" i="9" s="1"/>
  <c r="L972" i="9"/>
  <c r="D139" i="33" s="1"/>
  <c r="AI26" i="20"/>
  <c r="AH76" i="1"/>
  <c r="S76" i="1"/>
  <c r="R76" i="1"/>
  <c r="B63" i="20"/>
  <c r="AJ26" i="20"/>
  <c r="K1057" i="9"/>
  <c r="S1057" i="9" s="1"/>
  <c r="R114" i="6"/>
  <c r="AK26" i="20"/>
  <c r="AH26" i="20"/>
  <c r="Z76" i="1"/>
  <c r="N24" i="38"/>
  <c r="X76" i="1"/>
  <c r="P76" i="1"/>
  <c r="G76" i="1"/>
  <c r="U76" i="1"/>
  <c r="Q76" i="1"/>
  <c r="AJ76" i="1"/>
  <c r="O76" i="1"/>
  <c r="H76" i="1"/>
  <c r="I76" i="1"/>
  <c r="AB76" i="1"/>
  <c r="AJ44" i="1"/>
  <c r="AM46" i="1" s="1"/>
  <c r="AJ68" i="1"/>
  <c r="N76" i="1"/>
  <c r="T76" i="1"/>
  <c r="Y76" i="1"/>
  <c r="D76" i="1"/>
  <c r="AA76" i="1"/>
  <c r="F76" i="1"/>
  <c r="AF76" i="1"/>
  <c r="AG76" i="1"/>
  <c r="AD76" i="1"/>
  <c r="AI76" i="1"/>
  <c r="L805" i="9"/>
  <c r="D119" i="33" s="1"/>
  <c r="L1057" i="9"/>
  <c r="T1057" i="9" s="1"/>
  <c r="M976" i="9"/>
  <c r="U976" i="9" s="1"/>
  <c r="L804" i="9"/>
  <c r="T804" i="9" s="1"/>
  <c r="L1056" i="9"/>
  <c r="T1056" i="9" s="1"/>
  <c r="L808" i="9"/>
  <c r="T808" i="9" s="1"/>
  <c r="L803" i="9"/>
  <c r="T803" i="9" s="1"/>
  <c r="K1060" i="9"/>
  <c r="C155" i="33" s="1"/>
  <c r="G48" i="38"/>
  <c r="K1055" i="9"/>
  <c r="C150" i="33" s="1"/>
  <c r="M974" i="9"/>
  <c r="U974" i="9" s="1"/>
  <c r="AG14" i="20"/>
  <c r="AD30" i="24"/>
  <c r="F30" i="24"/>
  <c r="AH14" i="20"/>
  <c r="K1059" i="9"/>
  <c r="S1059" i="9" s="1"/>
  <c r="AO10" i="24"/>
  <c r="AA27" i="24"/>
  <c r="U144" i="24"/>
  <c r="N26" i="38"/>
  <c r="M1057" i="9"/>
  <c r="U1057" i="9" s="1"/>
  <c r="V76" i="1"/>
  <c r="M1056" i="9"/>
  <c r="U1056" i="9" s="1"/>
  <c r="M1058" i="9"/>
  <c r="U1058" i="9" s="1"/>
  <c r="M1060" i="9"/>
  <c r="E155" i="33" s="1"/>
  <c r="U26" i="38"/>
  <c r="U24" i="38"/>
  <c r="M144" i="24"/>
  <c r="C28" i="38"/>
  <c r="C25" i="38"/>
  <c r="S27" i="38"/>
  <c r="O24" i="38"/>
  <c r="N22" i="38"/>
  <c r="V24" i="38"/>
  <c r="G43" i="38"/>
  <c r="R27" i="38"/>
  <c r="O26" i="38"/>
  <c r="V26" i="38"/>
  <c r="P798" i="9"/>
  <c r="P807" i="9" s="1"/>
  <c r="P800" i="9"/>
  <c r="P801" i="9" s="1"/>
  <c r="P144" i="24"/>
  <c r="P145" i="24"/>
  <c r="B76" i="1"/>
  <c r="Z144" i="24"/>
  <c r="Z145" i="24"/>
  <c r="H144" i="24"/>
  <c r="H145" i="24"/>
  <c r="L145" i="24"/>
  <c r="L144" i="24"/>
  <c r="S144" i="24"/>
  <c r="S145" i="24"/>
  <c r="Q27" i="38"/>
  <c r="M24" i="38"/>
  <c r="T145" i="24"/>
  <c r="T144" i="24"/>
  <c r="E28" i="38"/>
  <c r="C22" i="38"/>
  <c r="R144" i="24"/>
  <c r="R145" i="24"/>
  <c r="K144" i="24"/>
  <c r="K145" i="24"/>
  <c r="J144" i="24"/>
  <c r="J145" i="24"/>
  <c r="W144" i="24"/>
  <c r="W145" i="24"/>
  <c r="O28" i="38"/>
  <c r="O144" i="24"/>
  <c r="O145" i="24"/>
  <c r="V145" i="24"/>
  <c r="V144" i="24"/>
  <c r="K1058" i="9"/>
  <c r="C157" i="33"/>
  <c r="M26" i="38"/>
  <c r="Q42" i="38"/>
  <c r="Y144" i="24"/>
  <c r="Y145" i="24"/>
  <c r="G144" i="24"/>
  <c r="G145" i="24"/>
  <c r="N145" i="24"/>
  <c r="N144" i="24"/>
  <c r="V28" i="38"/>
  <c r="AE85" i="24"/>
  <c r="Q44" i="38"/>
  <c r="Q144" i="24"/>
  <c r="Q145" i="24"/>
  <c r="F145" i="24"/>
  <c r="F144" i="24"/>
  <c r="Q25" i="38"/>
  <c r="U28" i="38"/>
  <c r="I144" i="24"/>
  <c r="I145" i="24"/>
  <c r="X144" i="24"/>
  <c r="X145" i="24"/>
  <c r="N28" i="38"/>
  <c r="M28" i="38"/>
  <c r="M112" i="6"/>
  <c r="D14" i="27"/>
  <c r="M16" i="27"/>
  <c r="AB34" i="4" s="1"/>
  <c r="V113" i="6"/>
  <c r="P115" i="6"/>
  <c r="G13" i="27"/>
  <c r="T14" i="38"/>
  <c r="Z8" i="36"/>
  <c r="Z7" i="36"/>
  <c r="M106" i="6"/>
  <c r="T106" i="6"/>
  <c r="U103" i="6"/>
  <c r="L9" i="27"/>
  <c r="L7" i="27" s="1"/>
  <c r="N16" i="27"/>
  <c r="AC34" i="4" s="1"/>
  <c r="W113" i="6"/>
  <c r="R14" i="27"/>
  <c r="AA112" i="6"/>
  <c r="T85" i="6"/>
  <c r="W28" i="37"/>
  <c r="W67" i="37"/>
  <c r="Y113" i="6"/>
  <c r="P16" i="27"/>
  <c r="AE34" i="4" s="1"/>
  <c r="U28" i="37"/>
  <c r="U67" i="37"/>
  <c r="L106" i="6"/>
  <c r="V7" i="36"/>
  <c r="AB112" i="6"/>
  <c r="S14" i="27"/>
  <c r="J14" i="27"/>
  <c r="S112" i="6"/>
  <c r="L16" i="27"/>
  <c r="AA34" i="4" s="1"/>
  <c r="U113" i="6"/>
  <c r="AB113" i="6"/>
  <c r="S16" i="27"/>
  <c r="AH34" i="4" s="1"/>
  <c r="D74" i="38"/>
  <c r="D23" i="38"/>
  <c r="D47" i="38"/>
  <c r="D45" i="38"/>
  <c r="D43" i="38"/>
  <c r="D41" i="38"/>
  <c r="D48" i="38"/>
  <c r="D46" i="38"/>
  <c r="D44" i="38"/>
  <c r="D42" i="38"/>
  <c r="D17" i="38"/>
  <c r="D76" i="38" s="1"/>
  <c r="U14" i="27"/>
  <c r="AD112" i="6"/>
  <c r="N13" i="27"/>
  <c r="Q85" i="6"/>
  <c r="U115" i="6"/>
  <c r="L13" i="27"/>
  <c r="T112" i="6"/>
  <c r="K14" i="27"/>
  <c r="AA115" i="6"/>
  <c r="R13" i="27"/>
  <c r="Q14" i="27"/>
  <c r="Z112" i="6"/>
  <c r="P14" i="27"/>
  <c r="Y112" i="6"/>
  <c r="V60" i="37"/>
  <c r="P103" i="6"/>
  <c r="G9" i="27"/>
  <c r="G7" i="27" s="1"/>
  <c r="AA65" i="35"/>
  <c r="AA72" i="35" s="1"/>
  <c r="AA70" i="35"/>
  <c r="AA74" i="35" s="1"/>
  <c r="U13" i="27"/>
  <c r="AD115" i="6"/>
  <c r="M14" i="27"/>
  <c r="V112" i="6"/>
  <c r="W49" i="37"/>
  <c r="AE34" i="19"/>
  <c r="AE35" i="19" s="1"/>
  <c r="AA35" i="19"/>
  <c r="AD34" i="19"/>
  <c r="AD35" i="19" s="1"/>
  <c r="AC34" i="19"/>
  <c r="AC35" i="19" s="1"/>
  <c r="AB34" i="19"/>
  <c r="AB35" i="19" s="1"/>
  <c r="R106" i="6"/>
  <c r="AC76" i="1"/>
  <c r="L112" i="6"/>
  <c r="C14" i="27"/>
  <c r="O14" i="38"/>
  <c r="U7" i="36"/>
  <c r="U8" i="36"/>
  <c r="I14" i="27"/>
  <c r="R112" i="6"/>
  <c r="H14" i="27"/>
  <c r="Q112" i="6"/>
  <c r="AA113" i="6"/>
  <c r="R16" i="27"/>
  <c r="AG34" i="4" s="1"/>
  <c r="V106" i="6"/>
  <c r="E14" i="27"/>
  <c r="N112" i="6"/>
  <c r="X113" i="6"/>
  <c r="L35" i="19"/>
  <c r="O34" i="19"/>
  <c r="O35" i="19" s="1"/>
  <c r="G34" i="19"/>
  <c r="G35" i="19" s="1"/>
  <c r="N34" i="19"/>
  <c r="N35" i="19" s="1"/>
  <c r="F34" i="19"/>
  <c r="F35" i="19" s="1"/>
  <c r="M34" i="19"/>
  <c r="M35" i="19" s="1"/>
  <c r="E34" i="19"/>
  <c r="E35" i="19" s="1"/>
  <c r="D34" i="19"/>
  <c r="D35" i="19" s="1"/>
  <c r="K34" i="19"/>
  <c r="K35" i="19" s="1"/>
  <c r="C34" i="19"/>
  <c r="C35" i="19" s="1"/>
  <c r="J34" i="19"/>
  <c r="J35" i="19" s="1"/>
  <c r="B34" i="19"/>
  <c r="B35" i="19" s="1"/>
  <c r="I34" i="19"/>
  <c r="I35" i="19" s="1"/>
  <c r="P34" i="19"/>
  <c r="H34" i="19"/>
  <c r="H35" i="19" s="1"/>
  <c r="X33" i="19"/>
  <c r="X34" i="19" s="1"/>
  <c r="P48" i="38"/>
  <c r="P46" i="38"/>
  <c r="P44" i="38"/>
  <c r="P42" i="38"/>
  <c r="P74" i="38"/>
  <c r="P23" i="38"/>
  <c r="P47" i="38"/>
  <c r="P45" i="38"/>
  <c r="P43" i="38"/>
  <c r="P41" i="38"/>
  <c r="P17" i="38"/>
  <c r="P76" i="38" s="1"/>
  <c r="J9" i="27"/>
  <c r="J7" i="27" s="1"/>
  <c r="S85" i="6"/>
  <c r="V48" i="38"/>
  <c r="V46" i="38"/>
  <c r="V44" i="38"/>
  <c r="V42" i="38"/>
  <c r="V74" i="38"/>
  <c r="V23" i="38"/>
  <c r="V45" i="38"/>
  <c r="V17" i="38"/>
  <c r="V76" i="38" s="1"/>
  <c r="V47" i="38"/>
  <c r="V41" i="38"/>
  <c r="V43" i="38"/>
  <c r="Y115" i="6"/>
  <c r="P13" i="27"/>
  <c r="U14" i="38"/>
  <c r="AA7" i="36"/>
  <c r="P875" i="9"/>
  <c r="N106" i="6"/>
  <c r="R14" i="38"/>
  <c r="X7" i="36"/>
  <c r="X8" i="36"/>
  <c r="X37" i="36" s="1"/>
  <c r="V47" i="37"/>
  <c r="V49" i="37" s="1"/>
  <c r="T90" i="6"/>
  <c r="K15" i="27" s="1"/>
  <c r="AB7" i="36"/>
  <c r="AC112" i="6"/>
  <c r="T14" i="27"/>
  <c r="H14" i="38"/>
  <c r="R8" i="36"/>
  <c r="R7" i="36"/>
  <c r="B9" i="27"/>
  <c r="B7" i="27" s="1"/>
  <c r="K103" i="6"/>
  <c r="K85" i="6"/>
  <c r="Z115" i="6"/>
  <c r="Q13" i="27"/>
  <c r="V85" i="6"/>
  <c r="Q115" i="6"/>
  <c r="H13" i="27"/>
  <c r="U85" i="6"/>
  <c r="O14" i="27"/>
  <c r="X112" i="6"/>
  <c r="R85" i="6"/>
  <c r="Z76" i="35"/>
  <c r="Z79" i="35"/>
  <c r="S14" i="38"/>
  <c r="Y8" i="36"/>
  <c r="AB8" i="36"/>
  <c r="Z113" i="6"/>
  <c r="U34" i="19"/>
  <c r="U35" i="19" s="1"/>
  <c r="Q35" i="19"/>
  <c r="T34" i="19"/>
  <c r="T35" i="19" s="1"/>
  <c r="S34" i="19"/>
  <c r="S35" i="19" s="1"/>
  <c r="R34" i="19"/>
  <c r="R35" i="19" s="1"/>
  <c r="L113" i="6"/>
  <c r="V8" i="36"/>
  <c r="U112" i="6"/>
  <c r="L14" i="27"/>
  <c r="AB76" i="35"/>
  <c r="AB79" i="35"/>
  <c r="M85" i="6"/>
  <c r="X115" i="6"/>
  <c r="O13" i="27"/>
  <c r="G14" i="27"/>
  <c r="P112" i="6"/>
  <c r="M9" i="27"/>
  <c r="M7" i="27" s="1"/>
  <c r="V103" i="6"/>
  <c r="W34" i="19"/>
  <c r="W35" i="19" s="1"/>
  <c r="Z34" i="19"/>
  <c r="Z35" i="19" s="1"/>
  <c r="V35" i="19"/>
  <c r="Y34" i="19"/>
  <c r="Y35" i="19" s="1"/>
  <c r="F48" i="38"/>
  <c r="F46" i="38"/>
  <c r="F44" i="38"/>
  <c r="F42" i="38"/>
  <c r="F74" i="38"/>
  <c r="F23" i="38"/>
  <c r="F41" i="38"/>
  <c r="F43" i="38"/>
  <c r="F17" i="38"/>
  <c r="F76" i="38" s="1"/>
  <c r="F45" i="38"/>
  <c r="F47" i="38"/>
  <c r="P35" i="19"/>
  <c r="AC115" i="6"/>
  <c r="T13" i="27"/>
  <c r="AB115" i="6"/>
  <c r="S13" i="27"/>
  <c r="S106" i="6"/>
  <c r="AC113" i="6"/>
  <c r="J891" i="9"/>
  <c r="B135" i="33"/>
  <c r="M975" i="9"/>
  <c r="E146" i="33"/>
  <c r="K806" i="9"/>
  <c r="C124" i="33"/>
  <c r="U807" i="9"/>
  <c r="E121" i="33"/>
  <c r="D157" i="33"/>
  <c r="L1058" i="9"/>
  <c r="E157" i="33"/>
  <c r="M1055" i="9"/>
  <c r="L806" i="9"/>
  <c r="D124" i="33"/>
  <c r="P77" i="1"/>
  <c r="N126" i="6"/>
  <c r="N41" i="6"/>
  <c r="N118" i="6"/>
  <c r="N40" i="6"/>
  <c r="N90" i="6"/>
  <c r="N94" i="6"/>
  <c r="Y26" i="24"/>
  <c r="H77" i="1"/>
  <c r="W76" i="1"/>
  <c r="G63" i="20"/>
  <c r="G52" i="20"/>
  <c r="G64" i="20" s="1"/>
  <c r="J15" i="27"/>
  <c r="AA145" i="24"/>
  <c r="AN10" i="24"/>
  <c r="R40" i="6"/>
  <c r="R90" i="6"/>
  <c r="R94" i="6"/>
  <c r="R126" i="6"/>
  <c r="R41" i="6"/>
  <c r="R118" i="6"/>
  <c r="O77" i="1"/>
  <c r="Q118" i="6"/>
  <c r="Q40" i="6"/>
  <c r="Q90" i="6"/>
  <c r="Q94" i="6"/>
  <c r="Q126" i="6"/>
  <c r="Q41" i="6"/>
  <c r="M76" i="1"/>
  <c r="S77" i="1"/>
  <c r="U94" i="6"/>
  <c r="U126" i="6"/>
  <c r="U41" i="6"/>
  <c r="U118" i="6"/>
  <c r="U40" i="6"/>
  <c r="U90" i="6"/>
  <c r="Z26" i="24"/>
  <c r="AD126" i="6"/>
  <c r="AD41" i="6"/>
  <c r="AD118" i="6"/>
  <c r="AD90" i="6"/>
  <c r="AD94" i="6"/>
  <c r="S15" i="27"/>
  <c r="AB111" i="6"/>
  <c r="C77" i="1"/>
  <c r="AE76" i="1"/>
  <c r="O118" i="6"/>
  <c r="O40" i="6"/>
  <c r="O90" i="6"/>
  <c r="O126" i="6"/>
  <c r="O94" i="6"/>
  <c r="O41" i="6"/>
  <c r="L111" i="6"/>
  <c r="C15" i="27"/>
  <c r="Y77" i="1"/>
  <c r="AC94" i="6"/>
  <c r="AC126" i="6"/>
  <c r="AC41" i="6"/>
  <c r="AC118" i="6"/>
  <c r="AC90" i="6"/>
  <c r="W77" i="1"/>
  <c r="R15" i="27"/>
  <c r="M94" i="6"/>
  <c r="M126" i="6"/>
  <c r="M41" i="6"/>
  <c r="M118" i="6"/>
  <c r="M40" i="6"/>
  <c r="M90" i="6"/>
  <c r="P118" i="6"/>
  <c r="P90" i="6"/>
  <c r="P94" i="6"/>
  <c r="P41" i="6"/>
  <c r="P126" i="6"/>
  <c r="X77" i="1"/>
  <c r="AE86" i="24"/>
  <c r="V126" i="6"/>
  <c r="V41" i="6"/>
  <c r="V118" i="6"/>
  <c r="V40" i="6"/>
  <c r="V90" i="6"/>
  <c r="V94" i="6"/>
  <c r="G77" i="1"/>
  <c r="R40" i="24"/>
  <c r="R30" i="24"/>
  <c r="Q40" i="24"/>
  <c r="Q30" i="24"/>
  <c r="W1058" i="9"/>
  <c r="G153" i="33"/>
  <c r="V1060" i="9"/>
  <c r="F155" i="33"/>
  <c r="U892" i="9"/>
  <c r="E132" i="33"/>
  <c r="K40" i="24"/>
  <c r="K30" i="24"/>
  <c r="V891" i="9"/>
  <c r="F131" i="33"/>
  <c r="M40" i="24"/>
  <c r="M30" i="24"/>
  <c r="J807" i="9"/>
  <c r="J803" i="9"/>
  <c r="J808" i="9"/>
  <c r="J804" i="9"/>
  <c r="J805" i="9"/>
  <c r="J806" i="9"/>
  <c r="B124" i="33"/>
  <c r="R1058" i="9"/>
  <c r="B153" i="33"/>
  <c r="T893" i="9"/>
  <c r="D133" i="33"/>
  <c r="W807" i="9"/>
  <c r="G121" i="33"/>
  <c r="N110" i="6"/>
  <c r="E19" i="27"/>
  <c r="L114" i="6"/>
  <c r="C18" i="27"/>
  <c r="AV8" i="15"/>
  <c r="J30" i="24"/>
  <c r="J40" i="24"/>
  <c r="X30" i="24"/>
  <c r="X40" i="24"/>
  <c r="N805" i="9"/>
  <c r="N806" i="9"/>
  <c r="N808" i="9"/>
  <c r="N803" i="9"/>
  <c r="N804" i="9"/>
  <c r="N807" i="9"/>
  <c r="F124" i="33"/>
  <c r="W1057" i="9"/>
  <c r="G152" i="33"/>
  <c r="R888" i="9"/>
  <c r="B128" i="33"/>
  <c r="P885" i="9"/>
  <c r="P886" i="9" s="1"/>
  <c r="P883" i="9"/>
  <c r="V889" i="9"/>
  <c r="F129" i="33"/>
  <c r="V976" i="9"/>
  <c r="F143" i="33"/>
  <c r="V890" i="9"/>
  <c r="F130" i="33"/>
  <c r="I40" i="24"/>
  <c r="I30" i="24"/>
  <c r="W806" i="9"/>
  <c r="G120" i="33"/>
  <c r="S110" i="6"/>
  <c r="J19" i="27"/>
  <c r="O110" i="6"/>
  <c r="F19" i="27"/>
  <c r="C10" i="36"/>
  <c r="P40" i="24"/>
  <c r="P30" i="24"/>
  <c r="T1059" i="9"/>
  <c r="D154" i="33"/>
  <c r="V974" i="9"/>
  <c r="F141" i="33"/>
  <c r="S40" i="24"/>
  <c r="S30" i="24"/>
  <c r="S892" i="9"/>
  <c r="C132" i="33"/>
  <c r="W805" i="9"/>
  <c r="G119" i="33"/>
  <c r="E20" i="27"/>
  <c r="M110" i="6"/>
  <c r="D19" i="27"/>
  <c r="P114" i="6"/>
  <c r="G18" i="27"/>
  <c r="B10" i="36"/>
  <c r="B11" i="36" s="1"/>
  <c r="H30" i="24"/>
  <c r="H40" i="24"/>
  <c r="P1050" i="9"/>
  <c r="P1052" i="9"/>
  <c r="P1053" i="9" s="1"/>
  <c r="S1056" i="9"/>
  <c r="C151" i="33"/>
  <c r="W1059" i="9"/>
  <c r="G154" i="33"/>
  <c r="P967" i="9"/>
  <c r="P969" i="9"/>
  <c r="P970" i="9" s="1"/>
  <c r="U806" i="9"/>
  <c r="E120" i="33"/>
  <c r="W976" i="9"/>
  <c r="G143" i="33"/>
  <c r="O891" i="9"/>
  <c r="O892" i="9"/>
  <c r="O888" i="9"/>
  <c r="O889" i="9"/>
  <c r="O893" i="9"/>
  <c r="O890" i="9"/>
  <c r="G135" i="33"/>
  <c r="V973" i="9"/>
  <c r="F140" i="33"/>
  <c r="R1057" i="9"/>
  <c r="B152" i="33"/>
  <c r="T892" i="9"/>
  <c r="D132" i="33"/>
  <c r="S888" i="9"/>
  <c r="C128" i="33"/>
  <c r="V110" i="6"/>
  <c r="M19" i="27"/>
  <c r="N114" i="6"/>
  <c r="E18" i="27"/>
  <c r="U114" i="6"/>
  <c r="L18" i="27"/>
  <c r="O109" i="6"/>
  <c r="F20" i="27"/>
  <c r="V75" i="6"/>
  <c r="V66" i="6"/>
  <c r="G40" i="24"/>
  <c r="V975" i="9"/>
  <c r="F142" i="33"/>
  <c r="U805" i="9"/>
  <c r="E119" i="33"/>
  <c r="U1059" i="9"/>
  <c r="E154" i="33"/>
  <c r="W975" i="9"/>
  <c r="G142" i="33"/>
  <c r="V977" i="9"/>
  <c r="F144" i="33"/>
  <c r="AC30" i="24"/>
  <c r="W1055" i="9"/>
  <c r="G150" i="33"/>
  <c r="R1056" i="9"/>
  <c r="B151" i="33"/>
  <c r="T888" i="9"/>
  <c r="D128" i="33"/>
  <c r="S891" i="9"/>
  <c r="C131" i="33"/>
  <c r="T110" i="6"/>
  <c r="K19" i="27"/>
  <c r="Q114" i="6"/>
  <c r="H18" i="27"/>
  <c r="O114" i="6"/>
  <c r="F18" i="27"/>
  <c r="D10" i="36"/>
  <c r="Y40" i="24"/>
  <c r="Y30" i="24"/>
  <c r="AB30" i="24"/>
  <c r="V1055" i="9"/>
  <c r="F150" i="33"/>
  <c r="W972" i="9"/>
  <c r="G139" i="33"/>
  <c r="J975" i="9"/>
  <c r="J976" i="9"/>
  <c r="J972" i="9"/>
  <c r="J977" i="9"/>
  <c r="J974" i="9"/>
  <c r="J973" i="9"/>
  <c r="B146" i="33"/>
  <c r="T976" i="9"/>
  <c r="D143" i="33"/>
  <c r="U804" i="9"/>
  <c r="E118" i="33"/>
  <c r="V1058" i="9"/>
  <c r="F153" i="33"/>
  <c r="W974" i="9"/>
  <c r="G141" i="33"/>
  <c r="U889" i="9"/>
  <c r="E129" i="33"/>
  <c r="U891" i="9"/>
  <c r="E131" i="33"/>
  <c r="R1060" i="9"/>
  <c r="B155" i="33"/>
  <c r="K975" i="9"/>
  <c r="K976" i="9"/>
  <c r="K972" i="9"/>
  <c r="K977" i="9"/>
  <c r="K973" i="9"/>
  <c r="K974" i="9"/>
  <c r="C146" i="33"/>
  <c r="T891" i="9"/>
  <c r="D131" i="33"/>
  <c r="S890" i="9"/>
  <c r="C130" i="33"/>
  <c r="T114" i="6"/>
  <c r="K18" i="27"/>
  <c r="U63" i="6"/>
  <c r="W40" i="24"/>
  <c r="W30" i="24"/>
  <c r="O40" i="24"/>
  <c r="O30" i="24"/>
  <c r="T40" i="24"/>
  <c r="T30" i="24"/>
  <c r="U888" i="9"/>
  <c r="E128" i="33"/>
  <c r="U808" i="9"/>
  <c r="E122" i="33"/>
  <c r="V1057" i="9"/>
  <c r="F152" i="33"/>
  <c r="W973" i="9"/>
  <c r="G140" i="33"/>
  <c r="V888" i="9"/>
  <c r="F128" i="33"/>
  <c r="S807" i="9"/>
  <c r="C121" i="33"/>
  <c r="U30" i="24"/>
  <c r="U40" i="24"/>
  <c r="U890" i="9"/>
  <c r="E130" i="33"/>
  <c r="R1055" i="9"/>
  <c r="B150" i="33"/>
  <c r="T890" i="9"/>
  <c r="D130" i="33"/>
  <c r="S889" i="9"/>
  <c r="C129" i="33"/>
  <c r="W808" i="9"/>
  <c r="G122" i="33"/>
  <c r="U110" i="6"/>
  <c r="L19" i="27"/>
  <c r="V114" i="6"/>
  <c r="M18" i="27"/>
  <c r="R110" i="6"/>
  <c r="I19" i="27"/>
  <c r="Q110" i="6"/>
  <c r="H19" i="27"/>
  <c r="V64" i="6"/>
  <c r="E10" i="36"/>
  <c r="Z30" i="24"/>
  <c r="Z40" i="24"/>
  <c r="L40" i="24"/>
  <c r="L30" i="24"/>
  <c r="U973" i="9"/>
  <c r="E140" i="33"/>
  <c r="T807" i="9"/>
  <c r="D121" i="33"/>
  <c r="W1056" i="9"/>
  <c r="G151" i="33"/>
  <c r="V1056" i="9"/>
  <c r="F151" i="33"/>
  <c r="AA30" i="24"/>
  <c r="W977" i="9"/>
  <c r="G144" i="33"/>
  <c r="V892" i="9"/>
  <c r="F132" i="33"/>
  <c r="R1059" i="9"/>
  <c r="B154" i="33"/>
  <c r="T889" i="9"/>
  <c r="D129" i="33"/>
  <c r="S893" i="9"/>
  <c r="C133" i="33"/>
  <c r="W803" i="9"/>
  <c r="G117" i="33"/>
  <c r="C20" i="27"/>
  <c r="M114" i="6"/>
  <c r="D18" i="27"/>
  <c r="L110" i="6"/>
  <c r="C19" i="27"/>
  <c r="S114" i="6"/>
  <c r="J18" i="27"/>
  <c r="P110" i="6"/>
  <c r="G19" i="27"/>
  <c r="AF13" i="20" l="1"/>
  <c r="AF39" i="20" s="1"/>
  <c r="AF64" i="20" s="1"/>
  <c r="T975" i="9"/>
  <c r="AC40" i="24"/>
  <c r="C122" i="33"/>
  <c r="T1060" i="9"/>
  <c r="T805" i="9"/>
  <c r="B132" i="33"/>
  <c r="P808" i="9"/>
  <c r="H122" i="33" s="1"/>
  <c r="D150" i="33"/>
  <c r="AB40" i="24"/>
  <c r="AE145" i="24"/>
  <c r="B129" i="33"/>
  <c r="S1055" i="9"/>
  <c r="D117" i="33"/>
  <c r="C154" i="33"/>
  <c r="H124" i="33"/>
  <c r="P805" i="9"/>
  <c r="X805" i="9" s="1"/>
  <c r="P803" i="9"/>
  <c r="X803" i="9" s="1"/>
  <c r="T972" i="9"/>
  <c r="P806" i="9"/>
  <c r="X806" i="9" s="1"/>
  <c r="E153" i="33"/>
  <c r="G20" i="27"/>
  <c r="D141" i="33"/>
  <c r="S803" i="9"/>
  <c r="D140" i="33"/>
  <c r="E144" i="33"/>
  <c r="U972" i="9"/>
  <c r="AI13" i="20"/>
  <c r="AI63" i="20" s="1"/>
  <c r="R890" i="9"/>
  <c r="C118" i="33"/>
  <c r="D151" i="33"/>
  <c r="AG13" i="20"/>
  <c r="AG39" i="20" s="1"/>
  <c r="AG64" i="20" s="1"/>
  <c r="P804" i="9"/>
  <c r="H118" i="33" s="1"/>
  <c r="E152" i="33"/>
  <c r="AD40" i="24"/>
  <c r="S1060" i="9"/>
  <c r="D144" i="33"/>
  <c r="AJ13" i="20"/>
  <c r="AJ34" i="1" s="1"/>
  <c r="E141" i="33"/>
  <c r="E151" i="33"/>
  <c r="B133" i="33"/>
  <c r="AA40" i="24"/>
  <c r="D152" i="33"/>
  <c r="C119" i="33"/>
  <c r="AU61" i="1"/>
  <c r="E143" i="33"/>
  <c r="C152" i="33"/>
  <c r="AH13" i="20"/>
  <c r="AH63" i="20" s="1"/>
  <c r="T111" i="6"/>
  <c r="D122" i="33"/>
  <c r="U1060" i="9"/>
  <c r="D118" i="33"/>
  <c r="R9" i="36"/>
  <c r="AG34" i="1"/>
  <c r="S1058" i="9"/>
  <c r="C153" i="33"/>
  <c r="B6" i="27"/>
  <c r="K88" i="6"/>
  <c r="X36" i="36"/>
  <c r="L115" i="6"/>
  <c r="C13" i="27"/>
  <c r="T115" i="6"/>
  <c r="K13" i="27"/>
  <c r="R74" i="38"/>
  <c r="R23" i="38"/>
  <c r="R47" i="38"/>
  <c r="R45" i="38"/>
  <c r="R43" i="38"/>
  <c r="R41" i="38"/>
  <c r="R46" i="38"/>
  <c r="R48" i="38"/>
  <c r="R42" i="38"/>
  <c r="R44" i="38"/>
  <c r="R17" i="38"/>
  <c r="R76" i="38" s="1"/>
  <c r="X35" i="19"/>
  <c r="M115" i="6"/>
  <c r="D13" i="27"/>
  <c r="L6" i="27"/>
  <c r="U88" i="6"/>
  <c r="E13" i="27"/>
  <c r="N115" i="6"/>
  <c r="O115" i="6"/>
  <c r="R115" i="6"/>
  <c r="I13" i="27"/>
  <c r="D6" i="27"/>
  <c r="E14" i="38" s="1"/>
  <c r="M88" i="6"/>
  <c r="S74" i="38"/>
  <c r="S23" i="38"/>
  <c r="S47" i="38"/>
  <c r="S45" i="38"/>
  <c r="S43" i="38"/>
  <c r="S41" i="38"/>
  <c r="S48" i="38"/>
  <c r="S46" i="38"/>
  <c r="S44" i="38"/>
  <c r="S42" i="38"/>
  <c r="S17" i="38"/>
  <c r="S76" i="38" s="1"/>
  <c r="J6" i="27"/>
  <c r="K14" i="38" s="1"/>
  <c r="S88" i="6"/>
  <c r="H6" i="27"/>
  <c r="I14" i="38" s="1"/>
  <c r="Q88" i="6"/>
  <c r="M13" i="27"/>
  <c r="V115" i="6"/>
  <c r="W115" i="6"/>
  <c r="M6" i="27"/>
  <c r="V88" i="6"/>
  <c r="U47" i="38"/>
  <c r="U45" i="38"/>
  <c r="U43" i="38"/>
  <c r="U41" i="38"/>
  <c r="U48" i="38"/>
  <c r="U46" i="38"/>
  <c r="U44" i="38"/>
  <c r="U42" i="38"/>
  <c r="U17" i="38"/>
  <c r="U76" i="38" s="1"/>
  <c r="U23" i="38"/>
  <c r="U74" i="38"/>
  <c r="O48" i="38"/>
  <c r="O46" i="38"/>
  <c r="O44" i="38"/>
  <c r="O42" i="38"/>
  <c r="O74" i="38"/>
  <c r="O23" i="38"/>
  <c r="O47" i="38"/>
  <c r="O45" i="38"/>
  <c r="O43" i="38"/>
  <c r="O41" i="38"/>
  <c r="O17" i="38"/>
  <c r="O76" i="38" s="1"/>
  <c r="T74" i="38"/>
  <c r="T23" i="38"/>
  <c r="T47" i="38"/>
  <c r="T45" i="38"/>
  <c r="T43" i="38"/>
  <c r="T41" i="38"/>
  <c r="T48" i="38"/>
  <c r="T46" i="38"/>
  <c r="T44" i="38"/>
  <c r="T42" i="38"/>
  <c r="T17" i="38"/>
  <c r="T76" i="38" s="1"/>
  <c r="I6" i="27"/>
  <c r="J14" i="38" s="1"/>
  <c r="R88" i="6"/>
  <c r="H48" i="38"/>
  <c r="AF48" i="38" s="1"/>
  <c r="AJ48" i="38" s="1"/>
  <c r="H46" i="38"/>
  <c r="H44" i="38"/>
  <c r="H42" i="38"/>
  <c r="AF42" i="38" s="1"/>
  <c r="AJ42" i="38" s="1"/>
  <c r="H74" i="38"/>
  <c r="H23" i="38"/>
  <c r="H47" i="38"/>
  <c r="H45" i="38"/>
  <c r="H43" i="38"/>
  <c r="H41" i="38"/>
  <c r="AF41" i="38" s="1"/>
  <c r="AJ41" i="38" s="1"/>
  <c r="H17" i="38"/>
  <c r="H76" i="38" s="1"/>
  <c r="V28" i="37"/>
  <c r="V67" i="37"/>
  <c r="AA76" i="35"/>
  <c r="AA79" i="35"/>
  <c r="S115" i="6"/>
  <c r="J13" i="27"/>
  <c r="K6" i="27"/>
  <c r="L14" i="38" s="1"/>
  <c r="T88" i="6"/>
  <c r="R891" i="9"/>
  <c r="B131" i="33"/>
  <c r="T806" i="9"/>
  <c r="D120" i="33"/>
  <c r="T1058" i="9"/>
  <c r="D153" i="33"/>
  <c r="U1055" i="9"/>
  <c r="E150" i="33"/>
  <c r="U975" i="9"/>
  <c r="E142" i="33"/>
  <c r="S806" i="9"/>
  <c r="C120" i="33"/>
  <c r="M111" i="6"/>
  <c r="D15" i="27"/>
  <c r="R111" i="6"/>
  <c r="I15" i="27"/>
  <c r="V111" i="6"/>
  <c r="M15" i="27"/>
  <c r="P111" i="6"/>
  <c r="G15" i="27"/>
  <c r="Q111" i="6"/>
  <c r="H15" i="27"/>
  <c r="U111" i="6"/>
  <c r="L15" i="27"/>
  <c r="AC111" i="6"/>
  <c r="T15" i="27"/>
  <c r="AD111" i="6"/>
  <c r="U15" i="27"/>
  <c r="O111" i="6"/>
  <c r="F15" i="27"/>
  <c r="S111" i="6"/>
  <c r="N111" i="6"/>
  <c r="E15" i="27"/>
  <c r="S974" i="9"/>
  <c r="C141" i="33"/>
  <c r="W893" i="9"/>
  <c r="G133" i="33"/>
  <c r="V808" i="9"/>
  <c r="F122" i="33"/>
  <c r="R804" i="9"/>
  <c r="B118" i="33"/>
  <c r="S973" i="9"/>
  <c r="C140" i="33"/>
  <c r="R973" i="9"/>
  <c r="B140" i="33"/>
  <c r="W889" i="9"/>
  <c r="G129" i="33"/>
  <c r="X807" i="9"/>
  <c r="H121" i="33"/>
  <c r="V806" i="9"/>
  <c r="F120" i="33"/>
  <c r="R808" i="9"/>
  <c r="B122" i="33"/>
  <c r="U75" i="6"/>
  <c r="U66" i="6"/>
  <c r="AL63" i="6"/>
  <c r="U64" i="6"/>
  <c r="S977" i="9"/>
  <c r="C144" i="33"/>
  <c r="R974" i="9"/>
  <c r="B141" i="33"/>
  <c r="W888" i="9"/>
  <c r="G128" i="33"/>
  <c r="V805" i="9"/>
  <c r="F119" i="33"/>
  <c r="R803" i="9"/>
  <c r="B117" i="33"/>
  <c r="S972" i="9"/>
  <c r="C139" i="33"/>
  <c r="R977" i="9"/>
  <c r="B144" i="33"/>
  <c r="W892" i="9"/>
  <c r="G132" i="33"/>
  <c r="R807" i="9"/>
  <c r="B121" i="33"/>
  <c r="V76" i="6"/>
  <c r="V67" i="6"/>
  <c r="S976" i="9"/>
  <c r="C143" i="33"/>
  <c r="R972" i="9"/>
  <c r="B139" i="33"/>
  <c r="W891" i="9"/>
  <c r="G131" i="33"/>
  <c r="P1057" i="9"/>
  <c r="P1058" i="9"/>
  <c r="P1059" i="9"/>
  <c r="P1055" i="9"/>
  <c r="P1056" i="9"/>
  <c r="P1060" i="9"/>
  <c r="H157" i="33"/>
  <c r="S975" i="9"/>
  <c r="C142" i="33"/>
  <c r="R976" i="9"/>
  <c r="B143" i="33"/>
  <c r="V807" i="9"/>
  <c r="F121" i="33"/>
  <c r="R975" i="9"/>
  <c r="B142" i="33"/>
  <c r="V65" i="6"/>
  <c r="P974" i="9"/>
  <c r="P975" i="9"/>
  <c r="P977" i="9"/>
  <c r="P972" i="9"/>
  <c r="P976" i="9"/>
  <c r="P973" i="9"/>
  <c r="H146" i="33"/>
  <c r="P891" i="9"/>
  <c r="P892" i="9"/>
  <c r="P888" i="9"/>
  <c r="P893" i="9"/>
  <c r="P889" i="9"/>
  <c r="P890" i="9"/>
  <c r="H135" i="33"/>
  <c r="V804" i="9"/>
  <c r="F118" i="33"/>
  <c r="R806" i="9"/>
  <c r="B120" i="33"/>
  <c r="V69" i="6"/>
  <c r="V74" i="6" s="1"/>
  <c r="W890" i="9"/>
  <c r="G130" i="33"/>
  <c r="V803" i="9"/>
  <c r="F117" i="33"/>
  <c r="R805" i="9"/>
  <c r="B119" i="33"/>
  <c r="AF63" i="20" l="1"/>
  <c r="AF34" i="1"/>
  <c r="AG63" i="20"/>
  <c r="AI39" i="20"/>
  <c r="AI64" i="20" s="1"/>
  <c r="H119" i="33"/>
  <c r="X804" i="9"/>
  <c r="X808" i="9"/>
  <c r="H120" i="33"/>
  <c r="H117" i="33"/>
  <c r="AI34" i="1"/>
  <c r="AJ63" i="20"/>
  <c r="AJ39" i="20"/>
  <c r="AJ64" i="20" s="1"/>
  <c r="AH34" i="1"/>
  <c r="V68" i="6"/>
  <c r="AH39" i="20"/>
  <c r="AH64" i="20" s="1"/>
  <c r="T109" i="6"/>
  <c r="K20" i="27"/>
  <c r="J74" i="38"/>
  <c r="J23" i="38"/>
  <c r="J47" i="38"/>
  <c r="J45" i="38"/>
  <c r="J43" i="38"/>
  <c r="J41" i="38"/>
  <c r="J46" i="38"/>
  <c r="J48" i="38"/>
  <c r="J42" i="38"/>
  <c r="J44" i="38"/>
  <c r="J17" i="38"/>
  <c r="J76" i="38" s="1"/>
  <c r="U109" i="6"/>
  <c r="L20" i="27"/>
  <c r="L74" i="38"/>
  <c r="L23" i="38"/>
  <c r="L47" i="38"/>
  <c r="L45" i="38"/>
  <c r="L43" i="38"/>
  <c r="L41" i="38"/>
  <c r="AG41" i="38" s="1"/>
  <c r="AK41" i="38" s="1"/>
  <c r="L48" i="38"/>
  <c r="AG48" i="38" s="1"/>
  <c r="AK48" i="38" s="1"/>
  <c r="L46" i="38"/>
  <c r="L44" i="38"/>
  <c r="L42" i="38"/>
  <c r="AG42" i="38" s="1"/>
  <c r="AK42" i="38" s="1"/>
  <c r="L17" i="38"/>
  <c r="L76" i="38" s="1"/>
  <c r="N109" i="6"/>
  <c r="M109" i="6"/>
  <c r="D20" i="27"/>
  <c r="M14" i="38"/>
  <c r="S8" i="36"/>
  <c r="S7" i="36"/>
  <c r="Q109" i="6"/>
  <c r="H20" i="27"/>
  <c r="E47" i="38"/>
  <c r="E45" i="38"/>
  <c r="E43" i="38"/>
  <c r="E41" i="38"/>
  <c r="E48" i="38"/>
  <c r="E46" i="38"/>
  <c r="E44" i="38"/>
  <c r="E42" i="38"/>
  <c r="E74" i="38"/>
  <c r="E17" i="38"/>
  <c r="E76" i="38" s="1"/>
  <c r="E23" i="38"/>
  <c r="I48" i="38"/>
  <c r="I46" i="38"/>
  <c r="I44" i="38"/>
  <c r="I42" i="38"/>
  <c r="I74" i="38"/>
  <c r="I23" i="38"/>
  <c r="I47" i="38"/>
  <c r="I45" i="38"/>
  <c r="I43" i="38"/>
  <c r="I41" i="38"/>
  <c r="I17" i="38"/>
  <c r="I76" i="38" s="1"/>
  <c r="V109" i="6"/>
  <c r="M20" i="27"/>
  <c r="J20" i="27"/>
  <c r="S109" i="6"/>
  <c r="N14" i="38"/>
  <c r="T8" i="36"/>
  <c r="T7" i="36"/>
  <c r="K74" i="38"/>
  <c r="K23" i="38"/>
  <c r="K47" i="38"/>
  <c r="K45" i="38"/>
  <c r="K43" i="38"/>
  <c r="K41" i="38"/>
  <c r="K48" i="38"/>
  <c r="K46" i="38"/>
  <c r="K44" i="38"/>
  <c r="K42" i="38"/>
  <c r="K17" i="38"/>
  <c r="K76" i="38" s="1"/>
  <c r="B20" i="27"/>
  <c r="L109" i="6"/>
  <c r="R109" i="6"/>
  <c r="I20" i="27"/>
  <c r="C14" i="38"/>
  <c r="Q7" i="36"/>
  <c r="Q8" i="36"/>
  <c r="V70" i="6"/>
  <c r="V72" i="6" s="1"/>
  <c r="X974" i="9"/>
  <c r="H141" i="33"/>
  <c r="X1055" i="9"/>
  <c r="H150" i="33"/>
  <c r="X891" i="9"/>
  <c r="H131" i="33"/>
  <c r="X1059" i="9"/>
  <c r="H154" i="33"/>
  <c r="X890" i="9"/>
  <c r="H130" i="33"/>
  <c r="X1058" i="9"/>
  <c r="H153" i="33"/>
  <c r="X889" i="9"/>
  <c r="H129" i="33"/>
  <c r="X973" i="9"/>
  <c r="H140" i="33"/>
  <c r="V78" i="6"/>
  <c r="V73" i="6"/>
  <c r="X1057" i="9"/>
  <c r="H152" i="33"/>
  <c r="U76" i="6"/>
  <c r="U67" i="6"/>
  <c r="AL64" i="6"/>
  <c r="X1056" i="9"/>
  <c r="H151" i="33"/>
  <c r="X893" i="9"/>
  <c r="H133" i="33"/>
  <c r="X976" i="9"/>
  <c r="H143" i="33"/>
  <c r="X888" i="9"/>
  <c r="H128" i="33"/>
  <c r="X972" i="9"/>
  <c r="H139" i="33"/>
  <c r="U65" i="6"/>
  <c r="X975" i="9"/>
  <c r="H142" i="33"/>
  <c r="X892" i="9"/>
  <c r="H132" i="33"/>
  <c r="X977" i="9"/>
  <c r="H144" i="33"/>
  <c r="X1060" i="9"/>
  <c r="H155" i="33"/>
  <c r="U69" i="6"/>
  <c r="U68" i="6" l="1"/>
  <c r="AL68" i="6" s="1"/>
  <c r="B47" i="42"/>
  <c r="T9" i="36"/>
  <c r="U70" i="6"/>
  <c r="AL70" i="6" s="1"/>
  <c r="S9" i="36"/>
  <c r="Q9" i="36"/>
  <c r="C74" i="38"/>
  <c r="C23" i="38"/>
  <c r="C47" i="38"/>
  <c r="C45" i="38"/>
  <c r="C43" i="38"/>
  <c r="C41" i="38"/>
  <c r="AE41" i="38" s="1"/>
  <c r="AI41" i="38" s="1"/>
  <c r="C48" i="38"/>
  <c r="AE48" i="38" s="1"/>
  <c r="AI48" i="38" s="1"/>
  <c r="C46" i="38"/>
  <c r="C44" i="38"/>
  <c r="C42" i="38"/>
  <c r="AE42" i="38" s="1"/>
  <c r="AI42" i="38" s="1"/>
  <c r="C17" i="38"/>
  <c r="C76" i="38" s="1"/>
  <c r="N48" i="38"/>
  <c r="N46" i="38"/>
  <c r="N44" i="38"/>
  <c r="N42" i="38"/>
  <c r="N74" i="38"/>
  <c r="N23" i="38"/>
  <c r="N43" i="38"/>
  <c r="N17" i="38"/>
  <c r="N76" i="38" s="1"/>
  <c r="N45" i="38"/>
  <c r="N47" i="38"/>
  <c r="N41" i="38"/>
  <c r="M47" i="38"/>
  <c r="M45" i="38"/>
  <c r="M43" i="38"/>
  <c r="M41" i="38"/>
  <c r="AH41" i="38" s="1"/>
  <c r="AL41" i="38" s="1"/>
  <c r="M48" i="38"/>
  <c r="AH48" i="38" s="1"/>
  <c r="AL48" i="38" s="1"/>
  <c r="M46" i="38"/>
  <c r="M44" i="38"/>
  <c r="M42" i="38"/>
  <c r="AH42" i="38" s="1"/>
  <c r="AL42" i="38" s="1"/>
  <c r="M17" i="38"/>
  <c r="M76" i="38" s="1"/>
  <c r="M23" i="38"/>
  <c r="M74" i="38"/>
  <c r="U74" i="6"/>
  <c r="U78" i="6"/>
  <c r="U73" i="6"/>
  <c r="AO70" i="6" l="1"/>
  <c r="U72" i="6"/>
  <c r="M62" i="24" l="1"/>
  <c r="T62" i="24"/>
  <c r="O62" i="24"/>
  <c r="L62" i="24" l="1"/>
  <c r="N62" i="24"/>
  <c r="Q62" i="24"/>
  <c r="S62" i="24"/>
  <c r="R62" i="24"/>
  <c r="AO48" i="1" l="1"/>
  <c r="AO45" i="1"/>
  <c r="AO47" i="1"/>
  <c r="AO51" i="1"/>
  <c r="V413" i="9" l="1"/>
  <c r="W43" i="9"/>
  <c r="W137" i="9"/>
  <c r="W229" i="9"/>
  <c r="V43" i="9"/>
  <c r="U321" i="9"/>
  <c r="U505" i="9"/>
  <c r="U229" i="9" l="1"/>
  <c r="U137" i="9"/>
  <c r="U685" i="9"/>
  <c r="U43" i="9"/>
  <c r="U597" i="9"/>
  <c r="U413" i="9"/>
  <c r="V137" i="9"/>
  <c r="V505" i="9"/>
  <c r="R413" i="9"/>
  <c r="V229" i="9"/>
  <c r="R137" i="9"/>
  <c r="S413" i="9"/>
  <c r="R43" i="9"/>
  <c r="S321" i="9"/>
  <c r="T413" i="9"/>
  <c r="S229" i="9"/>
  <c r="T321" i="9"/>
  <c r="V685" i="9"/>
  <c r="S137" i="9"/>
  <c r="T229" i="9"/>
  <c r="S43" i="9"/>
  <c r="T137" i="9"/>
  <c r="R321" i="9"/>
  <c r="V597" i="9" l="1"/>
  <c r="T43" i="9"/>
  <c r="S597" i="9"/>
  <c r="O352" i="9"/>
  <c r="O354" i="9"/>
  <c r="O355" i="9" s="1"/>
  <c r="V321" i="9"/>
  <c r="AG37" i="13" l="1"/>
  <c r="L75" i="9"/>
  <c r="L77" i="9"/>
  <c r="L78" i="9" s="1"/>
  <c r="M536" i="9"/>
  <c r="M538" i="9"/>
  <c r="M539" i="9" s="1"/>
  <c r="T505" i="9"/>
  <c r="R597" i="9"/>
  <c r="M713" i="9"/>
  <c r="M715" i="9"/>
  <c r="M716" i="9" s="1"/>
  <c r="Z36" i="6"/>
  <c r="Z37" i="6" s="1"/>
  <c r="Z51" i="6"/>
  <c r="Z52" i="6" s="1"/>
  <c r="AB51" i="6"/>
  <c r="AB52" i="6" s="1"/>
  <c r="AB60" i="6" s="1"/>
  <c r="AB36" i="6"/>
  <c r="AB37" i="6" s="1"/>
  <c r="T685" i="9"/>
  <c r="R229" i="9"/>
  <c r="AC89" i="6"/>
  <c r="AC105" i="6"/>
  <c r="AC88" i="6"/>
  <c r="AC40" i="6"/>
  <c r="R685" i="9"/>
  <c r="AI85" i="1"/>
  <c r="AB89" i="6"/>
  <c r="AB40" i="6"/>
  <c r="AB88" i="6"/>
  <c r="AB105" i="6"/>
  <c r="O538" i="9"/>
  <c r="O539" i="9" s="1"/>
  <c r="O536" i="9"/>
  <c r="N77" i="9"/>
  <c r="N78" i="9" s="1"/>
  <c r="N75" i="9"/>
  <c r="M444" i="9"/>
  <c r="M446" i="9"/>
  <c r="M447" i="9" s="1"/>
  <c r="X36" i="6"/>
  <c r="X37" i="6" s="1"/>
  <c r="X51" i="6"/>
  <c r="X52" i="6" s="1"/>
  <c r="L630" i="9"/>
  <c r="L631" i="9" s="1"/>
  <c r="L628" i="9"/>
  <c r="Y36" i="6"/>
  <c r="Y37" i="6" s="1"/>
  <c r="Y51" i="6"/>
  <c r="Y52" i="6" s="1"/>
  <c r="Y89" i="6"/>
  <c r="Y105" i="6"/>
  <c r="Z89" i="6"/>
  <c r="Z105" i="6"/>
  <c r="L352" i="9"/>
  <c r="L354" i="9"/>
  <c r="L355" i="9" s="1"/>
  <c r="K75" i="9"/>
  <c r="K77" i="9"/>
  <c r="K78" i="9" s="1"/>
  <c r="J170" i="9"/>
  <c r="J171" i="9" s="1"/>
  <c r="J168" i="9"/>
  <c r="J536" i="9"/>
  <c r="J538" i="9"/>
  <c r="J539" i="9" s="1"/>
  <c r="L536" i="9"/>
  <c r="L538" i="9"/>
  <c r="L539" i="9" s="1"/>
  <c r="O628" i="9"/>
  <c r="O630" i="9"/>
  <c r="O631" i="9" s="1"/>
  <c r="J354" i="9"/>
  <c r="J355" i="9" s="1"/>
  <c r="J352" i="9"/>
  <c r="L168" i="9"/>
  <c r="L170" i="9"/>
  <c r="L171" i="9" s="1"/>
  <c r="AD51" i="6"/>
  <c r="AD52" i="6" s="1"/>
  <c r="AD36" i="6"/>
  <c r="AD37" i="6" s="1"/>
  <c r="O262" i="9"/>
  <c r="O263" i="9" s="1"/>
  <c r="O260" i="9"/>
  <c r="AC85" i="1"/>
  <c r="O359" i="9"/>
  <c r="O360" i="9"/>
  <c r="O357" i="9"/>
  <c r="O361" i="9"/>
  <c r="O362" i="9"/>
  <c r="O363" i="9"/>
  <c r="O358" i="9"/>
  <c r="G56" i="33"/>
  <c r="AF85" i="1"/>
  <c r="M168" i="9"/>
  <c r="M170" i="9"/>
  <c r="M171" i="9" s="1"/>
  <c r="W105" i="6"/>
  <c r="W89" i="6"/>
  <c r="O446" i="9"/>
  <c r="O447" i="9" s="1"/>
  <c r="O444" i="9"/>
  <c r="AD105" i="6"/>
  <c r="AD89" i="6"/>
  <c r="AD40" i="6"/>
  <c r="AD88" i="6"/>
  <c r="O713" i="9"/>
  <c r="O715" i="9"/>
  <c r="O716" i="9" s="1"/>
  <c r="N446" i="9"/>
  <c r="N447" i="9" s="1"/>
  <c r="N444" i="9"/>
  <c r="R505" i="9"/>
  <c r="S505" i="9"/>
  <c r="AA51" i="6"/>
  <c r="AA52" i="6" s="1"/>
  <c r="AA36" i="6"/>
  <c r="AA37" i="6" s="1"/>
  <c r="O77" i="9"/>
  <c r="O78" i="9" s="1"/>
  <c r="O75" i="9"/>
  <c r="N168" i="9"/>
  <c r="N170" i="9"/>
  <c r="N171" i="9" s="1"/>
  <c r="M75" i="9"/>
  <c r="M77" i="9"/>
  <c r="M78" i="9" s="1"/>
  <c r="O170" i="9"/>
  <c r="O171" i="9" s="1"/>
  <c r="O168" i="9"/>
  <c r="AE85" i="1"/>
  <c r="AJ37" i="13"/>
  <c r="J75" i="9"/>
  <c r="P74" i="9"/>
  <c r="J77" i="9"/>
  <c r="J78" i="9" s="1"/>
  <c r="L446" i="9"/>
  <c r="L447" i="9" s="1"/>
  <c r="L444" i="9"/>
  <c r="AD85" i="1"/>
  <c r="N58" i="6"/>
  <c r="R58" i="6"/>
  <c r="AD35" i="13"/>
  <c r="AD39" i="13"/>
  <c r="AE38" i="13"/>
  <c r="AC35" i="13"/>
  <c r="Q58" i="6"/>
  <c r="L58" i="6"/>
  <c r="AF37" i="13" l="1"/>
  <c r="AF36" i="13"/>
  <c r="G83" i="6"/>
  <c r="G92" i="6" s="1"/>
  <c r="G58" i="6"/>
  <c r="F58" i="6"/>
  <c r="F83" i="6"/>
  <c r="H83" i="6"/>
  <c r="H92" i="6" s="1"/>
  <c r="H58" i="6"/>
  <c r="K58" i="6"/>
  <c r="K95" i="6"/>
  <c r="D83" i="6"/>
  <c r="D92" i="6" s="1"/>
  <c r="D58" i="6"/>
  <c r="D60" i="6" s="1"/>
  <c r="J83" i="6"/>
  <c r="J92" i="6" s="1"/>
  <c r="J58" i="6"/>
  <c r="AE36" i="13"/>
  <c r="AI36" i="13"/>
  <c r="AE35" i="13"/>
  <c r="L61" i="6"/>
  <c r="L60" i="6"/>
  <c r="Q61" i="6"/>
  <c r="Q60" i="6"/>
  <c r="R60" i="6"/>
  <c r="R61" i="6"/>
  <c r="N60" i="6"/>
  <c r="N61" i="6"/>
  <c r="AJ38" i="13"/>
  <c r="X505" i="9"/>
  <c r="AH38" i="13"/>
  <c r="J444" i="9"/>
  <c r="P443" i="9"/>
  <c r="J446" i="9"/>
  <c r="J447" i="9" s="1"/>
  <c r="AE39" i="13"/>
  <c r="AH36" i="13"/>
  <c r="AI38" i="13"/>
  <c r="AD36" i="13"/>
  <c r="K536" i="9"/>
  <c r="K538" i="9"/>
  <c r="K539" i="9" s="1"/>
  <c r="M352" i="9"/>
  <c r="M354" i="9"/>
  <c r="M355" i="9" s="1"/>
  <c r="AA40" i="6"/>
  <c r="AA88" i="6"/>
  <c r="AB109" i="6" s="1"/>
  <c r="AA105" i="6"/>
  <c r="AA89" i="6"/>
  <c r="P77" i="9"/>
  <c r="P78" i="9" s="1"/>
  <c r="P75" i="9"/>
  <c r="AC51" i="6"/>
  <c r="AC52" i="6" s="1"/>
  <c r="AC36" i="6"/>
  <c r="AC37" i="6" s="1"/>
  <c r="N455" i="9"/>
  <c r="N452" i="9"/>
  <c r="N449" i="9"/>
  <c r="N453" i="9"/>
  <c r="N450" i="9"/>
  <c r="F70" i="33"/>
  <c r="N454" i="9"/>
  <c r="N451" i="9"/>
  <c r="AG85" i="1"/>
  <c r="W360" i="9"/>
  <c r="G51" i="33"/>
  <c r="AD60" i="6"/>
  <c r="Q18" i="27"/>
  <c r="Z114" i="6"/>
  <c r="J262" i="9"/>
  <c r="J263" i="9" s="1"/>
  <c r="J260" i="9"/>
  <c r="J628" i="9"/>
  <c r="J630" i="9"/>
  <c r="J631" i="9" s="1"/>
  <c r="X137" i="9"/>
  <c r="AH37" i="13"/>
  <c r="N536" i="9"/>
  <c r="N538" i="9"/>
  <c r="N539" i="9" s="1"/>
  <c r="N630" i="9"/>
  <c r="N631" i="9" s="1"/>
  <c r="N628" i="9"/>
  <c r="B14" i="33"/>
  <c r="J81" i="9"/>
  <c r="J85" i="9"/>
  <c r="J82" i="9"/>
  <c r="J86" i="9"/>
  <c r="J83" i="9"/>
  <c r="J80" i="9"/>
  <c r="G28" i="33"/>
  <c r="O178" i="9"/>
  <c r="O175" i="9"/>
  <c r="O176" i="9"/>
  <c r="O177" i="9"/>
  <c r="O173" i="9"/>
  <c r="O174" i="9"/>
  <c r="O179" i="9"/>
  <c r="W359" i="9"/>
  <c r="G50" i="33"/>
  <c r="AH85" i="1"/>
  <c r="Z110" i="6"/>
  <c r="Q19" i="27"/>
  <c r="Y60" i="6"/>
  <c r="E70" i="33"/>
  <c r="M453" i="9"/>
  <c r="M449" i="9"/>
  <c r="M450" i="9"/>
  <c r="M454" i="9"/>
  <c r="M451" i="9"/>
  <c r="M455" i="9"/>
  <c r="M452" i="9"/>
  <c r="O541" i="9"/>
  <c r="O546" i="9"/>
  <c r="O542" i="9"/>
  <c r="O543" i="9"/>
  <c r="G84" i="33"/>
  <c r="O544" i="9"/>
  <c r="O545" i="9"/>
  <c r="AG35" i="13"/>
  <c r="AE37" i="13"/>
  <c r="AC37" i="13"/>
  <c r="AF38" i="13"/>
  <c r="L260" i="9"/>
  <c r="L262" i="9"/>
  <c r="L263" i="9" s="1"/>
  <c r="AA60" i="6"/>
  <c r="AJ36" i="13"/>
  <c r="O268" i="9"/>
  <c r="O270" i="9"/>
  <c r="O271" i="9"/>
  <c r="O265" i="9"/>
  <c r="G42" i="33"/>
  <c r="O269" i="9"/>
  <c r="O266" i="9"/>
  <c r="O267" i="9"/>
  <c r="G98" i="33"/>
  <c r="O634" i="9"/>
  <c r="O639" i="9"/>
  <c r="O635" i="9"/>
  <c r="O636" i="9"/>
  <c r="O547" i="9"/>
  <c r="O638" i="9"/>
  <c r="O633" i="9"/>
  <c r="O637" i="9"/>
  <c r="J173" i="9"/>
  <c r="B28" i="33"/>
  <c r="J179" i="9"/>
  <c r="J178" i="9"/>
  <c r="J176" i="9"/>
  <c r="J175" i="9"/>
  <c r="J174" i="9"/>
  <c r="AG36" i="13"/>
  <c r="E84" i="33"/>
  <c r="M543" i="9"/>
  <c r="M544" i="9"/>
  <c r="M545" i="9"/>
  <c r="M541" i="9"/>
  <c r="M546" i="9"/>
  <c r="M542" i="9"/>
  <c r="J713" i="9"/>
  <c r="J715" i="9"/>
  <c r="J716" i="9" s="1"/>
  <c r="L713" i="9"/>
  <c r="L715" i="9"/>
  <c r="L716" i="9" s="1"/>
  <c r="AI39" i="13"/>
  <c r="AG38" i="13"/>
  <c r="D70" i="33"/>
  <c r="L449" i="9"/>
  <c r="L455" i="9"/>
  <c r="L454" i="9"/>
  <c r="L450" i="9"/>
  <c r="L452" i="9"/>
  <c r="L451" i="9"/>
  <c r="L453" i="9"/>
  <c r="AD109" i="6"/>
  <c r="U20" i="27"/>
  <c r="W358" i="9"/>
  <c r="G49" i="33"/>
  <c r="P535" i="9"/>
  <c r="D56" i="33"/>
  <c r="L361" i="9"/>
  <c r="L362" i="9"/>
  <c r="L359" i="9"/>
  <c r="L363" i="9"/>
  <c r="L360" i="9"/>
  <c r="L357" i="9"/>
  <c r="L358" i="9"/>
  <c r="L634" i="9"/>
  <c r="L635" i="9"/>
  <c r="L639" i="9"/>
  <c r="L636" i="9"/>
  <c r="D98" i="33"/>
  <c r="L547" i="9"/>
  <c r="L637" i="9"/>
  <c r="L633" i="9"/>
  <c r="L638" i="9"/>
  <c r="N713" i="9"/>
  <c r="N715" i="9"/>
  <c r="N716" i="9" s="1"/>
  <c r="N262" i="9"/>
  <c r="N263" i="9" s="1"/>
  <c r="N260" i="9"/>
  <c r="N352" i="9"/>
  <c r="N354" i="9"/>
  <c r="N355" i="9" s="1"/>
  <c r="M630" i="9"/>
  <c r="M631" i="9" s="1"/>
  <c r="M628" i="9"/>
  <c r="AH86" i="1"/>
  <c r="M82" i="9"/>
  <c r="M83" i="9"/>
  <c r="M80" i="9"/>
  <c r="M84" i="9"/>
  <c r="M85" i="9"/>
  <c r="M86" i="9"/>
  <c r="M81" i="9"/>
  <c r="E14" i="33"/>
  <c r="W110" i="6"/>
  <c r="N19" i="27"/>
  <c r="W363" i="9"/>
  <c r="G54" i="33"/>
  <c r="AJ39" i="13"/>
  <c r="J541" i="9"/>
  <c r="B84" i="33"/>
  <c r="J545" i="9"/>
  <c r="J546" i="9"/>
  <c r="J542" i="9"/>
  <c r="J543" i="9"/>
  <c r="J544" i="9"/>
  <c r="F14" i="33"/>
  <c r="N84" i="9"/>
  <c r="N83" i="9"/>
  <c r="N82" i="9"/>
  <c r="N80" i="9"/>
  <c r="N86" i="9"/>
  <c r="N81" i="9"/>
  <c r="N85" i="9"/>
  <c r="AB114" i="6"/>
  <c r="S18" i="27"/>
  <c r="AJ85" i="1"/>
  <c r="AC109" i="6"/>
  <c r="T20" i="27"/>
  <c r="E111" i="33"/>
  <c r="M720" i="9"/>
  <c r="M721" i="9"/>
  <c r="M718" i="9"/>
  <c r="M722" i="9"/>
  <c r="M719" i="9"/>
  <c r="M723" i="9"/>
  <c r="D14" i="33"/>
  <c r="L86" i="9"/>
  <c r="L84" i="9"/>
  <c r="L83" i="9"/>
  <c r="L85" i="9"/>
  <c r="L80" i="9"/>
  <c r="L82" i="9"/>
  <c r="L81" i="9"/>
  <c r="AF35" i="13"/>
  <c r="T597" i="9"/>
  <c r="AI35" i="13"/>
  <c r="AG86" i="1"/>
  <c r="O723" i="9"/>
  <c r="G111" i="33"/>
  <c r="O720" i="9"/>
  <c r="O719" i="9"/>
  <c r="O721" i="9"/>
  <c r="O718" i="9"/>
  <c r="O722" i="9"/>
  <c r="AD110" i="6"/>
  <c r="U19" i="27"/>
  <c r="G70" i="33"/>
  <c r="O452" i="9"/>
  <c r="O451" i="9"/>
  <c r="O450" i="9"/>
  <c r="O449" i="9"/>
  <c r="O455" i="9"/>
  <c r="O454" i="9"/>
  <c r="O453" i="9"/>
  <c r="W114" i="6"/>
  <c r="N18" i="27"/>
  <c r="W362" i="9"/>
  <c r="G53" i="33"/>
  <c r="AI86" i="1"/>
  <c r="L178" i="9"/>
  <c r="L174" i="9"/>
  <c r="L175" i="9"/>
  <c r="L179" i="9"/>
  <c r="D28" i="33"/>
  <c r="L173" i="9"/>
  <c r="L176" i="9"/>
  <c r="L177" i="9"/>
  <c r="K80" i="9"/>
  <c r="K85" i="9"/>
  <c r="K81" i="9"/>
  <c r="C14" i="33"/>
  <c r="K82" i="9"/>
  <c r="K86" i="9"/>
  <c r="K84" i="9"/>
  <c r="K83" i="9"/>
  <c r="S20" i="27"/>
  <c r="AC38" i="13"/>
  <c r="AD38" i="13"/>
  <c r="AG39" i="13"/>
  <c r="X105" i="6"/>
  <c r="Y114" i="6" s="1"/>
  <c r="X89" i="6"/>
  <c r="Y110" i="6" s="1"/>
  <c r="K444" i="9"/>
  <c r="K446" i="9"/>
  <c r="K447" i="9" s="1"/>
  <c r="X413" i="9"/>
  <c r="K354" i="9"/>
  <c r="K355" i="9" s="1"/>
  <c r="K352" i="9"/>
  <c r="AI37" i="13"/>
  <c r="N173" i="9"/>
  <c r="N177" i="9"/>
  <c r="N178" i="9"/>
  <c r="N179" i="9"/>
  <c r="N174" i="9"/>
  <c r="F28" i="33"/>
  <c r="N175" i="9"/>
  <c r="N176" i="9"/>
  <c r="AJ35" i="13"/>
  <c r="AD114" i="6"/>
  <c r="U18" i="27"/>
  <c r="G52" i="33"/>
  <c r="W361" i="9"/>
  <c r="J358" i="9"/>
  <c r="J362" i="9"/>
  <c r="J359" i="9"/>
  <c r="J360" i="9"/>
  <c r="B56" i="33"/>
  <c r="J357" i="9"/>
  <c r="J363" i="9"/>
  <c r="L542" i="9"/>
  <c r="L546" i="9"/>
  <c r="L545" i="9"/>
  <c r="L541" i="9"/>
  <c r="L544" i="9"/>
  <c r="D84" i="33"/>
  <c r="L543" i="9"/>
  <c r="P18" i="27"/>
  <c r="X60" i="6"/>
  <c r="T18" i="27"/>
  <c r="AC114" i="6"/>
  <c r="AB63" i="6"/>
  <c r="AF39" i="13"/>
  <c r="X43" i="9"/>
  <c r="W51" i="6"/>
  <c r="W52" i="6" s="1"/>
  <c r="W36" i="6"/>
  <c r="W37" i="6" s="1"/>
  <c r="M260" i="9"/>
  <c r="M262" i="9"/>
  <c r="M263" i="9" s="1"/>
  <c r="X321" i="9"/>
  <c r="O82" i="9"/>
  <c r="O80" i="9"/>
  <c r="O81" i="9"/>
  <c r="O84" i="9"/>
  <c r="O85" i="9"/>
  <c r="O86" i="9"/>
  <c r="O83" i="9"/>
  <c r="G14" i="33"/>
  <c r="M175" i="9"/>
  <c r="M177" i="9"/>
  <c r="E28" i="33"/>
  <c r="M178" i="9"/>
  <c r="M179" i="9"/>
  <c r="M174" i="9"/>
  <c r="M176" i="9"/>
  <c r="M173" i="9"/>
  <c r="W357" i="9"/>
  <c r="G48" i="33"/>
  <c r="P351" i="9"/>
  <c r="P19" i="27"/>
  <c r="AB110" i="6"/>
  <c r="S19" i="27"/>
  <c r="AC110" i="6"/>
  <c r="T19" i="27"/>
  <c r="Z60" i="6"/>
  <c r="P58" i="6"/>
  <c r="AG40" i="13" l="1"/>
  <c r="J6" i="36" s="1"/>
  <c r="AJ86" i="1"/>
  <c r="K96" i="6"/>
  <c r="AH39" i="13"/>
  <c r="E83" i="6"/>
  <c r="E92" i="6" s="1"/>
  <c r="E58" i="6"/>
  <c r="N63" i="6"/>
  <c r="K61" i="6"/>
  <c r="K60" i="6"/>
  <c r="AA119" i="6" s="1"/>
  <c r="H60" i="6"/>
  <c r="I82" i="6"/>
  <c r="I59" i="6"/>
  <c r="I83" i="6"/>
  <c r="I92" i="6" s="1"/>
  <c r="I58" i="6"/>
  <c r="F82" i="6"/>
  <c r="F59" i="6"/>
  <c r="F61" i="6" s="1"/>
  <c r="R63" i="6"/>
  <c r="J95" i="6"/>
  <c r="Q63" i="6"/>
  <c r="J60" i="6"/>
  <c r="F92" i="6"/>
  <c r="P61" i="6"/>
  <c r="P60" i="6"/>
  <c r="L63" i="6"/>
  <c r="F60" i="6"/>
  <c r="H82" i="6"/>
  <c r="H59" i="6"/>
  <c r="H61" i="6" s="1"/>
  <c r="G60" i="6"/>
  <c r="J59" i="6"/>
  <c r="J61" i="6" s="1"/>
  <c r="J82" i="6"/>
  <c r="J96" i="6"/>
  <c r="U174" i="9"/>
  <c r="E21" i="33"/>
  <c r="G9" i="33"/>
  <c r="W83" i="9"/>
  <c r="E42" i="33"/>
  <c r="M267" i="9"/>
  <c r="M269" i="9"/>
  <c r="M270" i="9"/>
  <c r="M271" i="9"/>
  <c r="M268" i="9"/>
  <c r="M265" i="9"/>
  <c r="M266" i="9"/>
  <c r="T543" i="9"/>
  <c r="D78" i="33"/>
  <c r="B48" i="33"/>
  <c r="R357" i="9"/>
  <c r="F25" i="33"/>
  <c r="V178" i="9"/>
  <c r="AD86" i="1"/>
  <c r="S85" i="9"/>
  <c r="C11" i="33"/>
  <c r="T174" i="9"/>
  <c r="D21" i="33"/>
  <c r="W454" i="9"/>
  <c r="G67" i="33"/>
  <c r="T84" i="9"/>
  <c r="D10" i="33"/>
  <c r="U720" i="9"/>
  <c r="E106" i="33"/>
  <c r="V85" i="9"/>
  <c r="F11" i="33"/>
  <c r="R544" i="9"/>
  <c r="B79" i="33"/>
  <c r="U84" i="9"/>
  <c r="E10" i="33"/>
  <c r="K168" i="9"/>
  <c r="K170" i="9"/>
  <c r="K171" i="9" s="1"/>
  <c r="P167" i="9"/>
  <c r="D90" i="33"/>
  <c r="T633" i="9"/>
  <c r="T358" i="9"/>
  <c r="D49" i="33"/>
  <c r="P538" i="9"/>
  <c r="P539" i="9" s="1"/>
  <c r="P536" i="9"/>
  <c r="T450" i="9"/>
  <c r="D63" i="33"/>
  <c r="R173" i="9"/>
  <c r="B20" i="33"/>
  <c r="W634" i="9"/>
  <c r="G91" i="33"/>
  <c r="W270" i="9"/>
  <c r="G39" i="33"/>
  <c r="W544" i="9"/>
  <c r="G79" i="33"/>
  <c r="U451" i="9"/>
  <c r="E64" i="33"/>
  <c r="G20" i="33"/>
  <c r="W173" i="9"/>
  <c r="R86" i="9"/>
  <c r="B12" i="33"/>
  <c r="N543" i="9"/>
  <c r="N544" i="9"/>
  <c r="N545" i="9"/>
  <c r="N541" i="9"/>
  <c r="N546" i="9"/>
  <c r="N542" i="9"/>
  <c r="F84" i="33"/>
  <c r="V454" i="9"/>
  <c r="F67" i="33"/>
  <c r="AC60" i="6"/>
  <c r="AC39" i="13"/>
  <c r="AF40" i="13"/>
  <c r="I6" i="36" s="1"/>
  <c r="U179" i="9"/>
  <c r="E26" i="33"/>
  <c r="G12" i="33"/>
  <c r="W86" i="9"/>
  <c r="AB64" i="6"/>
  <c r="AB75" i="6"/>
  <c r="AB66" i="6"/>
  <c r="V177" i="9"/>
  <c r="F24" i="33"/>
  <c r="K452" i="9"/>
  <c r="K455" i="9"/>
  <c r="C70" i="33"/>
  <c r="K449" i="9"/>
  <c r="K453" i="9"/>
  <c r="K450" i="9"/>
  <c r="K454" i="9"/>
  <c r="K451" i="9"/>
  <c r="X63" i="6"/>
  <c r="S80" i="9"/>
  <c r="C6" i="33"/>
  <c r="T178" i="9"/>
  <c r="D25" i="33"/>
  <c r="W455" i="9"/>
  <c r="G68" i="33"/>
  <c r="W722" i="9"/>
  <c r="G108" i="33"/>
  <c r="T86" i="9"/>
  <c r="D12" i="33"/>
  <c r="F7" i="33"/>
  <c r="V81" i="9"/>
  <c r="R543" i="9"/>
  <c r="B78" i="33"/>
  <c r="U80" i="9"/>
  <c r="E6" i="33"/>
  <c r="T637" i="9"/>
  <c r="D94" i="33"/>
  <c r="D48" i="33"/>
  <c r="T357" i="9"/>
  <c r="T454" i="9"/>
  <c r="D67" i="33"/>
  <c r="B111" i="33"/>
  <c r="J723" i="9"/>
  <c r="J719" i="9"/>
  <c r="J720" i="9"/>
  <c r="J718" i="9"/>
  <c r="J721" i="9"/>
  <c r="J722" i="9"/>
  <c r="W637" i="9"/>
  <c r="G94" i="33"/>
  <c r="W268" i="9"/>
  <c r="G37" i="33"/>
  <c r="U454" i="9"/>
  <c r="E67" i="33"/>
  <c r="W177" i="9"/>
  <c r="G24" i="33"/>
  <c r="R82" i="9"/>
  <c r="B8" i="33"/>
  <c r="AD63" i="6"/>
  <c r="P84" i="9"/>
  <c r="P81" i="9"/>
  <c r="H14" i="33"/>
  <c r="P85" i="9"/>
  <c r="P82" i="9"/>
  <c r="P83" i="9"/>
  <c r="P86" i="9"/>
  <c r="P80" i="9"/>
  <c r="AC86" i="1"/>
  <c r="Z63" i="6"/>
  <c r="U178" i="9"/>
  <c r="E25" i="33"/>
  <c r="G11" i="33"/>
  <c r="W85" i="9"/>
  <c r="W60" i="6"/>
  <c r="T544" i="9"/>
  <c r="D79" i="33"/>
  <c r="R360" i="9"/>
  <c r="B51" i="33"/>
  <c r="F20" i="33"/>
  <c r="V173" i="9"/>
  <c r="C9" i="33"/>
  <c r="S83" i="9"/>
  <c r="T177" i="9"/>
  <c r="D24" i="33"/>
  <c r="W449" i="9"/>
  <c r="G62" i="33"/>
  <c r="W718" i="9"/>
  <c r="G104" i="33"/>
  <c r="V86" i="9"/>
  <c r="F12" i="33"/>
  <c r="R542" i="9"/>
  <c r="B77" i="33"/>
  <c r="U83" i="9"/>
  <c r="E9" i="33"/>
  <c r="N361" i="9"/>
  <c r="N362" i="9"/>
  <c r="N363" i="9"/>
  <c r="N360" i="9"/>
  <c r="F56" i="33"/>
  <c r="N357" i="9"/>
  <c r="N358" i="9"/>
  <c r="N359" i="9"/>
  <c r="N266" i="9"/>
  <c r="N271" i="9"/>
  <c r="F42" i="33"/>
  <c r="N267" i="9"/>
  <c r="N268" i="9"/>
  <c r="N265" i="9"/>
  <c r="N269" i="9"/>
  <c r="N270" i="9"/>
  <c r="T547" i="9"/>
  <c r="D82" i="33"/>
  <c r="D51" i="33"/>
  <c r="T360" i="9"/>
  <c r="D68" i="33"/>
  <c r="T455" i="9"/>
  <c r="U542" i="9"/>
  <c r="E77" i="33"/>
  <c r="B21" i="33"/>
  <c r="R174" i="9"/>
  <c r="W633" i="9"/>
  <c r="G90" i="33"/>
  <c r="W267" i="9"/>
  <c r="G36" i="33"/>
  <c r="W543" i="9"/>
  <c r="G78" i="33"/>
  <c r="U450" i="9"/>
  <c r="E63" i="33"/>
  <c r="W176" i="9"/>
  <c r="G23" i="33"/>
  <c r="R85" i="9"/>
  <c r="B11" i="33"/>
  <c r="J634" i="9"/>
  <c r="J636" i="9"/>
  <c r="J356" i="9"/>
  <c r="J547" i="9"/>
  <c r="J448" i="9"/>
  <c r="J172" i="9"/>
  <c r="J637" i="9"/>
  <c r="J633" i="9"/>
  <c r="J540" i="9"/>
  <c r="J79" i="9"/>
  <c r="J638" i="9"/>
  <c r="J632" i="9"/>
  <c r="J264" i="9"/>
  <c r="J639" i="9"/>
  <c r="B98" i="33"/>
  <c r="J635" i="9"/>
  <c r="V450" i="9"/>
  <c r="F63" i="33"/>
  <c r="U82" i="9"/>
  <c r="E8" i="33"/>
  <c r="T363" i="9"/>
  <c r="D54" i="33"/>
  <c r="T449" i="9"/>
  <c r="D62" i="33"/>
  <c r="U546" i="9"/>
  <c r="E81" i="33"/>
  <c r="R175" i="9"/>
  <c r="B22" i="33"/>
  <c r="W638" i="9"/>
  <c r="G95" i="33"/>
  <c r="W266" i="9"/>
  <c r="G35" i="33"/>
  <c r="W542" i="9"/>
  <c r="G77" i="33"/>
  <c r="U449" i="9"/>
  <c r="E62" i="33"/>
  <c r="W175" i="9"/>
  <c r="G22" i="33"/>
  <c r="R81" i="9"/>
  <c r="B7" i="33"/>
  <c r="V453" i="9"/>
  <c r="F66" i="33"/>
  <c r="P444" i="9"/>
  <c r="P446" i="9"/>
  <c r="P447" i="9" s="1"/>
  <c r="Q20" i="38"/>
  <c r="Q22" i="38" s="1"/>
  <c r="W6" i="36"/>
  <c r="AD37" i="13"/>
  <c r="R359" i="9"/>
  <c r="B50" i="33"/>
  <c r="S84" i="9"/>
  <c r="C10" i="33"/>
  <c r="T176" i="9"/>
  <c r="D23" i="33"/>
  <c r="G63" i="33"/>
  <c r="W450" i="9"/>
  <c r="W721" i="9"/>
  <c r="G107" i="33"/>
  <c r="T81" i="9"/>
  <c r="D7" i="33"/>
  <c r="R546" i="9"/>
  <c r="B81" i="33"/>
  <c r="S685" i="9"/>
  <c r="U177" i="9"/>
  <c r="E24" i="33"/>
  <c r="W81" i="9"/>
  <c r="G7" i="33"/>
  <c r="V20" i="38"/>
  <c r="V22" i="38" s="1"/>
  <c r="AB6" i="36"/>
  <c r="T545" i="9"/>
  <c r="D80" i="33"/>
  <c r="R362" i="9"/>
  <c r="B53" i="33"/>
  <c r="F22" i="33"/>
  <c r="V175" i="9"/>
  <c r="K357" i="9"/>
  <c r="K363" i="9"/>
  <c r="K362" i="9"/>
  <c r="K359" i="9"/>
  <c r="K358" i="9"/>
  <c r="C56" i="33"/>
  <c r="K361" i="9"/>
  <c r="K360" i="9"/>
  <c r="X110" i="6"/>
  <c r="O19" i="27"/>
  <c r="AE86" i="1"/>
  <c r="S86" i="9"/>
  <c r="C12" i="33"/>
  <c r="D20" i="33"/>
  <c r="T173" i="9"/>
  <c r="W451" i="9"/>
  <c r="G64" i="33"/>
  <c r="W719" i="9"/>
  <c r="G105" i="33"/>
  <c r="T82" i="9"/>
  <c r="D8" i="33"/>
  <c r="U719" i="9"/>
  <c r="E105" i="33"/>
  <c r="V82" i="9"/>
  <c r="F8" i="33"/>
  <c r="R545" i="9"/>
  <c r="B80" i="33"/>
  <c r="T636" i="9"/>
  <c r="D93" i="33"/>
  <c r="T359" i="9"/>
  <c r="D50" i="33"/>
  <c r="U541" i="9"/>
  <c r="E76" i="33"/>
  <c r="R176" i="9"/>
  <c r="B23" i="33"/>
  <c r="W547" i="9"/>
  <c r="G82" i="33"/>
  <c r="G38" i="33"/>
  <c r="W269" i="9"/>
  <c r="G81" i="33"/>
  <c r="W546" i="9"/>
  <c r="U453" i="9"/>
  <c r="E66" i="33"/>
  <c r="W178" i="9"/>
  <c r="G25" i="33"/>
  <c r="B42" i="33"/>
  <c r="J266" i="9"/>
  <c r="J265" i="9"/>
  <c r="J268" i="9"/>
  <c r="J270" i="9"/>
  <c r="J267" i="9"/>
  <c r="J271" i="9"/>
  <c r="V449" i="9"/>
  <c r="F62" i="33"/>
  <c r="AA63" i="6"/>
  <c r="M357" i="9"/>
  <c r="M362" i="9"/>
  <c r="M358" i="9"/>
  <c r="E56" i="33"/>
  <c r="M359" i="9"/>
  <c r="M363" i="9"/>
  <c r="M360" i="9"/>
  <c r="M361" i="9"/>
  <c r="B70" i="33"/>
  <c r="J455" i="9"/>
  <c r="J449" i="9"/>
  <c r="J450" i="9"/>
  <c r="J452" i="9"/>
  <c r="J454" i="9"/>
  <c r="J451" i="9"/>
  <c r="P354" i="9"/>
  <c r="P355" i="9" s="1"/>
  <c r="P352" i="9"/>
  <c r="V176" i="9"/>
  <c r="F23" i="33"/>
  <c r="AF86" i="1"/>
  <c r="U723" i="9"/>
  <c r="E109" i="33"/>
  <c r="F6" i="33"/>
  <c r="V80" i="9"/>
  <c r="AH35" i="13"/>
  <c r="U175" i="9"/>
  <c r="E22" i="33"/>
  <c r="W80" i="9"/>
  <c r="G6" i="33"/>
  <c r="S20" i="38"/>
  <c r="S22" i="38" s="1"/>
  <c r="Y6" i="36"/>
  <c r="AJ40" i="13"/>
  <c r="M6" i="36" s="1"/>
  <c r="T546" i="9"/>
  <c r="D81" i="33"/>
  <c r="B49" i="33"/>
  <c r="R358" i="9"/>
  <c r="X114" i="6"/>
  <c r="O18" i="27"/>
  <c r="S82" i="9"/>
  <c r="C8" i="33"/>
  <c r="W452" i="9"/>
  <c r="G65" i="33"/>
  <c r="G106" i="33"/>
  <c r="W720" i="9"/>
  <c r="T80" i="9"/>
  <c r="D6" i="33"/>
  <c r="U722" i="9"/>
  <c r="E108" i="33"/>
  <c r="F9" i="33"/>
  <c r="V83" i="9"/>
  <c r="E7" i="33"/>
  <c r="U81" i="9"/>
  <c r="N718" i="9"/>
  <c r="F111" i="33"/>
  <c r="N723" i="9"/>
  <c r="N719" i="9"/>
  <c r="N722" i="9"/>
  <c r="N720" i="9"/>
  <c r="N721" i="9"/>
  <c r="D96" i="33"/>
  <c r="T639" i="9"/>
  <c r="T362" i="9"/>
  <c r="D53" i="33"/>
  <c r="T453" i="9"/>
  <c r="D66" i="33"/>
  <c r="U545" i="9"/>
  <c r="E80" i="33"/>
  <c r="R178" i="9"/>
  <c r="B25" i="33"/>
  <c r="W636" i="9"/>
  <c r="G93" i="33"/>
  <c r="W541" i="9"/>
  <c r="G76" i="33"/>
  <c r="N633" i="9"/>
  <c r="F98" i="33"/>
  <c r="N634" i="9"/>
  <c r="N636" i="9"/>
  <c r="N547" i="9"/>
  <c r="N639" i="9"/>
  <c r="N638" i="9"/>
  <c r="N637" i="9"/>
  <c r="N635" i="9"/>
  <c r="V452" i="9"/>
  <c r="F65" i="33"/>
  <c r="AA110" i="6"/>
  <c r="R19" i="27"/>
  <c r="AE40" i="13"/>
  <c r="H6" i="36" s="1"/>
  <c r="X229" i="9"/>
  <c r="W84" i="9"/>
  <c r="G10" i="33"/>
  <c r="T541" i="9"/>
  <c r="D76" i="33"/>
  <c r="X597" i="9"/>
  <c r="U173" i="9"/>
  <c r="E20" i="33"/>
  <c r="W82" i="9"/>
  <c r="G8" i="33"/>
  <c r="J9" i="36"/>
  <c r="T542" i="9"/>
  <c r="D77" i="33"/>
  <c r="V174" i="9"/>
  <c r="F21" i="33"/>
  <c r="R20" i="38"/>
  <c r="R22" i="38" s="1"/>
  <c r="X6" i="36"/>
  <c r="T179" i="9"/>
  <c r="D26" i="33"/>
  <c r="T85" i="9"/>
  <c r="D11" i="33"/>
  <c r="U718" i="9"/>
  <c r="E104" i="33"/>
  <c r="V84" i="9"/>
  <c r="F10" i="33"/>
  <c r="R541" i="9"/>
  <c r="B76" i="33"/>
  <c r="U86" i="9"/>
  <c r="E12" i="33"/>
  <c r="T635" i="9"/>
  <c r="D92" i="33"/>
  <c r="T361" i="9"/>
  <c r="D52" i="33"/>
  <c r="T451" i="9"/>
  <c r="D64" i="33"/>
  <c r="L721" i="9"/>
  <c r="L718" i="9"/>
  <c r="D111" i="33"/>
  <c r="L723" i="9"/>
  <c r="L719" i="9"/>
  <c r="L720" i="9"/>
  <c r="L722" i="9"/>
  <c r="U544" i="9"/>
  <c r="E79" i="33"/>
  <c r="R179" i="9"/>
  <c r="B26" i="33"/>
  <c r="W635" i="9"/>
  <c r="G92" i="33"/>
  <c r="G34" i="33"/>
  <c r="W265" i="9"/>
  <c r="L270" i="9"/>
  <c r="L268" i="9"/>
  <c r="L265" i="9"/>
  <c r="L269" i="9"/>
  <c r="D42" i="33"/>
  <c r="L271" i="9"/>
  <c r="L266" i="9"/>
  <c r="L267" i="9"/>
  <c r="U452" i="9"/>
  <c r="E65" i="33"/>
  <c r="W179" i="9"/>
  <c r="G26" i="33"/>
  <c r="R80" i="9"/>
  <c r="B6" i="33"/>
  <c r="U20" i="38"/>
  <c r="U22" i="38" s="1"/>
  <c r="AA6" i="36"/>
  <c r="V455" i="9"/>
  <c r="F68" i="33"/>
  <c r="AA114" i="6"/>
  <c r="R18" i="27"/>
  <c r="C84" i="33"/>
  <c r="K541" i="9"/>
  <c r="K546" i="9"/>
  <c r="K542" i="9"/>
  <c r="K543" i="9"/>
  <c r="K544" i="9"/>
  <c r="K545" i="9"/>
  <c r="U176" i="9"/>
  <c r="E23" i="33"/>
  <c r="R363" i="9"/>
  <c r="B54" i="33"/>
  <c r="V179" i="9"/>
  <c r="F26" i="33"/>
  <c r="S81" i="9"/>
  <c r="C7" i="33"/>
  <c r="D22" i="33"/>
  <c r="T175" i="9"/>
  <c r="W453" i="9"/>
  <c r="G66" i="33"/>
  <c r="W723" i="9"/>
  <c r="G109" i="33"/>
  <c r="T83" i="9"/>
  <c r="D9" i="33"/>
  <c r="U721" i="9"/>
  <c r="E107" i="33"/>
  <c r="E11" i="33"/>
  <c r="U85" i="9"/>
  <c r="M638" i="9"/>
  <c r="M634" i="9"/>
  <c r="M639" i="9"/>
  <c r="M635" i="9"/>
  <c r="M637" i="9"/>
  <c r="M633" i="9"/>
  <c r="M636" i="9"/>
  <c r="E98" i="33"/>
  <c r="M547" i="9"/>
  <c r="T638" i="9"/>
  <c r="D95" i="33"/>
  <c r="T634" i="9"/>
  <c r="D91" i="33"/>
  <c r="T452" i="9"/>
  <c r="D65" i="33"/>
  <c r="E78" i="33"/>
  <c r="U543" i="9"/>
  <c r="G96" i="33"/>
  <c r="W639" i="9"/>
  <c r="W271" i="9"/>
  <c r="G40" i="33"/>
  <c r="W545" i="9"/>
  <c r="G80" i="33"/>
  <c r="E68" i="33"/>
  <c r="U455" i="9"/>
  <c r="Y63" i="6"/>
  <c r="W174" i="9"/>
  <c r="G21" i="33"/>
  <c r="R83" i="9"/>
  <c r="B9" i="33"/>
  <c r="AI40" i="13"/>
  <c r="L6" i="36" s="1"/>
  <c r="V451" i="9"/>
  <c r="F64" i="33"/>
  <c r="R20" i="27"/>
  <c r="Z119" i="6" l="1"/>
  <c r="X119" i="6"/>
  <c r="AD119" i="6"/>
  <c r="Y119" i="6"/>
  <c r="R64" i="6"/>
  <c r="R65" i="6" s="1"/>
  <c r="R66" i="6"/>
  <c r="R75" i="6"/>
  <c r="S58" i="6"/>
  <c r="H63" i="6"/>
  <c r="H79" i="6"/>
  <c r="H84" i="6"/>
  <c r="H90" i="6" s="1"/>
  <c r="H89" i="6"/>
  <c r="H91" i="6"/>
  <c r="J63" i="6"/>
  <c r="F91" i="6"/>
  <c r="F79" i="6"/>
  <c r="F84" i="6"/>
  <c r="F90" i="6" s="1"/>
  <c r="F85" i="6"/>
  <c r="F88" i="6" s="1"/>
  <c r="U119" i="6"/>
  <c r="K119" i="6"/>
  <c r="V119" i="6"/>
  <c r="K63" i="6"/>
  <c r="AB119" i="6"/>
  <c r="T58" i="6"/>
  <c r="G59" i="6"/>
  <c r="G61" i="6" s="1"/>
  <c r="G63" i="6" s="1"/>
  <c r="G82" i="6"/>
  <c r="O58" i="6"/>
  <c r="M58" i="6"/>
  <c r="AD40" i="13"/>
  <c r="G6" i="36" s="1"/>
  <c r="G9" i="36" s="1"/>
  <c r="J79" i="6"/>
  <c r="J89" i="6"/>
  <c r="J84" i="6"/>
  <c r="J85" i="6" s="1"/>
  <c r="J88" i="6" s="1"/>
  <c r="J91" i="6"/>
  <c r="F63" i="6"/>
  <c r="P63" i="6"/>
  <c r="P119" i="6"/>
  <c r="I61" i="6"/>
  <c r="I60" i="6"/>
  <c r="D82" i="6"/>
  <c r="D59" i="6"/>
  <c r="D61" i="6" s="1"/>
  <c r="D63" i="6" s="1"/>
  <c r="Q119" i="6"/>
  <c r="N119" i="6"/>
  <c r="Q64" i="6"/>
  <c r="Q66" i="6"/>
  <c r="Q75" i="6"/>
  <c r="N75" i="6"/>
  <c r="N64" i="6"/>
  <c r="N66" i="6"/>
  <c r="E59" i="6"/>
  <c r="E61" i="6" s="1"/>
  <c r="E82" i="6"/>
  <c r="L119" i="6"/>
  <c r="F89" i="6"/>
  <c r="E60" i="6"/>
  <c r="L75" i="6"/>
  <c r="L64" i="6"/>
  <c r="L66" i="6"/>
  <c r="R119" i="6"/>
  <c r="I91" i="6"/>
  <c r="I84" i="6"/>
  <c r="I90" i="6" s="1"/>
  <c r="I79" i="6"/>
  <c r="I89" i="6"/>
  <c r="AA9" i="36"/>
  <c r="V638" i="9"/>
  <c r="F95" i="33"/>
  <c r="V719" i="9"/>
  <c r="F105" i="33"/>
  <c r="U361" i="9"/>
  <c r="E52" i="33"/>
  <c r="AH40" i="13"/>
  <c r="K6" i="36" s="1"/>
  <c r="U637" i="9"/>
  <c r="E94" i="33"/>
  <c r="S541" i="9"/>
  <c r="C76" i="33"/>
  <c r="T271" i="9"/>
  <c r="D40" i="33"/>
  <c r="T719" i="9"/>
  <c r="D105" i="33"/>
  <c r="X35" i="36"/>
  <c r="X9" i="36"/>
  <c r="V547" i="9"/>
  <c r="F82" i="33"/>
  <c r="M9" i="36"/>
  <c r="R454" i="9"/>
  <c r="B67" i="33"/>
  <c r="U363" i="9"/>
  <c r="E54" i="33"/>
  <c r="S363" i="9"/>
  <c r="C54" i="33"/>
  <c r="AB9" i="36"/>
  <c r="AC36" i="13"/>
  <c r="R634" i="9"/>
  <c r="B91" i="33"/>
  <c r="V269" i="9"/>
  <c r="F38" i="33"/>
  <c r="V358" i="9"/>
  <c r="F49" i="33"/>
  <c r="X81" i="9"/>
  <c r="H7" i="33"/>
  <c r="R721" i="9"/>
  <c r="B107" i="33"/>
  <c r="S453" i="9"/>
  <c r="C66" i="33"/>
  <c r="AB69" i="6"/>
  <c r="AB74" i="6" s="1"/>
  <c r="V542" i="9"/>
  <c r="F77" i="33"/>
  <c r="U265" i="9"/>
  <c r="E34" i="33"/>
  <c r="T267" i="9"/>
  <c r="D36" i="33"/>
  <c r="Y75" i="6"/>
  <c r="Y66" i="6"/>
  <c r="Y64" i="6"/>
  <c r="Y65" i="6" s="1"/>
  <c r="D109" i="33"/>
  <c r="T723" i="9"/>
  <c r="F93" i="33"/>
  <c r="V636" i="9"/>
  <c r="V718" i="9"/>
  <c r="F104" i="33"/>
  <c r="Y9" i="36"/>
  <c r="R452" i="9"/>
  <c r="B65" i="33"/>
  <c r="U359" i="9"/>
  <c r="E50" i="33"/>
  <c r="R271" i="9"/>
  <c r="B40" i="33"/>
  <c r="C48" i="33"/>
  <c r="S357" i="9"/>
  <c r="W9" i="36"/>
  <c r="W35" i="36"/>
  <c r="R635" i="9"/>
  <c r="B92" i="33"/>
  <c r="R633" i="9"/>
  <c r="B90" i="33"/>
  <c r="V265" i="9"/>
  <c r="F34" i="33"/>
  <c r="V357" i="9"/>
  <c r="F48" i="33"/>
  <c r="X84" i="9"/>
  <c r="H10" i="33"/>
  <c r="B104" i="33"/>
  <c r="R718" i="9"/>
  <c r="S449" i="9"/>
  <c r="C62" i="33"/>
  <c r="I9" i="36"/>
  <c r="F81" i="33"/>
  <c r="V546" i="9"/>
  <c r="U268" i="9"/>
  <c r="E37" i="33"/>
  <c r="U639" i="9"/>
  <c r="E96" i="33"/>
  <c r="T269" i="9"/>
  <c r="D38" i="33"/>
  <c r="V634" i="9"/>
  <c r="F91" i="33"/>
  <c r="R450" i="9"/>
  <c r="B63" i="33"/>
  <c r="R267" i="9"/>
  <c r="B36" i="33"/>
  <c r="C51" i="33"/>
  <c r="S360" i="9"/>
  <c r="R637" i="9"/>
  <c r="B94" i="33"/>
  <c r="F37" i="33"/>
  <c r="V268" i="9"/>
  <c r="X80" i="9"/>
  <c r="H6" i="33"/>
  <c r="B106" i="33"/>
  <c r="R720" i="9"/>
  <c r="AB76" i="6"/>
  <c r="AB67" i="6"/>
  <c r="V541" i="9"/>
  <c r="F76" i="33"/>
  <c r="U271" i="9"/>
  <c r="E40" i="33"/>
  <c r="E92" i="33"/>
  <c r="U635" i="9"/>
  <c r="X685" i="9"/>
  <c r="U634" i="9"/>
  <c r="E91" i="33"/>
  <c r="S545" i="9"/>
  <c r="C80" i="33"/>
  <c r="T265" i="9"/>
  <c r="D34" i="33"/>
  <c r="D104" i="33"/>
  <c r="T718" i="9"/>
  <c r="T20" i="38"/>
  <c r="T22" i="38" s="1"/>
  <c r="Z6" i="36"/>
  <c r="V721" i="9"/>
  <c r="F107" i="33"/>
  <c r="R449" i="9"/>
  <c r="B62" i="33"/>
  <c r="E49" i="33"/>
  <c r="U358" i="9"/>
  <c r="R270" i="9"/>
  <c r="B39" i="33"/>
  <c r="S361" i="9"/>
  <c r="C52" i="33"/>
  <c r="R639" i="9"/>
  <c r="B96" i="33"/>
  <c r="V267" i="9"/>
  <c r="F36" i="33"/>
  <c r="V360" i="9"/>
  <c r="F51" i="33"/>
  <c r="X86" i="9"/>
  <c r="H12" i="33"/>
  <c r="AD75" i="6"/>
  <c r="AD66" i="6"/>
  <c r="AD64" i="6"/>
  <c r="AD65" i="6" s="1"/>
  <c r="R719" i="9"/>
  <c r="B105" i="33"/>
  <c r="S455" i="9"/>
  <c r="C68" i="33"/>
  <c r="V545" i="9"/>
  <c r="F80" i="33"/>
  <c r="E39" i="33"/>
  <c r="U270" i="9"/>
  <c r="U636" i="9"/>
  <c r="E93" i="33"/>
  <c r="T722" i="9"/>
  <c r="D108" i="33"/>
  <c r="L9" i="36"/>
  <c r="U547" i="9"/>
  <c r="E82" i="33"/>
  <c r="U638" i="9"/>
  <c r="E95" i="33"/>
  <c r="S544" i="9"/>
  <c r="C79" i="33"/>
  <c r="T268" i="9"/>
  <c r="D37" i="33"/>
  <c r="T721" i="9"/>
  <c r="D107" i="33"/>
  <c r="P20" i="38"/>
  <c r="P22" i="38" s="1"/>
  <c r="V6" i="36"/>
  <c r="F92" i="33"/>
  <c r="V635" i="9"/>
  <c r="V633" i="9"/>
  <c r="F90" i="33"/>
  <c r="V720" i="9"/>
  <c r="F106" i="33"/>
  <c r="R455" i="9"/>
  <c r="B68" i="33"/>
  <c r="U362" i="9"/>
  <c r="E53" i="33"/>
  <c r="R268" i="9"/>
  <c r="B37" i="33"/>
  <c r="P452" i="9"/>
  <c r="P449" i="9"/>
  <c r="P453" i="9"/>
  <c r="P455" i="9"/>
  <c r="P454" i="9"/>
  <c r="P450" i="9"/>
  <c r="P451" i="9"/>
  <c r="H70" i="33"/>
  <c r="V363" i="9"/>
  <c r="F54" i="33"/>
  <c r="Z75" i="6"/>
  <c r="Z66" i="6"/>
  <c r="Z64" i="6"/>
  <c r="Z65" i="6" s="1"/>
  <c r="X83" i="9"/>
  <c r="H9" i="33"/>
  <c r="R723" i="9"/>
  <c r="B109" i="33"/>
  <c r="X66" i="6"/>
  <c r="X75" i="6"/>
  <c r="X64" i="6"/>
  <c r="S452" i="9"/>
  <c r="C65" i="33"/>
  <c r="AC119" i="6"/>
  <c r="AC63" i="6"/>
  <c r="V544" i="9"/>
  <c r="F79" i="33"/>
  <c r="P168" i="9"/>
  <c r="P170" i="9"/>
  <c r="P171" i="9" s="1"/>
  <c r="U269" i="9"/>
  <c r="E38" i="33"/>
  <c r="K628" i="9"/>
  <c r="K630" i="9"/>
  <c r="K631" i="9" s="1"/>
  <c r="P627" i="9"/>
  <c r="S542" i="9"/>
  <c r="C77" i="33"/>
  <c r="S543" i="9"/>
  <c r="C78" i="33"/>
  <c r="T270" i="9"/>
  <c r="D39" i="33"/>
  <c r="V637" i="9"/>
  <c r="F94" i="33"/>
  <c r="V722" i="9"/>
  <c r="F108" i="33"/>
  <c r="P359" i="9"/>
  <c r="P362" i="9"/>
  <c r="P360" i="9"/>
  <c r="H56" i="33"/>
  <c r="P363" i="9"/>
  <c r="P357" i="9"/>
  <c r="P358" i="9"/>
  <c r="P361" i="9"/>
  <c r="E48" i="33"/>
  <c r="U357" i="9"/>
  <c r="R265" i="9"/>
  <c r="B34" i="33"/>
  <c r="S358" i="9"/>
  <c r="C49" i="33"/>
  <c r="R547" i="9"/>
  <c r="B82" i="33"/>
  <c r="V271" i="9"/>
  <c r="F40" i="33"/>
  <c r="V362" i="9"/>
  <c r="F53" i="33"/>
  <c r="X82" i="9"/>
  <c r="H8" i="33"/>
  <c r="S451" i="9"/>
  <c r="C64" i="33"/>
  <c r="V543" i="9"/>
  <c r="F78" i="33"/>
  <c r="U267" i="9"/>
  <c r="E36" i="33"/>
  <c r="C50" i="33"/>
  <c r="S359" i="9"/>
  <c r="R638" i="9"/>
  <c r="B95" i="33"/>
  <c r="V266" i="9"/>
  <c r="F35" i="33"/>
  <c r="V361" i="9"/>
  <c r="F52" i="33"/>
  <c r="H11" i="33"/>
  <c r="X85" i="9"/>
  <c r="S454" i="9"/>
  <c r="C67" i="33"/>
  <c r="P541" i="9"/>
  <c r="P542" i="9"/>
  <c r="P545" i="9"/>
  <c r="P546" i="9"/>
  <c r="H84" i="33"/>
  <c r="P543" i="9"/>
  <c r="P544" i="9"/>
  <c r="K174" i="9"/>
  <c r="K175" i="9"/>
  <c r="K179" i="9"/>
  <c r="K178" i="9"/>
  <c r="K176" i="9"/>
  <c r="K173" i="9"/>
  <c r="C28" i="33"/>
  <c r="K177" i="9"/>
  <c r="AA66" i="6"/>
  <c r="AA75" i="6"/>
  <c r="AA64" i="6"/>
  <c r="AA65" i="6" s="1"/>
  <c r="R266" i="9"/>
  <c r="B35" i="33"/>
  <c r="U633" i="9"/>
  <c r="E90" i="33"/>
  <c r="C81" i="33"/>
  <c r="S546" i="9"/>
  <c r="T266" i="9"/>
  <c r="D35" i="33"/>
  <c r="T720" i="9"/>
  <c r="D106" i="33"/>
  <c r="J10" i="36"/>
  <c r="H9" i="36"/>
  <c r="F96" i="33"/>
  <c r="V639" i="9"/>
  <c r="V723" i="9"/>
  <c r="F109" i="33"/>
  <c r="R451" i="9"/>
  <c r="B64" i="33"/>
  <c r="U360" i="9"/>
  <c r="E51" i="33"/>
  <c r="S362" i="9"/>
  <c r="C53" i="33"/>
  <c r="R636" i="9"/>
  <c r="B93" i="33"/>
  <c r="F39" i="33"/>
  <c r="V270" i="9"/>
  <c r="V359" i="9"/>
  <c r="F50" i="33"/>
  <c r="W63" i="6"/>
  <c r="W119" i="6"/>
  <c r="R722" i="9"/>
  <c r="B108" i="33"/>
  <c r="S450" i="9"/>
  <c r="C63" i="33"/>
  <c r="AB65" i="6"/>
  <c r="K260" i="9"/>
  <c r="K262" i="9"/>
  <c r="K263" i="9" s="1"/>
  <c r="P259" i="9"/>
  <c r="U266" i="9"/>
  <c r="E35" i="33"/>
  <c r="AB68" i="6" l="1"/>
  <c r="J90" i="6"/>
  <c r="R73" i="6"/>
  <c r="G64" i="6"/>
  <c r="G65" i="6" s="1"/>
  <c r="G73" i="6" s="1"/>
  <c r="G66" i="6"/>
  <c r="G75" i="6"/>
  <c r="L69" i="6"/>
  <c r="L74" i="6" s="1"/>
  <c r="E79" i="6"/>
  <c r="E84" i="6"/>
  <c r="E85" i="6" s="1"/>
  <c r="E88" i="6" s="1"/>
  <c r="E91" i="6"/>
  <c r="E89" i="6"/>
  <c r="F75" i="6"/>
  <c r="B75" i="6" s="1"/>
  <c r="F64" i="6"/>
  <c r="F66" i="6"/>
  <c r="K66" i="6"/>
  <c r="K75" i="6"/>
  <c r="C75" i="6" s="1"/>
  <c r="K64" i="6"/>
  <c r="S60" i="6"/>
  <c r="S61" i="6"/>
  <c r="L65" i="6"/>
  <c r="L76" i="6"/>
  <c r="L67" i="6"/>
  <c r="O60" i="6"/>
  <c r="O61" i="6"/>
  <c r="J64" i="6"/>
  <c r="J65" i="6" s="1"/>
  <c r="J73" i="6" s="1"/>
  <c r="J75" i="6"/>
  <c r="J66" i="6"/>
  <c r="I85" i="6"/>
  <c r="I88" i="6" s="1"/>
  <c r="N69" i="6"/>
  <c r="N74" i="6" s="1"/>
  <c r="N68" i="6"/>
  <c r="D66" i="6"/>
  <c r="D64" i="6"/>
  <c r="D67" i="6" s="1"/>
  <c r="H85" i="6"/>
  <c r="H88" i="6" s="1"/>
  <c r="N65" i="6"/>
  <c r="N67" i="6"/>
  <c r="N76" i="6"/>
  <c r="D91" i="6"/>
  <c r="D84" i="6"/>
  <c r="D85" i="6" s="1"/>
  <c r="D88" i="6" s="1"/>
  <c r="D89" i="6"/>
  <c r="D79" i="6"/>
  <c r="G91" i="6"/>
  <c r="G84" i="6"/>
  <c r="G90" i="6" s="1"/>
  <c r="G79" i="6"/>
  <c r="G89" i="6"/>
  <c r="E63" i="6"/>
  <c r="I63" i="6"/>
  <c r="R69" i="6"/>
  <c r="R74" i="6" s="1"/>
  <c r="T61" i="6"/>
  <c r="T60" i="6"/>
  <c r="R76" i="6"/>
  <c r="R67" i="6"/>
  <c r="Q69" i="6"/>
  <c r="Q74" i="6" s="1"/>
  <c r="Q65" i="6"/>
  <c r="Q67" i="6"/>
  <c r="Q76" i="6"/>
  <c r="P64" i="6"/>
  <c r="P65" i="6" s="1"/>
  <c r="P75" i="6"/>
  <c r="P66" i="6"/>
  <c r="M60" i="6"/>
  <c r="M61" i="6"/>
  <c r="H64" i="6"/>
  <c r="H65" i="6" s="1"/>
  <c r="H73" i="6" s="1"/>
  <c r="H66" i="6"/>
  <c r="H75" i="6"/>
  <c r="S174" i="9"/>
  <c r="C21" i="33"/>
  <c r="H53" i="33"/>
  <c r="X362" i="9"/>
  <c r="P628" i="9"/>
  <c r="P630" i="9"/>
  <c r="P631" i="9" s="1"/>
  <c r="X69" i="6"/>
  <c r="Z69" i="6"/>
  <c r="X455" i="9"/>
  <c r="H68" i="33"/>
  <c r="L10" i="36"/>
  <c r="AD69" i="6"/>
  <c r="AD74" i="6" s="1"/>
  <c r="I10" i="36"/>
  <c r="X38" i="36"/>
  <c r="S177" i="9"/>
  <c r="C24" i="33"/>
  <c r="X359" i="9"/>
  <c r="H50" i="33"/>
  <c r="AC75" i="6"/>
  <c r="AC66" i="6"/>
  <c r="AC64" i="6"/>
  <c r="X453" i="9"/>
  <c r="H66" i="33"/>
  <c r="O20" i="38"/>
  <c r="O22" i="38" s="1"/>
  <c r="U6" i="36"/>
  <c r="W38" i="36"/>
  <c r="Y73" i="6"/>
  <c r="AA73" i="6"/>
  <c r="H79" i="33"/>
  <c r="X544" i="9"/>
  <c r="AC40" i="13"/>
  <c r="F6" i="36" s="1"/>
  <c r="H10" i="36"/>
  <c r="X543" i="9"/>
  <c r="H78" i="33"/>
  <c r="X361" i="9"/>
  <c r="H52" i="33"/>
  <c r="K639" i="9"/>
  <c r="K636" i="9"/>
  <c r="K635" i="9"/>
  <c r="K547" i="9"/>
  <c r="K637" i="9"/>
  <c r="K633" i="9"/>
  <c r="C98" i="33"/>
  <c r="K638" i="9"/>
  <c r="K634" i="9"/>
  <c r="X449" i="9"/>
  <c r="H62" i="33"/>
  <c r="Y69" i="6"/>
  <c r="AB70" i="6"/>
  <c r="AB72" i="6" s="1"/>
  <c r="K9" i="36"/>
  <c r="AA69" i="6"/>
  <c r="AA74" i="6" s="1"/>
  <c r="S173" i="9"/>
  <c r="C20" i="33"/>
  <c r="X358" i="9"/>
  <c r="H49" i="33"/>
  <c r="H65" i="33"/>
  <c r="X452" i="9"/>
  <c r="V9" i="36"/>
  <c r="M10" i="36"/>
  <c r="G10" i="36"/>
  <c r="P260" i="9"/>
  <c r="P262" i="9"/>
  <c r="P263" i="9" s="1"/>
  <c r="C23" i="33"/>
  <c r="S176" i="9"/>
  <c r="X357" i="9"/>
  <c r="H48" i="33"/>
  <c r="W75" i="6"/>
  <c r="W66" i="6"/>
  <c r="W64" i="6"/>
  <c r="S178" i="9"/>
  <c r="C25" i="33"/>
  <c r="X545" i="9"/>
  <c r="H80" i="33"/>
  <c r="H54" i="33"/>
  <c r="X363" i="9"/>
  <c r="X65" i="6"/>
  <c r="X67" i="6"/>
  <c r="X76" i="6"/>
  <c r="Z76" i="6"/>
  <c r="Z67" i="6"/>
  <c r="X451" i="9"/>
  <c r="H64" i="33"/>
  <c r="Z9" i="36"/>
  <c r="X546" i="9"/>
  <c r="H81" i="33"/>
  <c r="K269" i="9"/>
  <c r="C42" i="33"/>
  <c r="K265" i="9"/>
  <c r="K271" i="9"/>
  <c r="K270" i="9"/>
  <c r="K268" i="9"/>
  <c r="K267" i="9"/>
  <c r="K266" i="9"/>
  <c r="S179" i="9"/>
  <c r="C26" i="33"/>
  <c r="H77" i="33"/>
  <c r="X542" i="9"/>
  <c r="P174" i="9"/>
  <c r="P178" i="9"/>
  <c r="P179" i="9"/>
  <c r="P177" i="9"/>
  <c r="P175" i="9"/>
  <c r="H28" i="33"/>
  <c r="P176" i="9"/>
  <c r="P173" i="9"/>
  <c r="X450" i="9"/>
  <c r="H63" i="33"/>
  <c r="AD76" i="6"/>
  <c r="AD67" i="6"/>
  <c r="AD68" i="6" s="1"/>
  <c r="AB78" i="6"/>
  <c r="AB73" i="6"/>
  <c r="AA67" i="6"/>
  <c r="AA76" i="6"/>
  <c r="S175" i="9"/>
  <c r="C22" i="33"/>
  <c r="H76" i="33"/>
  <c r="X541" i="9"/>
  <c r="X360" i="9"/>
  <c r="H51" i="33"/>
  <c r="Z78" i="6"/>
  <c r="Z73" i="6"/>
  <c r="X454" i="9"/>
  <c r="H67" i="33"/>
  <c r="AD73" i="6"/>
  <c r="K715" i="9"/>
  <c r="K716" i="9" s="1"/>
  <c r="K713" i="9"/>
  <c r="P712" i="9"/>
  <c r="Y76" i="6"/>
  <c r="Y67" i="6"/>
  <c r="E90" i="6" l="1"/>
  <c r="AD78" i="6"/>
  <c r="D90" i="6"/>
  <c r="Z68" i="6"/>
  <c r="Q68" i="6"/>
  <c r="X68" i="6"/>
  <c r="L70" i="6"/>
  <c r="L72" i="6" s="1"/>
  <c r="Y70" i="6"/>
  <c r="N70" i="6"/>
  <c r="N72" i="6" s="1"/>
  <c r="Q70" i="6"/>
  <c r="Q72" i="6" s="1"/>
  <c r="D65" i="6"/>
  <c r="G85" i="6"/>
  <c r="G88" i="6" s="1"/>
  <c r="AA70" i="6"/>
  <c r="AA72" i="6" s="1"/>
  <c r="R70" i="6"/>
  <c r="R72" i="6" s="1"/>
  <c r="L73" i="6"/>
  <c r="L78" i="6"/>
  <c r="M63" i="6"/>
  <c r="M119" i="6"/>
  <c r="Q73" i="6"/>
  <c r="Q78" i="6"/>
  <c r="I64" i="6"/>
  <c r="I65" i="6" s="1"/>
  <c r="I73" i="6" s="1"/>
  <c r="I75" i="6"/>
  <c r="I66" i="6"/>
  <c r="J69" i="6"/>
  <c r="J74" i="6" s="1"/>
  <c r="E66" i="6"/>
  <c r="E64" i="6"/>
  <c r="E67" i="6" s="1"/>
  <c r="S63" i="6"/>
  <c r="S119" i="6"/>
  <c r="P73" i="6"/>
  <c r="D69" i="6"/>
  <c r="D70" i="6" s="1"/>
  <c r="D68" i="6"/>
  <c r="J76" i="6"/>
  <c r="J67" i="6"/>
  <c r="K65" i="6"/>
  <c r="K67" i="6"/>
  <c r="K76" i="6"/>
  <c r="C76" i="6" s="1"/>
  <c r="P69" i="6"/>
  <c r="P74" i="6" s="1"/>
  <c r="T63" i="6"/>
  <c r="T119" i="6"/>
  <c r="G69" i="6"/>
  <c r="G74" i="6" s="1"/>
  <c r="O63" i="6"/>
  <c r="O119" i="6"/>
  <c r="K69" i="6"/>
  <c r="K74" i="6" s="1"/>
  <c r="C74" i="6" s="1"/>
  <c r="G76" i="6"/>
  <c r="G67" i="6"/>
  <c r="H69" i="6"/>
  <c r="H74" i="6" s="1"/>
  <c r="P67" i="6"/>
  <c r="P76" i="6"/>
  <c r="R68" i="6"/>
  <c r="F69" i="6"/>
  <c r="F74" i="6" s="1"/>
  <c r="B74" i="6" s="1"/>
  <c r="L68" i="6"/>
  <c r="H76" i="6"/>
  <c r="H67" i="6"/>
  <c r="N73" i="6"/>
  <c r="N78" i="6"/>
  <c r="F65" i="6"/>
  <c r="F73" i="6" s="1"/>
  <c r="B73" i="6" s="1"/>
  <c r="F67" i="6"/>
  <c r="F76" i="6"/>
  <c r="B76" i="6" s="1"/>
  <c r="R78" i="6"/>
  <c r="P713" i="9"/>
  <c r="P715" i="9"/>
  <c r="P716" i="9" s="1"/>
  <c r="X175" i="9"/>
  <c r="H22" i="33"/>
  <c r="S266" i="9"/>
  <c r="C35" i="33"/>
  <c r="W69" i="6"/>
  <c r="AA68" i="6"/>
  <c r="S547" i="9"/>
  <c r="C82" i="33"/>
  <c r="AA78" i="6"/>
  <c r="S635" i="9"/>
  <c r="C92" i="33"/>
  <c r="H24" i="33"/>
  <c r="X177" i="9"/>
  <c r="C36" i="33"/>
  <c r="S267" i="9"/>
  <c r="X179" i="9"/>
  <c r="H26" i="33"/>
  <c r="S268" i="9"/>
  <c r="C37" i="33"/>
  <c r="S636" i="9"/>
  <c r="C93" i="33"/>
  <c r="F9" i="36"/>
  <c r="Z52" i="24"/>
  <c r="Z100" i="24"/>
  <c r="P636" i="9"/>
  <c r="P547" i="9"/>
  <c r="P637" i="9"/>
  <c r="P633" i="9"/>
  <c r="P638" i="9"/>
  <c r="H98" i="33"/>
  <c r="P634" i="9"/>
  <c r="P639" i="9"/>
  <c r="X639" i="9" s="1"/>
  <c r="P635" i="9"/>
  <c r="K722" i="9"/>
  <c r="K723" i="9"/>
  <c r="K720" i="9"/>
  <c r="K719" i="9"/>
  <c r="K718" i="9"/>
  <c r="K721" i="9"/>
  <c r="C111" i="33"/>
  <c r="AK39" i="13"/>
  <c r="X178" i="9"/>
  <c r="H25" i="33"/>
  <c r="C39" i="33"/>
  <c r="S270" i="9"/>
  <c r="S634" i="9"/>
  <c r="C91" i="33"/>
  <c r="S639" i="9"/>
  <c r="C96" i="33"/>
  <c r="AC65" i="6"/>
  <c r="AC67" i="6"/>
  <c r="AC76" i="6"/>
  <c r="Z70" i="6"/>
  <c r="X173" i="9"/>
  <c r="H20" i="33"/>
  <c r="H21" i="33"/>
  <c r="X174" i="9"/>
  <c r="S271" i="9"/>
  <c r="C40" i="33"/>
  <c r="H42" i="33"/>
  <c r="P268" i="9"/>
  <c r="P265" i="9"/>
  <c r="P269" i="9"/>
  <c r="P267" i="9"/>
  <c r="P266" i="9"/>
  <c r="P270" i="9"/>
  <c r="P271" i="9"/>
  <c r="K10" i="36"/>
  <c r="S638" i="9"/>
  <c r="C95" i="33"/>
  <c r="Y78" i="6"/>
  <c r="AC69" i="6"/>
  <c r="AC74" i="6" s="1"/>
  <c r="AD70" i="6"/>
  <c r="AD72" i="6" s="1"/>
  <c r="S265" i="9"/>
  <c r="C34" i="33"/>
  <c r="X176" i="9"/>
  <c r="H23" i="33"/>
  <c r="W76" i="6"/>
  <c r="W67" i="6"/>
  <c r="Y68" i="6"/>
  <c r="S633" i="9"/>
  <c r="C90" i="33"/>
  <c r="Y100" i="24"/>
  <c r="Y52" i="24"/>
  <c r="X70" i="6"/>
  <c r="C38" i="33"/>
  <c r="S269" i="9"/>
  <c r="X78" i="6"/>
  <c r="X73" i="6"/>
  <c r="W65" i="6"/>
  <c r="S637" i="9"/>
  <c r="C94" i="33"/>
  <c r="U9" i="36"/>
  <c r="H68" i="6" l="1"/>
  <c r="AC68" i="6"/>
  <c r="AC70" i="6"/>
  <c r="AC72" i="6" s="1"/>
  <c r="J68" i="6"/>
  <c r="F70" i="6"/>
  <c r="F72" i="6" s="1"/>
  <c r="B72" i="6" s="1"/>
  <c r="G70" i="6"/>
  <c r="G72" i="6" s="1"/>
  <c r="W70" i="6"/>
  <c r="P68" i="6"/>
  <c r="K68" i="6"/>
  <c r="P78" i="6"/>
  <c r="E65" i="6"/>
  <c r="F68" i="6"/>
  <c r="G68" i="6"/>
  <c r="J70" i="6"/>
  <c r="J72" i="6" s="1"/>
  <c r="M64" i="6"/>
  <c r="M75" i="6"/>
  <c r="M66" i="6"/>
  <c r="H70" i="6"/>
  <c r="H72" i="6" s="1"/>
  <c r="S64" i="6"/>
  <c r="S66" i="6"/>
  <c r="S75" i="6"/>
  <c r="K70" i="6"/>
  <c r="K72" i="6" s="1"/>
  <c r="C72" i="6" s="1"/>
  <c r="I69" i="6"/>
  <c r="I74" i="6" s="1"/>
  <c r="T66" i="6"/>
  <c r="T75" i="6"/>
  <c r="T64" i="6"/>
  <c r="K73" i="6"/>
  <c r="C73" i="6" s="1"/>
  <c r="K78" i="6"/>
  <c r="E69" i="6"/>
  <c r="E68" i="6"/>
  <c r="E70" i="6"/>
  <c r="P70" i="6"/>
  <c r="P72" i="6" s="1"/>
  <c r="I67" i="6"/>
  <c r="I76" i="6"/>
  <c r="O66" i="6"/>
  <c r="O64" i="6"/>
  <c r="O75" i="6"/>
  <c r="W78" i="6"/>
  <c r="W73" i="6"/>
  <c r="Y54" i="24"/>
  <c r="BK53" i="24" s="1"/>
  <c r="Y58" i="24"/>
  <c r="BK57" i="24" s="1"/>
  <c r="Y57" i="24"/>
  <c r="BK56" i="24" s="1"/>
  <c r="Y56" i="24"/>
  <c r="BK55" i="24" s="1"/>
  <c r="Y55" i="24"/>
  <c r="BK54" i="24" s="1"/>
  <c r="Y59" i="24"/>
  <c r="X270" i="9"/>
  <c r="H39" i="33"/>
  <c r="X634" i="9"/>
  <c r="H91" i="33"/>
  <c r="Z57" i="24"/>
  <c r="Z59" i="24"/>
  <c r="Z55" i="24"/>
  <c r="Z58" i="24"/>
  <c r="Z54" i="24"/>
  <c r="Z56" i="24"/>
  <c r="Y106" i="24"/>
  <c r="Y103" i="24"/>
  <c r="Y104" i="24"/>
  <c r="Y105" i="24"/>
  <c r="Y108" i="24"/>
  <c r="Y107" i="24"/>
  <c r="X266" i="9"/>
  <c r="H35" i="33"/>
  <c r="S721" i="9"/>
  <c r="C107" i="33"/>
  <c r="F10" i="36"/>
  <c r="X267" i="9"/>
  <c r="H36" i="33"/>
  <c r="AC78" i="6"/>
  <c r="AC73" i="6"/>
  <c r="S718" i="9"/>
  <c r="C104" i="33"/>
  <c r="X638" i="9"/>
  <c r="H95" i="33"/>
  <c r="H38" i="33"/>
  <c r="X269" i="9"/>
  <c r="S719" i="9"/>
  <c r="C105" i="33"/>
  <c r="H90" i="33"/>
  <c r="X633" i="9"/>
  <c r="W68" i="6"/>
  <c r="X265" i="9"/>
  <c r="H34" i="33"/>
  <c r="S720" i="9"/>
  <c r="C106" i="33"/>
  <c r="X637" i="9"/>
  <c r="H94" i="33"/>
  <c r="H37" i="33"/>
  <c r="X268" i="9"/>
  <c r="C109" i="33"/>
  <c r="S723" i="9"/>
  <c r="X547" i="9"/>
  <c r="H82" i="33"/>
  <c r="S722" i="9"/>
  <c r="C108" i="33"/>
  <c r="X635" i="9"/>
  <c r="H92" i="33"/>
  <c r="H93" i="33"/>
  <c r="X636" i="9"/>
  <c r="H40" i="33"/>
  <c r="X271" i="9"/>
  <c r="Z105" i="24"/>
  <c r="Z104" i="24"/>
  <c r="Z103" i="24"/>
  <c r="Z106" i="24"/>
  <c r="Z108" i="24"/>
  <c r="Z107" i="24"/>
  <c r="H111" i="33"/>
  <c r="P720" i="9"/>
  <c r="P721" i="9"/>
  <c r="P722" i="9"/>
  <c r="P723" i="9"/>
  <c r="P718" i="9"/>
  <c r="P719" i="9"/>
  <c r="I68" i="6" l="1"/>
  <c r="I78" i="6" s="1"/>
  <c r="G78" i="6"/>
  <c r="I70" i="6"/>
  <c r="I72" i="6" s="1"/>
  <c r="F78" i="6"/>
  <c r="M69" i="6"/>
  <c r="M74" i="6" s="1"/>
  <c r="T65" i="6"/>
  <c r="T67" i="6"/>
  <c r="T76" i="6"/>
  <c r="M65" i="6"/>
  <c r="M67" i="6"/>
  <c r="M76" i="6"/>
  <c r="O65" i="6"/>
  <c r="O67" i="6"/>
  <c r="O76" i="6"/>
  <c r="T69" i="6"/>
  <c r="T74" i="6" s="1"/>
  <c r="S69" i="6"/>
  <c r="S74" i="6" s="1"/>
  <c r="O69" i="6"/>
  <c r="O74" i="6" s="1"/>
  <c r="S65" i="6"/>
  <c r="S76" i="6"/>
  <c r="S67" i="6"/>
  <c r="Z109" i="24"/>
  <c r="H78" i="6"/>
  <c r="AO58" i="24"/>
  <c r="BL57" i="24"/>
  <c r="BJ58" i="24"/>
  <c r="Y62" i="24"/>
  <c r="Y109" i="24"/>
  <c r="BK58" i="24"/>
  <c r="Z62" i="24"/>
  <c r="BL54" i="24"/>
  <c r="AO55" i="24"/>
  <c r="AO57" i="24"/>
  <c r="BL56" i="24"/>
  <c r="X719" i="9"/>
  <c r="H105" i="33"/>
  <c r="X722" i="9"/>
  <c r="H108" i="33"/>
  <c r="X720" i="9"/>
  <c r="H106" i="33"/>
  <c r="X718" i="9"/>
  <c r="H104" i="33"/>
  <c r="BL55" i="24"/>
  <c r="AO56" i="24"/>
  <c r="H107" i="33"/>
  <c r="X721" i="9"/>
  <c r="X723" i="9"/>
  <c r="H109" i="33"/>
  <c r="BL53" i="24"/>
  <c r="AO54" i="24"/>
  <c r="M70" i="6" l="1"/>
  <c r="M72" i="6" s="1"/>
  <c r="S68" i="6"/>
  <c r="M68" i="6"/>
  <c r="J78" i="6"/>
  <c r="S70" i="6"/>
  <c r="S72" i="6" s="1"/>
  <c r="O68" i="6"/>
  <c r="O70" i="6"/>
  <c r="O72" i="6" s="1"/>
  <c r="T70" i="6"/>
  <c r="T72" i="6" s="1"/>
  <c r="S73" i="6"/>
  <c r="S78" i="6"/>
  <c r="T68" i="6"/>
  <c r="T73" i="6"/>
  <c r="T78" i="6"/>
  <c r="O73" i="6"/>
  <c r="O78" i="6"/>
  <c r="M73" i="6"/>
  <c r="M78" i="6"/>
  <c r="AO59" i="24"/>
  <c r="AX54" i="24" s="1"/>
  <c r="AX57" i="24" l="1"/>
  <c r="AX56" i="24"/>
  <c r="AX58" i="24"/>
  <c r="AX55" i="24"/>
  <c r="AI35" i="1"/>
  <c r="AI82" i="1" s="1"/>
  <c r="AJ30" i="1" l="1"/>
  <c r="AJ77" i="1" s="1"/>
  <c r="AJ25" i="4"/>
  <c r="AH35" i="1"/>
  <c r="AH82" i="1" s="1"/>
  <c r="AC30" i="1" l="1"/>
  <c r="AC77" i="1" s="1"/>
  <c r="AC25" i="4"/>
  <c r="AE30" i="1"/>
  <c r="AE25" i="4"/>
  <c r="AG25" i="4"/>
  <c r="AG30" i="1"/>
  <c r="AH30" i="1"/>
  <c r="AH77" i="1" s="1"/>
  <c r="AH25" i="4"/>
  <c r="AD30" i="1"/>
  <c r="AD77" i="1" s="1"/>
  <c r="AD25" i="4"/>
  <c r="AF25" i="4"/>
  <c r="AF30" i="1"/>
  <c r="AA25" i="4"/>
  <c r="AA30" i="1"/>
  <c r="AF77" i="1" l="1"/>
  <c r="AE77" i="1"/>
  <c r="AA77" i="1"/>
  <c r="AI30" i="1"/>
  <c r="AI77" i="1" s="1"/>
  <c r="AI25" i="4"/>
  <c r="AG77" i="1"/>
  <c r="AI79" i="1"/>
  <c r="AH79" i="1"/>
  <c r="AF65" i="1" l="1"/>
  <c r="X65" i="1"/>
  <c r="P65" i="1"/>
  <c r="AJ35" i="1"/>
  <c r="AJ82" i="1" s="1"/>
  <c r="Z28" i="1"/>
  <c r="Z75" i="1" s="1"/>
  <c r="Y28" i="1"/>
  <c r="X28" i="1"/>
  <c r="X75" i="1" s="1"/>
  <c r="W28" i="1"/>
  <c r="V28" i="1"/>
  <c r="V75" i="1" s="1"/>
  <c r="U28" i="1"/>
  <c r="T28" i="1"/>
  <c r="T75" i="1" s="1"/>
  <c r="S28" i="1"/>
  <c r="S75" i="1" s="1"/>
  <c r="R28" i="1"/>
  <c r="R75" i="1" s="1"/>
  <c r="Q28" i="1"/>
  <c r="P28" i="1"/>
  <c r="P75" i="1" s="1"/>
  <c r="O28" i="1"/>
  <c r="N28" i="1"/>
  <c r="N75" i="1" s="1"/>
  <c r="M28" i="1"/>
  <c r="L28" i="1"/>
  <c r="K28" i="1"/>
  <c r="J28" i="1"/>
  <c r="I28" i="1"/>
  <c r="H28" i="1"/>
  <c r="G28" i="1"/>
  <c r="F28" i="1"/>
  <c r="E28" i="1"/>
  <c r="D28" i="1"/>
  <c r="C28" i="1"/>
  <c r="B28" i="1"/>
  <c r="Z26" i="1"/>
  <c r="Y26" i="1"/>
  <c r="X26" i="1"/>
  <c r="W26" i="1"/>
  <c r="V26" i="1"/>
  <c r="U26" i="1"/>
  <c r="T26" i="1"/>
  <c r="S26" i="1"/>
  <c r="R26" i="1"/>
  <c r="Q26" i="1"/>
  <c r="P26" i="1"/>
  <c r="O26" i="1"/>
  <c r="N26" i="1"/>
  <c r="M26" i="1"/>
  <c r="L26" i="1"/>
  <c r="K26" i="1"/>
  <c r="J26" i="1"/>
  <c r="I26" i="1"/>
  <c r="H26" i="1"/>
  <c r="G26" i="1"/>
  <c r="F26" i="1"/>
  <c r="E26" i="1"/>
  <c r="D26" i="1"/>
  <c r="C26" i="1"/>
  <c r="B26" i="1"/>
  <c r="Z25" i="1"/>
  <c r="Z72" i="1" s="1"/>
  <c r="Y25" i="1"/>
  <c r="Y72" i="1" s="1"/>
  <c r="X25" i="1"/>
  <c r="X72" i="1" s="1"/>
  <c r="W25" i="1"/>
  <c r="V25" i="1"/>
  <c r="V72" i="1" s="1"/>
  <c r="U25" i="1"/>
  <c r="T25" i="1"/>
  <c r="T72" i="1" s="1"/>
  <c r="S25" i="1"/>
  <c r="R25" i="1"/>
  <c r="R72" i="1" s="1"/>
  <c r="Q25" i="1"/>
  <c r="Q72" i="1" s="1"/>
  <c r="P25" i="1"/>
  <c r="P72" i="1" s="1"/>
  <c r="O25" i="1"/>
  <c r="N25" i="1"/>
  <c r="N72" i="1" s="1"/>
  <c r="M25" i="1"/>
  <c r="L25" i="1"/>
  <c r="L72" i="1" s="1"/>
  <c r="K25" i="1"/>
  <c r="J25" i="1"/>
  <c r="J72" i="1" s="1"/>
  <c r="I25" i="1"/>
  <c r="I72" i="1" s="1"/>
  <c r="H25" i="1"/>
  <c r="H72" i="1" s="1"/>
  <c r="G25" i="1"/>
  <c r="F25" i="1"/>
  <c r="F72" i="1" s="1"/>
  <c r="E25" i="1"/>
  <c r="D25" i="1"/>
  <c r="D72" i="1" s="1"/>
  <c r="C25" i="1"/>
  <c r="B25" i="1"/>
  <c r="B72" i="1" s="1"/>
  <c r="Z24" i="1"/>
  <c r="Y24" i="1"/>
  <c r="Y71" i="1" s="1"/>
  <c r="X24" i="1"/>
  <c r="W24" i="1"/>
  <c r="V24" i="1"/>
  <c r="U24" i="1"/>
  <c r="T24" i="1"/>
  <c r="S24" i="1"/>
  <c r="R24" i="1"/>
  <c r="Q24" i="1"/>
  <c r="Q71" i="1" s="1"/>
  <c r="P24" i="1"/>
  <c r="O24" i="1"/>
  <c r="N24" i="1"/>
  <c r="M24" i="1"/>
  <c r="L24" i="1"/>
  <c r="K24" i="1"/>
  <c r="J24" i="1"/>
  <c r="I24" i="1"/>
  <c r="I71" i="1" s="1"/>
  <c r="H24" i="1"/>
  <c r="G24" i="1"/>
  <c r="F24" i="1"/>
  <c r="E24" i="1"/>
  <c r="D24" i="1"/>
  <c r="C24" i="1"/>
  <c r="B24" i="1"/>
  <c r="B71" i="1" l="1"/>
  <c r="J71" i="1"/>
  <c r="R71" i="1"/>
  <c r="Z71" i="1"/>
  <c r="O75" i="1"/>
  <c r="W75" i="1"/>
  <c r="K72" i="1"/>
  <c r="S72" i="1"/>
  <c r="Q75" i="1"/>
  <c r="Y75" i="1"/>
  <c r="C72" i="1"/>
  <c r="F71" i="1"/>
  <c r="N71" i="1"/>
  <c r="V71" i="1"/>
  <c r="E72" i="1"/>
  <c r="M72" i="1"/>
  <c r="U72" i="1"/>
  <c r="G72" i="1"/>
  <c r="O72" i="1"/>
  <c r="W72" i="1"/>
  <c r="M75" i="1"/>
  <c r="U75" i="1"/>
  <c r="Q65" i="1"/>
  <c r="Y65" i="1"/>
  <c r="AG65" i="1"/>
  <c r="N65" i="1"/>
  <c r="V65" i="1"/>
  <c r="AD65" i="1"/>
  <c r="O65" i="1"/>
  <c r="W65" i="1"/>
  <c r="AE65" i="1"/>
  <c r="X43" i="6"/>
  <c r="Y43" i="6"/>
  <c r="R65" i="1"/>
  <c r="Z65" i="1"/>
  <c r="AH65" i="1"/>
  <c r="W43" i="6"/>
  <c r="Z43" i="6"/>
  <c r="S65" i="1"/>
  <c r="AA65" i="1"/>
  <c r="AI65" i="1"/>
  <c r="T65" i="1"/>
  <c r="AB65" i="1"/>
  <c r="AJ65" i="1"/>
  <c r="M65" i="1"/>
  <c r="U65" i="1"/>
  <c r="AC65" i="1"/>
  <c r="AD34" i="1"/>
  <c r="C71" i="1"/>
  <c r="K71" i="1"/>
  <c r="S71" i="1"/>
  <c r="D71" i="1"/>
  <c r="L71" i="1"/>
  <c r="T71" i="1"/>
  <c r="AC34" i="1"/>
  <c r="AJ22" i="1"/>
  <c r="AJ24" i="1"/>
  <c r="AJ71" i="1" s="1"/>
  <c r="AG25" i="1"/>
  <c r="AG72" i="1" s="1"/>
  <c r="AD26" i="1"/>
  <c r="AA28" i="1"/>
  <c r="AA75" i="1" s="1"/>
  <c r="P61" i="1"/>
  <c r="X61" i="1"/>
  <c r="AF61" i="1"/>
  <c r="AG26" i="1"/>
  <c r="AC22" i="1"/>
  <c r="AH25" i="1"/>
  <c r="AH72" i="1" s="1"/>
  <c r="AE26" i="1"/>
  <c r="AB28" i="1"/>
  <c r="AB75" i="1" s="1"/>
  <c r="AD22" i="1"/>
  <c r="AI25" i="1"/>
  <c r="AI72" i="1" s="1"/>
  <c r="AK60" i="1"/>
  <c r="AA25" i="1"/>
  <c r="AA72" i="1" s="1"/>
  <c r="AB25" i="1"/>
  <c r="AB72" i="1" s="1"/>
  <c r="AF24" i="1"/>
  <c r="AF71" i="1" s="1"/>
  <c r="AC25" i="1"/>
  <c r="AC72" i="1" s="1"/>
  <c r="AH26" i="1"/>
  <c r="AH73" i="1" s="1"/>
  <c r="AH28" i="1"/>
  <c r="AH75" i="1" s="1"/>
  <c r="T61" i="1"/>
  <c r="AB61" i="1"/>
  <c r="AF28" i="1"/>
  <c r="AF75" i="1" s="1"/>
  <c r="AJ25" i="1"/>
  <c r="AJ72" i="1" s="1"/>
  <c r="AF22" i="1"/>
  <c r="AG24" i="1"/>
  <c r="AG71" i="1" s="1"/>
  <c r="AD25" i="1"/>
  <c r="AD72" i="1" s="1"/>
  <c r="AA26" i="1"/>
  <c r="AI26" i="1"/>
  <c r="AI73" i="1" s="1"/>
  <c r="AI28" i="1"/>
  <c r="G71" i="1"/>
  <c r="O71" i="1"/>
  <c r="W71" i="1"/>
  <c r="AH24" i="1"/>
  <c r="AH71" i="1" s="1"/>
  <c r="AE25" i="1"/>
  <c r="AE72" i="1" s="1"/>
  <c r="AB26" i="1"/>
  <c r="AB73" i="1" s="1"/>
  <c r="AJ26" i="1"/>
  <c r="AJ73" i="1" s="1"/>
  <c r="AJ28" i="1"/>
  <c r="AJ75" i="1" s="1"/>
  <c r="AA24" i="1"/>
  <c r="AA71" i="1" s="1"/>
  <c r="AF26" i="1"/>
  <c r="AF73" i="1" s="1"/>
  <c r="AB24" i="1"/>
  <c r="AB71" i="1" s="1"/>
  <c r="AG28" i="1"/>
  <c r="AG75" i="1" s="1"/>
  <c r="AA22" i="1"/>
  <c r="AI22" i="1"/>
  <c r="H71" i="1"/>
  <c r="P71" i="1"/>
  <c r="X71" i="1"/>
  <c r="AI24" i="1"/>
  <c r="AI71" i="1" s="1"/>
  <c r="AF25" i="1"/>
  <c r="AF72" i="1" s="1"/>
  <c r="AC26" i="1"/>
  <c r="AC73" i="1" s="1"/>
  <c r="O61" i="1"/>
  <c r="AE61" i="1"/>
  <c r="E14" i="1"/>
  <c r="E22" i="1"/>
  <c r="U14" i="1"/>
  <c r="G15" i="38" s="1"/>
  <c r="U22" i="1"/>
  <c r="G73" i="1"/>
  <c r="O73" i="1"/>
  <c r="W73" i="1"/>
  <c r="AE73" i="1"/>
  <c r="Y61" i="1"/>
  <c r="AG61" i="1"/>
  <c r="N64" i="1"/>
  <c r="N87" i="1"/>
  <c r="N81" i="1"/>
  <c r="V64" i="1"/>
  <c r="V81" i="1"/>
  <c r="V87" i="1"/>
  <c r="T22" i="1"/>
  <c r="T14" i="1"/>
  <c r="F15" i="38" s="1"/>
  <c r="N73" i="1"/>
  <c r="M14" i="1"/>
  <c r="M22" i="1"/>
  <c r="F22" i="1"/>
  <c r="F14" i="1"/>
  <c r="N22" i="1"/>
  <c r="N14" i="1"/>
  <c r="V14" i="1"/>
  <c r="H15" i="38" s="1"/>
  <c r="V22" i="1"/>
  <c r="H73" i="1"/>
  <c r="P73" i="1"/>
  <c r="X73" i="1"/>
  <c r="R61" i="1"/>
  <c r="Z61" i="1"/>
  <c r="AH61" i="1"/>
  <c r="O64" i="1"/>
  <c r="O81" i="1"/>
  <c r="O87" i="1"/>
  <c r="AE87" i="1"/>
  <c r="AE64" i="1"/>
  <c r="AE81" i="1"/>
  <c r="D22" i="1"/>
  <c r="D14" i="1"/>
  <c r="AB22" i="1"/>
  <c r="F73" i="1"/>
  <c r="Y73" i="1"/>
  <c r="AG73" i="1"/>
  <c r="S61" i="1"/>
  <c r="AA61" i="1"/>
  <c r="AI61" i="1"/>
  <c r="P87" i="1"/>
  <c r="P64" i="1"/>
  <c r="P81" i="1"/>
  <c r="X81" i="1"/>
  <c r="X87" i="1"/>
  <c r="X64" i="1"/>
  <c r="AF87" i="1"/>
  <c r="AF64" i="1"/>
  <c r="AF81" i="1"/>
  <c r="L22" i="1"/>
  <c r="L14" i="1"/>
  <c r="O14" i="1"/>
  <c r="O22" i="1"/>
  <c r="X14" i="1"/>
  <c r="J15" i="38" s="1"/>
  <c r="X22" i="1"/>
  <c r="Y81" i="1"/>
  <c r="Y64" i="1"/>
  <c r="Y87" i="1"/>
  <c r="AG81" i="1"/>
  <c r="AG64" i="1"/>
  <c r="AG87" i="1"/>
  <c r="AD73" i="1"/>
  <c r="U87" i="1"/>
  <c r="U64" i="1"/>
  <c r="U81" i="1"/>
  <c r="W22" i="1"/>
  <c r="W14" i="1"/>
  <c r="I15" i="38" s="1"/>
  <c r="Q73" i="1"/>
  <c r="E71" i="1"/>
  <c r="U71" i="1"/>
  <c r="R73" i="1"/>
  <c r="Q14" i="1"/>
  <c r="C15" i="38" s="1"/>
  <c r="Q22" i="1"/>
  <c r="AG22" i="1"/>
  <c r="K73" i="1"/>
  <c r="S73" i="1"/>
  <c r="AI75" i="1"/>
  <c r="U61" i="1"/>
  <c r="R81" i="1"/>
  <c r="R87" i="1"/>
  <c r="R64" i="1"/>
  <c r="Z64" i="1"/>
  <c r="Z87" i="1"/>
  <c r="Z81" i="1"/>
  <c r="AH81" i="1"/>
  <c r="AH87" i="1"/>
  <c r="AH64" i="1"/>
  <c r="V73" i="1"/>
  <c r="I73" i="1"/>
  <c r="H14" i="1"/>
  <c r="H22" i="1"/>
  <c r="M71" i="1"/>
  <c r="B73" i="1"/>
  <c r="J73" i="1"/>
  <c r="Z73" i="1"/>
  <c r="I22" i="1"/>
  <c r="I14" i="1"/>
  <c r="C73" i="1"/>
  <c r="AA73" i="1"/>
  <c r="B14" i="1"/>
  <c r="B22" i="1"/>
  <c r="J22" i="1"/>
  <c r="J14" i="1"/>
  <c r="R22" i="1"/>
  <c r="R14" i="1"/>
  <c r="D15" i="38" s="1"/>
  <c r="Z22" i="1"/>
  <c r="Z14" i="1"/>
  <c r="L15" i="38" s="1"/>
  <c r="AH22" i="1"/>
  <c r="D73" i="1"/>
  <c r="L73" i="1"/>
  <c r="T73" i="1"/>
  <c r="N61" i="1"/>
  <c r="V61" i="1"/>
  <c r="S87" i="1"/>
  <c r="S64" i="1"/>
  <c r="S81" i="1"/>
  <c r="AA81" i="1"/>
  <c r="AA87" i="1"/>
  <c r="AA64" i="1"/>
  <c r="AI64" i="1"/>
  <c r="AI87" i="1"/>
  <c r="AI81" i="1"/>
  <c r="G22" i="1"/>
  <c r="G14" i="1"/>
  <c r="AE22" i="1"/>
  <c r="P22" i="1"/>
  <c r="P14" i="1"/>
  <c r="Y22" i="1"/>
  <c r="Y14" i="1"/>
  <c r="K15" i="38" s="1"/>
  <c r="C14" i="1"/>
  <c r="C22" i="1"/>
  <c r="K14" i="1"/>
  <c r="K22" i="1"/>
  <c r="S22" i="1"/>
  <c r="S14" i="1"/>
  <c r="E15" i="38" s="1"/>
  <c r="E73" i="1"/>
  <c r="M73" i="1"/>
  <c r="U73" i="1"/>
  <c r="T81" i="1"/>
  <c r="T64" i="1"/>
  <c r="T87" i="1"/>
  <c r="AB64" i="1"/>
  <c r="AB87" i="1"/>
  <c r="AB81" i="1"/>
  <c r="C61" i="42"/>
  <c r="AD61" i="1"/>
  <c r="M61" i="1"/>
  <c r="S790" i="9"/>
  <c r="S791" i="9" s="1"/>
  <c r="AJ61" i="1"/>
  <c r="S1126" i="9"/>
  <c r="R619" i="9"/>
  <c r="R620" i="9" s="1"/>
  <c r="C56" i="42"/>
  <c r="R251" i="9"/>
  <c r="R252" i="9" s="1"/>
  <c r="V1126" i="9"/>
  <c r="R875" i="9"/>
  <c r="R876" i="9" s="1"/>
  <c r="R159" i="9"/>
  <c r="R160" i="9" s="1"/>
  <c r="S959" i="9"/>
  <c r="S960" i="9" s="1"/>
  <c r="R1126" i="9"/>
  <c r="R790" i="9"/>
  <c r="R791" i="9" s="1"/>
  <c r="R65" i="9"/>
  <c r="R66" i="9" s="1"/>
  <c r="S875" i="9"/>
  <c r="S876" i="9" s="1"/>
  <c r="T1126" i="9"/>
  <c r="R705" i="9"/>
  <c r="R706" i="9" s="1"/>
  <c r="S435" i="9"/>
  <c r="S436" i="9" s="1"/>
  <c r="S1042" i="9"/>
  <c r="S1043" i="9" s="1"/>
  <c r="S343" i="9"/>
  <c r="S344" i="9" s="1"/>
  <c r="U1126" i="9"/>
  <c r="R527" i="9"/>
  <c r="R528" i="9" s="1"/>
  <c r="S251" i="9"/>
  <c r="S252" i="9" s="1"/>
  <c r="R959" i="9"/>
  <c r="R960" i="9" s="1"/>
  <c r="R435" i="9"/>
  <c r="R436" i="9" s="1"/>
  <c r="S159" i="9"/>
  <c r="S160" i="9" s="1"/>
  <c r="R1042" i="9"/>
  <c r="R1043" i="9" s="1"/>
  <c r="R343" i="9"/>
  <c r="R344" i="9" s="1"/>
  <c r="S65" i="9"/>
  <c r="S66" i="9" s="1"/>
  <c r="AI14" i="1" l="1"/>
  <c r="U15" i="38" s="1"/>
  <c r="U59" i="38" s="1"/>
  <c r="W93" i="6"/>
  <c r="W46" i="6"/>
  <c r="W74" i="6"/>
  <c r="X93" i="6"/>
  <c r="X46" i="6"/>
  <c r="X74" i="6"/>
  <c r="Y93" i="6"/>
  <c r="Y46" i="6"/>
  <c r="Y74" i="6"/>
  <c r="Z93" i="6"/>
  <c r="Z46" i="6"/>
  <c r="Z74" i="6"/>
  <c r="AG14" i="1"/>
  <c r="S15" i="38" s="1"/>
  <c r="AB14" i="1"/>
  <c r="N15" i="38" s="1"/>
  <c r="N58" i="38" s="1"/>
  <c r="AH14" i="1"/>
  <c r="T15" i="38" s="1"/>
  <c r="AK29" i="4"/>
  <c r="C63" i="42"/>
  <c r="C60" i="42"/>
  <c r="AF14" i="1"/>
  <c r="R15" i="38" s="1"/>
  <c r="R56" i="38" s="1"/>
  <c r="AJ14" i="1"/>
  <c r="V15" i="38" s="1"/>
  <c r="V54" i="38" s="1"/>
  <c r="C55" i="42"/>
  <c r="AA14" i="1"/>
  <c r="M15" i="38" s="1"/>
  <c r="M59" i="38" s="1"/>
  <c r="AF15" i="4"/>
  <c r="AJ15" i="4"/>
  <c r="AB15" i="4"/>
  <c r="J27" i="1"/>
  <c r="J36" i="1" s="1"/>
  <c r="J15" i="4"/>
  <c r="M15" i="4"/>
  <c r="M27" i="1"/>
  <c r="M37" i="1" s="1"/>
  <c r="M84" i="1" s="1"/>
  <c r="U53" i="38"/>
  <c r="U56" i="38"/>
  <c r="U54" i="38"/>
  <c r="C69" i="1"/>
  <c r="C53" i="38"/>
  <c r="C54" i="38"/>
  <c r="C58" i="38"/>
  <c r="C59" i="38"/>
  <c r="C57" i="38"/>
  <c r="C55" i="38"/>
  <c r="C56" i="38"/>
  <c r="C60" i="38"/>
  <c r="AR84" i="1"/>
  <c r="AR83" i="1" s="1"/>
  <c r="AF26" i="4"/>
  <c r="AF30" i="4" s="1"/>
  <c r="Z27" i="1"/>
  <c r="Z15" i="4"/>
  <c r="Z26" i="4"/>
  <c r="Z30" i="4" s="1"/>
  <c r="E15" i="4"/>
  <c r="E27" i="1"/>
  <c r="AI69" i="1"/>
  <c r="G69" i="1"/>
  <c r="J69" i="1"/>
  <c r="I53" i="38"/>
  <c r="I60" i="38"/>
  <c r="I58" i="38"/>
  <c r="I57" i="38"/>
  <c r="I56" i="38"/>
  <c r="I59" i="38"/>
  <c r="I54" i="38"/>
  <c r="I55" i="38"/>
  <c r="AB69" i="1"/>
  <c r="N69" i="1"/>
  <c r="F58" i="38"/>
  <c r="F60" i="38"/>
  <c r="F56" i="38"/>
  <c r="F54" i="38"/>
  <c r="F57" i="38"/>
  <c r="F55" i="38"/>
  <c r="F53" i="38"/>
  <c r="F59" i="38"/>
  <c r="K15" i="4"/>
  <c r="K27" i="1"/>
  <c r="H27" i="1"/>
  <c r="H15" i="4"/>
  <c r="C27" i="1"/>
  <c r="C37" i="1" s="1"/>
  <c r="C15" i="4"/>
  <c r="AB26" i="4"/>
  <c r="AB30" i="4" s="1"/>
  <c r="AJ87" i="1"/>
  <c r="AJ81" i="1"/>
  <c r="AJ64" i="1"/>
  <c r="AC64" i="1"/>
  <c r="AC81" i="1"/>
  <c r="AC87" i="1"/>
  <c r="L15" i="4"/>
  <c r="L27" i="1"/>
  <c r="M54" i="38"/>
  <c r="M58" i="38"/>
  <c r="M57" i="38"/>
  <c r="M55" i="38"/>
  <c r="M60" i="38"/>
  <c r="K55" i="38"/>
  <c r="K58" i="38"/>
  <c r="K53" i="38"/>
  <c r="K60" i="38"/>
  <c r="K59" i="38"/>
  <c r="K56" i="38"/>
  <c r="K54" i="38"/>
  <c r="K57" i="38"/>
  <c r="T54" i="38"/>
  <c r="T55" i="38"/>
  <c r="T56" i="38"/>
  <c r="T58" i="38"/>
  <c r="T60" i="38"/>
  <c r="T53" i="38"/>
  <c r="T57" i="38"/>
  <c r="T59" i="38"/>
  <c r="B69" i="1"/>
  <c r="I69" i="1"/>
  <c r="AC61" i="1"/>
  <c r="W69" i="1"/>
  <c r="AQ84" i="1"/>
  <c r="T69" i="1"/>
  <c r="F15" i="4"/>
  <c r="F27" i="1"/>
  <c r="F37" i="1" s="1"/>
  <c r="B15" i="4"/>
  <c r="B27" i="1"/>
  <c r="B37" i="1" s="1"/>
  <c r="P15" i="4"/>
  <c r="P27" i="1"/>
  <c r="P37" i="1" s="1"/>
  <c r="P84" i="1" s="1"/>
  <c r="Q27" i="1"/>
  <c r="Q15" i="4"/>
  <c r="Q26" i="4"/>
  <c r="Q30" i="4" s="1"/>
  <c r="AA69" i="1"/>
  <c r="Y69" i="1"/>
  <c r="V57" i="38"/>
  <c r="V55" i="38"/>
  <c r="V53" i="38"/>
  <c r="AH69" i="1"/>
  <c r="R58" i="38"/>
  <c r="D69" i="1"/>
  <c r="F69" i="1"/>
  <c r="AC69" i="1"/>
  <c r="N27" i="1"/>
  <c r="N36" i="1" s="1"/>
  <c r="N15" i="4"/>
  <c r="S15" i="4"/>
  <c r="S26" i="4"/>
  <c r="S30" i="4" s="1"/>
  <c r="S27" i="1"/>
  <c r="S36" i="1" s="1"/>
  <c r="R15" i="4"/>
  <c r="R26" i="4"/>
  <c r="R30" i="4" s="1"/>
  <c r="R27" i="1"/>
  <c r="R36" i="1" s="1"/>
  <c r="O15" i="4"/>
  <c r="O27" i="1"/>
  <c r="Y27" i="1"/>
  <c r="Y15" i="4"/>
  <c r="Y26" i="4"/>
  <c r="Y30" i="4" s="1"/>
  <c r="AG27" i="1"/>
  <c r="AG36" i="1" s="1"/>
  <c r="AG15" i="4"/>
  <c r="AG26" i="4"/>
  <c r="AG30" i="4" s="1"/>
  <c r="E54" i="38"/>
  <c r="E53" i="38"/>
  <c r="E58" i="38"/>
  <c r="E56" i="38"/>
  <c r="E60" i="38"/>
  <c r="E59" i="38"/>
  <c r="E55" i="38"/>
  <c r="E57" i="38"/>
  <c r="AJ69" i="1"/>
  <c r="L59" i="38"/>
  <c r="L57" i="38"/>
  <c r="L55" i="38"/>
  <c r="L53" i="38"/>
  <c r="L60" i="38"/>
  <c r="L58" i="38"/>
  <c r="L56" i="38"/>
  <c r="L54" i="38"/>
  <c r="AF69" i="1"/>
  <c r="L69" i="1"/>
  <c r="L36" i="1"/>
  <c r="L37" i="1"/>
  <c r="M36" i="1"/>
  <c r="M69" i="1"/>
  <c r="AO84" i="1"/>
  <c r="U69" i="1"/>
  <c r="G15" i="4"/>
  <c r="G27" i="1"/>
  <c r="D15" i="4"/>
  <c r="D27" i="1"/>
  <c r="D37" i="1" s="1"/>
  <c r="I15" i="4"/>
  <c r="I27" i="1"/>
  <c r="I36" i="1" s="1"/>
  <c r="Q64" i="1"/>
  <c r="Q81" i="1"/>
  <c r="Q87" i="1"/>
  <c r="S69" i="1"/>
  <c r="P69" i="1"/>
  <c r="Z69" i="1"/>
  <c r="Z36" i="1"/>
  <c r="H36" i="1"/>
  <c r="H37" i="1"/>
  <c r="H69" i="1"/>
  <c r="S56" i="38"/>
  <c r="S59" i="38"/>
  <c r="S53" i="38"/>
  <c r="S55" i="38"/>
  <c r="S57" i="38"/>
  <c r="S60" i="38"/>
  <c r="S58" i="38"/>
  <c r="S54" i="38"/>
  <c r="X69" i="1"/>
  <c r="AD69" i="1"/>
  <c r="G57" i="38"/>
  <c r="G55" i="38"/>
  <c r="G53" i="38"/>
  <c r="G54" i="38"/>
  <c r="G60" i="38"/>
  <c r="G58" i="38"/>
  <c r="G56" i="38"/>
  <c r="G59" i="38"/>
  <c r="AI15" i="4"/>
  <c r="AI27" i="1"/>
  <c r="AI37" i="1" s="1"/>
  <c r="AI84" i="1" s="1"/>
  <c r="AI26" i="4"/>
  <c r="AI30" i="4" s="1"/>
  <c r="W15" i="4"/>
  <c r="W26" i="4"/>
  <c r="W30" i="4" s="1"/>
  <c r="W27" i="1"/>
  <c r="W36" i="1" s="1"/>
  <c r="AH15" i="4"/>
  <c r="AH27" i="1"/>
  <c r="AH26" i="4"/>
  <c r="AH30" i="4" s="1"/>
  <c r="K69" i="1"/>
  <c r="K37" i="1"/>
  <c r="D55" i="38"/>
  <c r="D53" i="38"/>
  <c r="D57" i="38"/>
  <c r="D58" i="38"/>
  <c r="D60" i="38"/>
  <c r="D59" i="38"/>
  <c r="D56" i="38"/>
  <c r="D54" i="38"/>
  <c r="AG69" i="1"/>
  <c r="J57" i="38"/>
  <c r="J54" i="38"/>
  <c r="J55" i="38"/>
  <c r="J53" i="38"/>
  <c r="J60" i="38"/>
  <c r="J56" i="38"/>
  <c r="J59" i="38"/>
  <c r="J58" i="38"/>
  <c r="AP84" i="1"/>
  <c r="V69" i="1"/>
  <c r="Q61" i="1"/>
  <c r="E69" i="1"/>
  <c r="E37" i="1"/>
  <c r="E36" i="1"/>
  <c r="AA15" i="4"/>
  <c r="AA26" i="4"/>
  <c r="AA30" i="4" s="1"/>
  <c r="AA27" i="1"/>
  <c r="V27" i="1"/>
  <c r="V26" i="4"/>
  <c r="V30" i="4" s="1"/>
  <c r="V15" i="4"/>
  <c r="X26" i="4"/>
  <c r="X30" i="4" s="1"/>
  <c r="X15" i="4"/>
  <c r="X27" i="1"/>
  <c r="T15" i="4"/>
  <c r="T26" i="4"/>
  <c r="T30" i="4" s="1"/>
  <c r="T27" i="1"/>
  <c r="T37" i="1" s="1"/>
  <c r="T84" i="1" s="1"/>
  <c r="M64" i="1"/>
  <c r="M87" i="1"/>
  <c r="M81" i="1"/>
  <c r="W61" i="1"/>
  <c r="W87" i="1"/>
  <c r="W81" i="1"/>
  <c r="W64" i="1"/>
  <c r="U26" i="4"/>
  <c r="U30" i="4" s="1"/>
  <c r="U27" i="1"/>
  <c r="U36" i="1" s="1"/>
  <c r="U15" i="4"/>
  <c r="AD64" i="1"/>
  <c r="AD87" i="1"/>
  <c r="AD81" i="1"/>
  <c r="AE69" i="1"/>
  <c r="R69" i="1"/>
  <c r="Q69" i="1"/>
  <c r="Q36" i="1"/>
  <c r="Q37" i="1"/>
  <c r="O69" i="1"/>
  <c r="O37" i="1"/>
  <c r="O84" i="1" s="1"/>
  <c r="H57" i="38"/>
  <c r="H59" i="38"/>
  <c r="H55" i="38"/>
  <c r="H60" i="38"/>
  <c r="H56" i="38"/>
  <c r="H53" i="38"/>
  <c r="H58" i="38"/>
  <c r="H54" i="38"/>
  <c r="AD38" i="6"/>
  <c r="Z38" i="6"/>
  <c r="O38" i="6"/>
  <c r="V38" i="6"/>
  <c r="R38" i="6"/>
  <c r="AA38" i="6"/>
  <c r="K38" i="6"/>
  <c r="N38" i="6"/>
  <c r="S38" i="6"/>
  <c r="M38" i="6"/>
  <c r="Q38" i="6"/>
  <c r="L38" i="6"/>
  <c r="AB38" i="6"/>
  <c r="P38" i="6"/>
  <c r="T38" i="6"/>
  <c r="U38" i="6"/>
  <c r="AC38" i="6"/>
  <c r="R57" i="38" l="1"/>
  <c r="N60" i="38"/>
  <c r="U60" i="38"/>
  <c r="R59" i="38"/>
  <c r="N54" i="38"/>
  <c r="U55" i="38"/>
  <c r="U57" i="38"/>
  <c r="AB27" i="1"/>
  <c r="U58" i="38"/>
  <c r="V59" i="38"/>
  <c r="Y94" i="6"/>
  <c r="Y126" i="6"/>
  <c r="Y41" i="6"/>
  <c r="Y118" i="6"/>
  <c r="Y90" i="6"/>
  <c r="Y40" i="6"/>
  <c r="Y88" i="6"/>
  <c r="P20" i="27" s="1"/>
  <c r="Y72" i="6"/>
  <c r="P36" i="1"/>
  <c r="V60" i="38"/>
  <c r="X118" i="6"/>
  <c r="X90" i="6"/>
  <c r="X94" i="6"/>
  <c r="X41" i="6"/>
  <c r="X126" i="6"/>
  <c r="X40" i="6"/>
  <c r="X88" i="6"/>
  <c r="X72" i="6"/>
  <c r="V56" i="38"/>
  <c r="Z41" i="6"/>
  <c r="Z118" i="6"/>
  <c r="Z90" i="6"/>
  <c r="Z126" i="6"/>
  <c r="Z94" i="6"/>
  <c r="Z88" i="6"/>
  <c r="Z40" i="6"/>
  <c r="Z72" i="6"/>
  <c r="V58" i="38"/>
  <c r="AJ27" i="1"/>
  <c r="AJ36" i="1" s="1"/>
  <c r="W126" i="6"/>
  <c r="W94" i="6"/>
  <c r="W41" i="6"/>
  <c r="W118" i="6"/>
  <c r="W90" i="6"/>
  <c r="W88" i="6"/>
  <c r="W40" i="6"/>
  <c r="W72" i="6"/>
  <c r="AJ26" i="4"/>
  <c r="AJ30" i="4" s="1"/>
  <c r="N55" i="38"/>
  <c r="R53" i="38"/>
  <c r="N53" i="38"/>
  <c r="R60" i="38"/>
  <c r="N59" i="38"/>
  <c r="R55" i="38"/>
  <c r="M56" i="38"/>
  <c r="R54" i="38"/>
  <c r="M53" i="38"/>
  <c r="N57" i="38"/>
  <c r="N56" i="38"/>
  <c r="N37" i="1"/>
  <c r="N84" i="1" s="1"/>
  <c r="AF27" i="1"/>
  <c r="AF37" i="1" s="1"/>
  <c r="AF84" i="1" s="1"/>
  <c r="J37" i="1"/>
  <c r="R37" i="1"/>
  <c r="R84" i="1" s="1"/>
  <c r="AK14" i="4"/>
  <c r="AK35" i="1"/>
  <c r="AK26" i="1"/>
  <c r="AT11" i="15" s="1"/>
  <c r="P834" i="9"/>
  <c r="AA74" i="1"/>
  <c r="AA41" i="1"/>
  <c r="AC124" i="6"/>
  <c r="AI22" i="4"/>
  <c r="AI32" i="4" s="1"/>
  <c r="AI33" i="4"/>
  <c r="P298" i="9"/>
  <c r="AG74" i="1"/>
  <c r="AG41" i="1"/>
  <c r="F36" i="1"/>
  <c r="F74" i="1"/>
  <c r="K36" i="1"/>
  <c r="K74" i="1"/>
  <c r="E74" i="1"/>
  <c r="Z37" i="1"/>
  <c r="Z84" i="1" s="1"/>
  <c r="Z74" i="1"/>
  <c r="Z41" i="1"/>
  <c r="Q84" i="1"/>
  <c r="T22" i="4"/>
  <c r="T32" i="4" s="1"/>
  <c r="N124" i="6"/>
  <c r="T33" i="4"/>
  <c r="AH74" i="1"/>
  <c r="P206" i="9"/>
  <c r="AH41" i="1"/>
  <c r="G74" i="1"/>
  <c r="L124" i="6"/>
  <c r="R22" i="4"/>
  <c r="R32" i="4" s="1"/>
  <c r="R33" i="4"/>
  <c r="AH36" i="1"/>
  <c r="L74" i="1"/>
  <c r="P749" i="9"/>
  <c r="AB74" i="1"/>
  <c r="AB41" i="1"/>
  <c r="X74" i="1"/>
  <c r="X41" i="1"/>
  <c r="S124" i="6"/>
  <c r="S125" i="6" s="1"/>
  <c r="Y33" i="4"/>
  <c r="Y22" i="4"/>
  <c r="Y32" i="4" s="1"/>
  <c r="S37" i="1"/>
  <c r="S84" i="1" s="1"/>
  <c r="S74" i="1"/>
  <c r="S41" i="1"/>
  <c r="K124" i="6"/>
  <c r="K125" i="6" s="1"/>
  <c r="Q22" i="4"/>
  <c r="Q32" i="4" s="1"/>
  <c r="Q33" i="4"/>
  <c r="AF74" i="1"/>
  <c r="AF41" i="1"/>
  <c r="M74" i="1"/>
  <c r="X22" i="4"/>
  <c r="X32" i="4" s="1"/>
  <c r="X33" i="4"/>
  <c r="R124" i="6"/>
  <c r="R125" i="6" s="1"/>
  <c r="W37" i="1"/>
  <c r="W84" i="1" s="1"/>
  <c r="W74" i="1"/>
  <c r="W41" i="1"/>
  <c r="U37" i="1"/>
  <c r="U84" i="1" s="1"/>
  <c r="Y37" i="1"/>
  <c r="Y84" i="1" s="1"/>
  <c r="Y74" i="1"/>
  <c r="Y41" i="1"/>
  <c r="AH37" i="1"/>
  <c r="AH84" i="1" s="1"/>
  <c r="Q74" i="1"/>
  <c r="P1001" i="9"/>
  <c r="Q41" i="1"/>
  <c r="T36" i="1"/>
  <c r="I37" i="1"/>
  <c r="G37" i="1"/>
  <c r="Z124" i="6"/>
  <c r="Z125" i="6" s="1"/>
  <c r="AF22" i="4"/>
  <c r="AF32" i="4" s="1"/>
  <c r="AF33" i="4"/>
  <c r="AP71" i="1"/>
  <c r="AP68" i="1"/>
  <c r="AP72" i="1"/>
  <c r="AP66" i="1"/>
  <c r="AP67" i="1"/>
  <c r="AP69" i="1"/>
  <c r="AP70" i="1"/>
  <c r="AB22" i="4"/>
  <c r="AB32" i="4" s="1"/>
  <c r="AB33" i="4"/>
  <c r="V124" i="6"/>
  <c r="AG37" i="1"/>
  <c r="AG84" i="1" s="1"/>
  <c r="X36" i="1"/>
  <c r="O36" i="1"/>
  <c r="O74" i="1"/>
  <c r="S33" i="4"/>
  <c r="S22" i="4"/>
  <c r="S32" i="4" s="1"/>
  <c r="M124" i="6"/>
  <c r="D36" i="1"/>
  <c r="Y36" i="1"/>
  <c r="P74" i="1"/>
  <c r="G36" i="1"/>
  <c r="AJ74" i="1"/>
  <c r="AJ41" i="1"/>
  <c r="AA22" i="4"/>
  <c r="AA32" i="4" s="1"/>
  <c r="U124" i="6"/>
  <c r="U125" i="6" s="1"/>
  <c r="AA33" i="4"/>
  <c r="O124" i="6"/>
  <c r="O125" i="6" s="1"/>
  <c r="U22" i="4"/>
  <c r="U32" i="4" s="1"/>
  <c r="U33" i="4"/>
  <c r="V22" i="4"/>
  <c r="V32" i="4" s="1"/>
  <c r="P124" i="6"/>
  <c r="P125" i="6" s="1"/>
  <c r="V33" i="4"/>
  <c r="W22" i="4"/>
  <c r="W32" i="4" s="1"/>
  <c r="Q124" i="6"/>
  <c r="Q125" i="6" s="1"/>
  <c r="W33" i="4"/>
  <c r="I74" i="1"/>
  <c r="C74" i="1"/>
  <c r="AB37" i="1"/>
  <c r="AB84" i="1" s="1"/>
  <c r="AJ22" i="4"/>
  <c r="AJ32" i="4" s="1"/>
  <c r="AJ33" i="4"/>
  <c r="AD124" i="6"/>
  <c r="AD125" i="6" s="1"/>
  <c r="J74" i="1"/>
  <c r="AB124" i="6"/>
  <c r="AB125" i="6" s="1"/>
  <c r="AH22" i="4"/>
  <c r="AH32" i="4" s="1"/>
  <c r="AH33" i="4"/>
  <c r="U74" i="1"/>
  <c r="U41" i="1"/>
  <c r="X37" i="1"/>
  <c r="X84" i="1" s="1"/>
  <c r="N74" i="1"/>
  <c r="AA36" i="1"/>
  <c r="B74" i="1"/>
  <c r="AB36" i="1"/>
  <c r="AO67" i="1"/>
  <c r="AO46" i="1" s="1"/>
  <c r="T74" i="1"/>
  <c r="T41" i="1"/>
  <c r="V37" i="1"/>
  <c r="V84" i="1" s="1"/>
  <c r="V74" i="1"/>
  <c r="P918" i="9"/>
  <c r="V41" i="1"/>
  <c r="V36" i="1"/>
  <c r="AI36" i="1"/>
  <c r="AI74" i="1"/>
  <c r="P114" i="9"/>
  <c r="AI41" i="1"/>
  <c r="D74" i="1"/>
  <c r="AO69" i="1"/>
  <c r="AO68" i="1"/>
  <c r="AO72" i="1"/>
  <c r="AO70" i="1"/>
  <c r="AO71" i="1"/>
  <c r="AO50" i="1" s="1"/>
  <c r="AO66" i="1"/>
  <c r="AF36" i="1"/>
  <c r="AA124" i="6"/>
  <c r="AA125" i="6" s="1"/>
  <c r="AG33" i="4"/>
  <c r="AG22" i="4"/>
  <c r="AG32" i="4" s="1"/>
  <c r="R74" i="1"/>
  <c r="R41" i="1"/>
  <c r="AA37" i="1"/>
  <c r="AA84" i="1" s="1"/>
  <c r="AQ68" i="1"/>
  <c r="AQ72" i="1"/>
  <c r="AQ71" i="1"/>
  <c r="AQ66" i="1"/>
  <c r="AQ70" i="1"/>
  <c r="AQ69" i="1"/>
  <c r="AQ67" i="1"/>
  <c r="B36" i="1"/>
  <c r="H74" i="1"/>
  <c r="T124" i="6"/>
  <c r="T125" i="6" s="1"/>
  <c r="Z33" i="4"/>
  <c r="Z22" i="4"/>
  <c r="Z32" i="4" s="1"/>
  <c r="C36" i="1"/>
  <c r="L42" i="1"/>
  <c r="J42" i="1"/>
  <c r="X790" i="9"/>
  <c r="U42" i="1"/>
  <c r="K42" i="1"/>
  <c r="H42" i="1"/>
  <c r="X65" i="9"/>
  <c r="X435" i="9"/>
  <c r="I42" i="1"/>
  <c r="E42" i="1"/>
  <c r="X343" i="9"/>
  <c r="X1126" i="9"/>
  <c r="X1127" i="9" s="1"/>
  <c r="X251" i="9"/>
  <c r="G42" i="1"/>
  <c r="X1042" i="9"/>
  <c r="F42" i="1"/>
  <c r="C42" i="1"/>
  <c r="X959" i="9"/>
  <c r="X159" i="9"/>
  <c r="X875" i="9"/>
  <c r="AJ37" i="1" l="1"/>
  <c r="AJ84" i="1" s="1"/>
  <c r="B42" i="1"/>
  <c r="AA111" i="6"/>
  <c r="Z111" i="6"/>
  <c r="Q15" i="27"/>
  <c r="Y111" i="6"/>
  <c r="P15" i="27"/>
  <c r="P20" i="9"/>
  <c r="O15" i="27"/>
  <c r="X111" i="6"/>
  <c r="N20" i="27"/>
  <c r="W109" i="6"/>
  <c r="W111" i="6"/>
  <c r="N15" i="27"/>
  <c r="Z109" i="6"/>
  <c r="Q20" i="27"/>
  <c r="AA109" i="6"/>
  <c r="Y109" i="6"/>
  <c r="X109" i="6"/>
  <c r="O20" i="27"/>
  <c r="P390" i="9"/>
  <c r="AU11" i="15"/>
  <c r="AS88" i="1"/>
  <c r="AO54" i="1" s="1"/>
  <c r="M125" i="6"/>
  <c r="V125" i="6"/>
  <c r="D27" i="36"/>
  <c r="AK62" i="20"/>
  <c r="AK33" i="1"/>
  <c r="AJ42" i="1"/>
  <c r="AI42" i="1"/>
  <c r="Z26" i="36"/>
  <c r="J27" i="36"/>
  <c r="AK82" i="1"/>
  <c r="E39" i="36"/>
  <c r="I29" i="36"/>
  <c r="Y42" i="1"/>
  <c r="N125" i="6"/>
  <c r="AK27" i="4"/>
  <c r="L125" i="6"/>
  <c r="AK60" i="20"/>
  <c r="AK31" i="1"/>
  <c r="AT46" i="1"/>
  <c r="AQ46" i="1"/>
  <c r="AO61" i="1"/>
  <c r="AP46" i="1" s="1"/>
  <c r="B28" i="42" s="1"/>
  <c r="D42" i="1"/>
  <c r="AQ390" i="9"/>
  <c r="H100" i="34" s="1"/>
  <c r="AQ406" i="9"/>
  <c r="P100" i="34" s="1"/>
  <c r="X434" i="9"/>
  <c r="J16" i="38"/>
  <c r="R16" i="38"/>
  <c r="X29" i="36"/>
  <c r="I27" i="36"/>
  <c r="I36" i="36"/>
  <c r="I40" i="36"/>
  <c r="I28" i="36"/>
  <c r="I39" i="36"/>
  <c r="K16" i="38"/>
  <c r="V42" i="1"/>
  <c r="AB42" i="1"/>
  <c r="X42" i="1"/>
  <c r="O835" i="9"/>
  <c r="M835" i="9"/>
  <c r="AQ851" i="9"/>
  <c r="P192" i="34" s="1"/>
  <c r="K835" i="9"/>
  <c r="L835" i="9"/>
  <c r="N835" i="9"/>
  <c r="X874" i="9"/>
  <c r="AQ834" i="9"/>
  <c r="H192" i="34" s="1"/>
  <c r="J835" i="9"/>
  <c r="AA42" i="1"/>
  <c r="D40" i="36"/>
  <c r="D26" i="36"/>
  <c r="S28" i="36"/>
  <c r="D39" i="36"/>
  <c r="S26" i="36"/>
  <c r="S27" i="36"/>
  <c r="D29" i="36"/>
  <c r="D28" i="36"/>
  <c r="D36" i="36"/>
  <c r="D38" i="36"/>
  <c r="S29" i="36"/>
  <c r="D16" i="38"/>
  <c r="M42" i="1"/>
  <c r="AQ86" i="1"/>
  <c r="AP86" i="1"/>
  <c r="AQ766" i="9"/>
  <c r="P176" i="34" s="1"/>
  <c r="AQ749" i="9"/>
  <c r="H176" i="34" s="1"/>
  <c r="X789" i="9"/>
  <c r="X342" i="9"/>
  <c r="AQ314" i="9"/>
  <c r="P80" i="34" s="1"/>
  <c r="AQ298" i="9"/>
  <c r="H80" i="34" s="1"/>
  <c r="C35" i="36"/>
  <c r="C37" i="36"/>
  <c r="C26" i="36"/>
  <c r="C29" i="36"/>
  <c r="H16" i="38"/>
  <c r="C38" i="36"/>
  <c r="C27" i="36"/>
  <c r="C28" i="36"/>
  <c r="C36" i="36"/>
  <c r="R27" i="36"/>
  <c r="C40" i="36"/>
  <c r="R29" i="36"/>
  <c r="C39" i="36"/>
  <c r="R26" i="36"/>
  <c r="R28" i="36"/>
  <c r="I16" i="38"/>
  <c r="L16" i="38"/>
  <c r="AQ918" i="9"/>
  <c r="H208" i="34" s="1"/>
  <c r="P902" i="9"/>
  <c r="AQ935" i="9"/>
  <c r="P208" i="34" s="1"/>
  <c r="X958" i="9"/>
  <c r="P42" i="1"/>
  <c r="X64" i="9"/>
  <c r="AQ36" i="9"/>
  <c r="P20" i="34" s="1"/>
  <c r="AQ20" i="9"/>
  <c r="H20" i="34" s="1"/>
  <c r="G16" i="38"/>
  <c r="F16" i="38"/>
  <c r="AF42" i="1"/>
  <c r="T42" i="1"/>
  <c r="X250" i="9"/>
  <c r="AQ222" i="9"/>
  <c r="P60" i="34" s="1"/>
  <c r="AQ206" i="9"/>
  <c r="H60" i="34" s="1"/>
  <c r="N42" i="1"/>
  <c r="E16" i="38"/>
  <c r="AB26" i="36"/>
  <c r="AB27" i="36"/>
  <c r="M38" i="36"/>
  <c r="M26" i="36"/>
  <c r="AB28" i="36"/>
  <c r="M35" i="36"/>
  <c r="V16" i="38"/>
  <c r="M37" i="36"/>
  <c r="AB29" i="36"/>
  <c r="M27" i="36"/>
  <c r="M39" i="36"/>
  <c r="M36" i="36"/>
  <c r="M29" i="36"/>
  <c r="M40" i="36"/>
  <c r="M28" i="36"/>
  <c r="AO86" i="1"/>
  <c r="R42" i="1"/>
  <c r="Z42" i="1"/>
  <c r="S42" i="1"/>
  <c r="L35" i="36"/>
  <c r="U16" i="38"/>
  <c r="AA29" i="36"/>
  <c r="L37" i="36"/>
  <c r="L27" i="36"/>
  <c r="AA27" i="36"/>
  <c r="L26" i="36"/>
  <c r="AA26" i="36"/>
  <c r="AA28" i="36"/>
  <c r="L40" i="36"/>
  <c r="L29" i="36"/>
  <c r="L39" i="36"/>
  <c r="L28" i="36"/>
  <c r="L38" i="36"/>
  <c r="L36" i="36"/>
  <c r="C16" i="38"/>
  <c r="B27" i="36"/>
  <c r="B26" i="36"/>
  <c r="Q28" i="36"/>
  <c r="B29" i="36"/>
  <c r="B36" i="36"/>
  <c r="B39" i="36"/>
  <c r="B28" i="36"/>
  <c r="Q29" i="36"/>
  <c r="B40" i="36"/>
  <c r="Q27" i="36"/>
  <c r="B35" i="36"/>
  <c r="Q26" i="36"/>
  <c r="B38" i="36"/>
  <c r="B37" i="36"/>
  <c r="AQ50" i="1"/>
  <c r="AT50" i="1"/>
  <c r="AQ114" i="9"/>
  <c r="H40" i="34" s="1"/>
  <c r="AQ130" i="9"/>
  <c r="P40" i="34" s="1"/>
  <c r="X158" i="9"/>
  <c r="O42" i="1"/>
  <c r="Q42" i="1"/>
  <c r="AQ1018" i="9"/>
  <c r="P224" i="34" s="1"/>
  <c r="AQ1001" i="9"/>
  <c r="H224" i="34" s="1"/>
  <c r="K1002" i="9"/>
  <c r="O1002" i="9"/>
  <c r="L1002" i="9"/>
  <c r="J1002" i="9"/>
  <c r="X1041" i="9"/>
  <c r="M1002" i="9"/>
  <c r="N1002" i="9"/>
  <c r="AC125" i="6"/>
  <c r="W42" i="1"/>
  <c r="M60" i="1"/>
  <c r="M83" i="1" s="1"/>
  <c r="Y60" i="1"/>
  <c r="Y83" i="1" s="1"/>
  <c r="L60" i="1"/>
  <c r="L83" i="1" s="1"/>
  <c r="J60" i="1"/>
  <c r="J83" i="1" s="1"/>
  <c r="K60" i="1"/>
  <c r="K83" i="1" s="1"/>
  <c r="I60" i="1"/>
  <c r="I83" i="1" s="1"/>
  <c r="D60" i="1"/>
  <c r="D83" i="1" s="1"/>
  <c r="T60" i="1"/>
  <c r="T83" i="1" s="1"/>
  <c r="U60" i="1"/>
  <c r="U83" i="1" s="1"/>
  <c r="H60" i="1"/>
  <c r="H83" i="1" s="1"/>
  <c r="B60" i="1"/>
  <c r="B83" i="1" s="1"/>
  <c r="W60" i="1"/>
  <c r="W83" i="1" s="1"/>
  <c r="P60" i="1"/>
  <c r="P83" i="1" s="1"/>
  <c r="X60" i="1"/>
  <c r="X83" i="1" s="1"/>
  <c r="O60" i="1"/>
  <c r="O83" i="1" s="1"/>
  <c r="Z60" i="1"/>
  <c r="Z83" i="1" s="1"/>
  <c r="E60" i="1"/>
  <c r="E83" i="1" s="1"/>
  <c r="AK53" i="1"/>
  <c r="R60" i="1"/>
  <c r="R83" i="1" s="1"/>
  <c r="G60" i="1"/>
  <c r="G83" i="1" s="1"/>
  <c r="Q60" i="1"/>
  <c r="Q83" i="1" s="1"/>
  <c r="F60" i="1"/>
  <c r="F83" i="1" s="1"/>
  <c r="N60" i="1"/>
  <c r="N83" i="1" s="1"/>
  <c r="C60" i="1"/>
  <c r="C83" i="1" s="1"/>
  <c r="S60" i="1"/>
  <c r="S83" i="1" s="1"/>
  <c r="V60" i="1"/>
  <c r="V83" i="1" s="1"/>
  <c r="D19" i="19"/>
  <c r="J19" i="19"/>
  <c r="M16" i="38" l="1"/>
  <c r="D35" i="36"/>
  <c r="D37" i="36"/>
  <c r="E26" i="36"/>
  <c r="K38" i="36"/>
  <c r="K35" i="36"/>
  <c r="K29" i="36"/>
  <c r="K28" i="36"/>
  <c r="AH42" i="1"/>
  <c r="Z27" i="36"/>
  <c r="I38" i="36"/>
  <c r="T16" i="38"/>
  <c r="K36" i="36"/>
  <c r="K39" i="36"/>
  <c r="E29" i="36"/>
  <c r="Z28" i="36"/>
  <c r="K37" i="36"/>
  <c r="AK85" i="1"/>
  <c r="T29" i="36"/>
  <c r="T28" i="36"/>
  <c r="T26" i="36"/>
  <c r="X26" i="36"/>
  <c r="N16" i="38"/>
  <c r="E35" i="36"/>
  <c r="K40" i="36"/>
  <c r="I26" i="36"/>
  <c r="X27" i="36"/>
  <c r="T27" i="36"/>
  <c r="E27" i="36"/>
  <c r="I35" i="36"/>
  <c r="X28" i="36"/>
  <c r="E40" i="36"/>
  <c r="J36" i="36"/>
  <c r="E28" i="36"/>
  <c r="J26" i="36"/>
  <c r="AH60" i="1"/>
  <c r="AH83" i="1" s="1"/>
  <c r="AF60" i="1"/>
  <c r="AF83" i="1" s="1"/>
  <c r="AP50" i="1"/>
  <c r="B32" i="42" s="1"/>
  <c r="J29" i="36"/>
  <c r="Y26" i="36"/>
  <c r="Y29" i="36"/>
  <c r="J39" i="36"/>
  <c r="AK59" i="20"/>
  <c r="AK29" i="1"/>
  <c r="J38" i="36"/>
  <c r="J35" i="36"/>
  <c r="J28" i="36"/>
  <c r="Y27" i="36"/>
  <c r="AK61" i="20"/>
  <c r="AK32" i="1"/>
  <c r="AI60" i="1"/>
  <c r="AI83" i="1" s="1"/>
  <c r="Y28" i="36"/>
  <c r="AT19" i="15"/>
  <c r="AK78" i="1"/>
  <c r="BB19" i="15" s="1"/>
  <c r="AA60" i="1"/>
  <c r="AA83" i="1" s="1"/>
  <c r="I37" i="36"/>
  <c r="E36" i="36"/>
  <c r="E38" i="36"/>
  <c r="S16" i="38"/>
  <c r="J37" i="36"/>
  <c r="K26" i="36"/>
  <c r="Z29" i="36"/>
  <c r="AG60" i="1"/>
  <c r="AG83" i="1" s="1"/>
  <c r="AK39" i="20"/>
  <c r="AK64" i="20" s="1"/>
  <c r="AB60" i="1"/>
  <c r="AB83" i="1" s="1"/>
  <c r="AJ60" i="1"/>
  <c r="AJ83" i="1" s="1"/>
  <c r="E37" i="36"/>
  <c r="AG42" i="1"/>
  <c r="J40" i="36"/>
  <c r="K27" i="36"/>
  <c r="AK80" i="1"/>
  <c r="BB17" i="15" s="1"/>
  <c r="AT17" i="15"/>
  <c r="X160" i="9"/>
  <c r="H40" i="26"/>
  <c r="H20" i="26"/>
  <c r="X66" i="9"/>
  <c r="L66" i="38"/>
  <c r="L65" i="38"/>
  <c r="L68" i="38"/>
  <c r="L63" i="38"/>
  <c r="L64" i="38"/>
  <c r="L69" i="38"/>
  <c r="L70" i="38"/>
  <c r="L67" i="38"/>
  <c r="AP51" i="1"/>
  <c r="B33" i="42" s="1"/>
  <c r="AP47" i="1"/>
  <c r="B29" i="42" s="1"/>
  <c r="AP48" i="1"/>
  <c r="B30" i="42" s="1"/>
  <c r="D34" i="42"/>
  <c r="D28" i="42" s="1"/>
  <c r="F28" i="42" s="1"/>
  <c r="G28" i="42" s="1"/>
  <c r="AP49" i="1"/>
  <c r="B31" i="42" s="1"/>
  <c r="AP45" i="1"/>
  <c r="V64" i="38"/>
  <c r="V65" i="38"/>
  <c r="V66" i="38"/>
  <c r="V67" i="38"/>
  <c r="V63" i="38"/>
  <c r="V68" i="38"/>
  <c r="V69" i="38"/>
  <c r="V70" i="38"/>
  <c r="J63" i="38"/>
  <c r="J70" i="38"/>
  <c r="J68" i="38"/>
  <c r="J65" i="38"/>
  <c r="J69" i="38"/>
  <c r="J64" i="38"/>
  <c r="J67" i="38"/>
  <c r="J66" i="38"/>
  <c r="AX46" i="1"/>
  <c r="AZ46" i="1" s="1"/>
  <c r="BA46" i="1" s="1"/>
  <c r="K66" i="38"/>
  <c r="K65" i="38"/>
  <c r="K64" i="38"/>
  <c r="K63" i="38"/>
  <c r="K67" i="38"/>
  <c r="K68" i="38"/>
  <c r="K70" i="38"/>
  <c r="K69" i="38"/>
  <c r="U65" i="38"/>
  <c r="U70" i="38"/>
  <c r="U67" i="38"/>
  <c r="U69" i="38"/>
  <c r="U66" i="38"/>
  <c r="U63" i="38"/>
  <c r="U64" i="38"/>
  <c r="U68" i="38"/>
  <c r="E64" i="38"/>
  <c r="E66" i="38"/>
  <c r="E68" i="38"/>
  <c r="E69" i="38"/>
  <c r="E70" i="38"/>
  <c r="E65" i="38"/>
  <c r="E63" i="38"/>
  <c r="E67" i="38"/>
  <c r="F67" i="38"/>
  <c r="F65" i="38"/>
  <c r="F64" i="38"/>
  <c r="F68" i="38"/>
  <c r="F69" i="38"/>
  <c r="F63" i="38"/>
  <c r="F66" i="38"/>
  <c r="F70" i="38"/>
  <c r="H208" i="26"/>
  <c r="X960" i="9"/>
  <c r="I66" i="38"/>
  <c r="I64" i="38"/>
  <c r="I68" i="38"/>
  <c r="I69" i="38"/>
  <c r="I65" i="38"/>
  <c r="I70" i="38"/>
  <c r="I67" i="38"/>
  <c r="I63" i="38"/>
  <c r="X436" i="9"/>
  <c r="H100" i="26"/>
  <c r="M64" i="38"/>
  <c r="M69" i="38"/>
  <c r="M67" i="38"/>
  <c r="M66" i="38"/>
  <c r="M65" i="38"/>
  <c r="M70" i="38"/>
  <c r="M63" i="38"/>
  <c r="M68" i="38"/>
  <c r="D69" i="38"/>
  <c r="D65" i="38"/>
  <c r="D67" i="38"/>
  <c r="D66" i="38"/>
  <c r="D70" i="38"/>
  <c r="D64" i="38"/>
  <c r="D63" i="38"/>
  <c r="D68" i="38"/>
  <c r="R69" i="38"/>
  <c r="R63" i="38"/>
  <c r="R68" i="38"/>
  <c r="R66" i="38"/>
  <c r="R67" i="38"/>
  <c r="R65" i="38"/>
  <c r="R70" i="38"/>
  <c r="R64" i="38"/>
  <c r="AX50" i="1"/>
  <c r="AZ50" i="1" s="1"/>
  <c r="BA50" i="1" s="1"/>
  <c r="C65" i="38"/>
  <c r="C67" i="38"/>
  <c r="C63" i="38"/>
  <c r="C68" i="38"/>
  <c r="C66" i="38"/>
  <c r="C69" i="38"/>
  <c r="C70" i="38"/>
  <c r="C64" i="38"/>
  <c r="X252" i="9"/>
  <c r="H60" i="26"/>
  <c r="H63" i="38"/>
  <c r="H69" i="38"/>
  <c r="H68" i="38"/>
  <c r="H66" i="38"/>
  <c r="H67" i="38"/>
  <c r="H64" i="38"/>
  <c r="H65" i="38"/>
  <c r="H70" i="38"/>
  <c r="N68" i="38"/>
  <c r="N64" i="38"/>
  <c r="N67" i="38"/>
  <c r="N70" i="38"/>
  <c r="N63" i="38"/>
  <c r="N65" i="38"/>
  <c r="N69" i="38"/>
  <c r="N66" i="38"/>
  <c r="G63" i="38"/>
  <c r="G70" i="38"/>
  <c r="G67" i="38"/>
  <c r="G69" i="38"/>
  <c r="G64" i="38"/>
  <c r="G66" i="38"/>
  <c r="G65" i="38"/>
  <c r="G68" i="38"/>
  <c r="H192" i="26"/>
  <c r="X876" i="9"/>
  <c r="T69" i="38"/>
  <c r="T67" i="38"/>
  <c r="T66" i="38"/>
  <c r="T65" i="38"/>
  <c r="T68" i="38"/>
  <c r="T64" i="38"/>
  <c r="T70" i="38"/>
  <c r="T63" i="38"/>
  <c r="X791" i="9"/>
  <c r="H176" i="26"/>
  <c r="X1043" i="9"/>
  <c r="H224" i="26"/>
  <c r="X344" i="9"/>
  <c r="H80" i="26"/>
  <c r="S65" i="38"/>
  <c r="S66" i="38"/>
  <c r="S68" i="38"/>
  <c r="S69" i="38"/>
  <c r="S67" i="38"/>
  <c r="S63" i="38"/>
  <c r="S70" i="38"/>
  <c r="S64" i="38"/>
  <c r="L19" i="19"/>
  <c r="K19" i="19"/>
  <c r="I19" i="19"/>
  <c r="B19" i="19"/>
  <c r="H19" i="19"/>
  <c r="E19" i="19"/>
  <c r="G19" i="19"/>
  <c r="C19" i="19"/>
  <c r="F19" i="19"/>
  <c r="AY48" i="1" l="1"/>
  <c r="E13" i="42"/>
  <c r="AM48" i="1"/>
  <c r="E41" i="1"/>
  <c r="B41" i="1"/>
  <c r="D41" i="1"/>
  <c r="AK12" i="4"/>
  <c r="AK28" i="4"/>
  <c r="AK7" i="4"/>
  <c r="AK30" i="1"/>
  <c r="AK77" i="1" s="1"/>
  <c r="AK25" i="4"/>
  <c r="AJ66" i="1"/>
  <c r="AK76" i="1"/>
  <c r="BB18" i="15" s="1"/>
  <c r="AT18" i="15"/>
  <c r="AU17" i="15"/>
  <c r="AV17" i="15"/>
  <c r="AF19" i="19"/>
  <c r="D29" i="42"/>
  <c r="AI19" i="19"/>
  <c r="AH19" i="19"/>
  <c r="AK63" i="20"/>
  <c r="AK34" i="1"/>
  <c r="AT16" i="15" s="1"/>
  <c r="AV19" i="15"/>
  <c r="AU19" i="15"/>
  <c r="AT20" i="15"/>
  <c r="AK79" i="1"/>
  <c r="BB20" i="15" s="1"/>
  <c r="AB66" i="1"/>
  <c r="Q66" i="1"/>
  <c r="Q19" i="19"/>
  <c r="AK64" i="1"/>
  <c r="AM51" i="1" s="1"/>
  <c r="D30" i="42"/>
  <c r="V66" i="1"/>
  <c r="V19" i="19"/>
  <c r="W66" i="1"/>
  <c r="W19" i="19"/>
  <c r="D32" i="42"/>
  <c r="F32" i="42" s="1"/>
  <c r="D33" i="42"/>
  <c r="Y66" i="1"/>
  <c r="Y19" i="19"/>
  <c r="R66" i="1"/>
  <c r="R19" i="19"/>
  <c r="X66" i="1"/>
  <c r="X19" i="19"/>
  <c r="AA66" i="1"/>
  <c r="AA19" i="19"/>
  <c r="N66" i="1"/>
  <c r="N19" i="19"/>
  <c r="O66" i="1"/>
  <c r="O19" i="19"/>
  <c r="P66" i="1"/>
  <c r="P19" i="19"/>
  <c r="T66" i="1"/>
  <c r="T19" i="19"/>
  <c r="U66" i="1"/>
  <c r="U19" i="19"/>
  <c r="M66" i="1"/>
  <c r="M19" i="19"/>
  <c r="B27" i="42"/>
  <c r="AP61" i="1"/>
  <c r="AH66" i="1"/>
  <c r="S66" i="1"/>
  <c r="S19" i="19"/>
  <c r="AG66" i="1"/>
  <c r="AG19" i="19"/>
  <c r="Z66" i="1"/>
  <c r="Z19" i="19"/>
  <c r="D31" i="42"/>
  <c r="D20" i="19"/>
  <c r="J20" i="19"/>
  <c r="AJ19" i="19" l="1"/>
  <c r="AF66" i="1"/>
  <c r="AB19" i="19"/>
  <c r="AT48" i="1"/>
  <c r="AQ48" i="1"/>
  <c r="AX48" i="1" s="1"/>
  <c r="AZ48" i="1" s="1"/>
  <c r="E30" i="42"/>
  <c r="F30" i="42" s="1"/>
  <c r="E43" i="42"/>
  <c r="C41" i="1"/>
  <c r="AI66" i="1"/>
  <c r="AV18" i="15"/>
  <c r="AU18" i="15"/>
  <c r="AT15" i="15"/>
  <c r="AU16" i="15"/>
  <c r="AV16" i="15"/>
  <c r="AP85" i="1"/>
  <c r="AQ85" i="1"/>
  <c r="AK28" i="1"/>
  <c r="AR85" i="1"/>
  <c r="AO85" i="1"/>
  <c r="AK81" i="1"/>
  <c r="BB16" i="15" s="1"/>
  <c r="AK87" i="1"/>
  <c r="E16" i="42" s="1"/>
  <c r="AV20" i="15"/>
  <c r="AU20" i="15"/>
  <c r="AQ51" i="1"/>
  <c r="AT51" i="1"/>
  <c r="Y20" i="19"/>
  <c r="AY51" i="1"/>
  <c r="M20" i="19"/>
  <c r="D27" i="42"/>
  <c r="B34" i="42"/>
  <c r="H32" i="42"/>
  <c r="H34" i="42" s="1"/>
  <c r="G32" i="42"/>
  <c r="K20" i="19"/>
  <c r="B20" i="19"/>
  <c r="I20" i="19"/>
  <c r="E20" i="19"/>
  <c r="H20" i="19"/>
  <c r="G20" i="19"/>
  <c r="C20" i="19"/>
  <c r="F20" i="19"/>
  <c r="C13" i="42" l="1"/>
  <c r="AW48" i="1"/>
  <c r="BA48" i="1" s="1"/>
  <c r="AU15" i="15"/>
  <c r="L20" i="19"/>
  <c r="AF20" i="19"/>
  <c r="E33" i="42"/>
  <c r="F33" i="42" s="1"/>
  <c r="G33" i="42" s="1"/>
  <c r="E46" i="42"/>
  <c r="S22" i="24"/>
  <c r="S21" i="24"/>
  <c r="S24" i="24"/>
  <c r="S25" i="24"/>
  <c r="S23" i="24"/>
  <c r="N20" i="19"/>
  <c r="Z20" i="19"/>
  <c r="R20" i="19"/>
  <c r="X20" i="19"/>
  <c r="U20" i="19"/>
  <c r="P20" i="19"/>
  <c r="G24" i="24"/>
  <c r="G21" i="24"/>
  <c r="G23" i="24"/>
  <c r="G22" i="24"/>
  <c r="G25" i="24"/>
  <c r="AX51" i="1"/>
  <c r="AZ51" i="1" s="1"/>
  <c r="BA51" i="1" s="1"/>
  <c r="S20" i="19"/>
  <c r="T20" i="19"/>
  <c r="O20" i="19"/>
  <c r="W20" i="19"/>
  <c r="AT12" i="15"/>
  <c r="F21" i="24"/>
  <c r="F24" i="24"/>
  <c r="F25" i="24"/>
  <c r="F22" i="24"/>
  <c r="F23" i="24"/>
  <c r="AK38" i="13" l="1"/>
  <c r="C43" i="42"/>
  <c r="C30" i="42"/>
  <c r="G30" i="42" s="1"/>
  <c r="G41" i="1"/>
  <c r="O86" i="1"/>
  <c r="O41" i="1"/>
  <c r="N86" i="1"/>
  <c r="N41" i="1"/>
  <c r="J41" i="1"/>
  <c r="K41" i="1"/>
  <c r="I41" i="1"/>
  <c r="P86" i="1"/>
  <c r="P41" i="1"/>
  <c r="K25" i="24"/>
  <c r="K24" i="24"/>
  <c r="K23" i="24"/>
  <c r="K21" i="24"/>
  <c r="K22" i="24"/>
  <c r="AB38" i="36"/>
  <c r="AB35" i="36"/>
  <c r="AJ20" i="19"/>
  <c r="AB37" i="36"/>
  <c r="AB36" i="36"/>
  <c r="AA38" i="36"/>
  <c r="AI20" i="19"/>
  <c r="AA37" i="36"/>
  <c r="AA36" i="36"/>
  <c r="AA35" i="36"/>
  <c r="U25" i="24"/>
  <c r="U24" i="24"/>
  <c r="U21" i="24"/>
  <c r="U23" i="24"/>
  <c r="U22" i="24"/>
  <c r="U11" i="24"/>
  <c r="AA22" i="24"/>
  <c r="AA11" i="24"/>
  <c r="AA23" i="24"/>
  <c r="AA21" i="24"/>
  <c r="AA24" i="24"/>
  <c r="AA25" i="24"/>
  <c r="AC23" i="24"/>
  <c r="AC22" i="24"/>
  <c r="AC11" i="24"/>
  <c r="AC25" i="24"/>
  <c r="AC24" i="24"/>
  <c r="AC21" i="24"/>
  <c r="S38" i="36"/>
  <c r="S37" i="36"/>
  <c r="S36" i="36"/>
  <c r="S35" i="36"/>
  <c r="AA20" i="19"/>
  <c r="O24" i="24"/>
  <c r="O25" i="24"/>
  <c r="O23" i="24"/>
  <c r="O22" i="24"/>
  <c r="O21" i="24"/>
  <c r="Y38" i="36"/>
  <c r="Y37" i="36"/>
  <c r="Y36" i="36"/>
  <c r="Y35" i="36"/>
  <c r="AG20" i="19"/>
  <c r="M25" i="24"/>
  <c r="M23" i="24"/>
  <c r="M21" i="24"/>
  <c r="M22" i="24"/>
  <c r="M24" i="24"/>
  <c r="I22" i="24"/>
  <c r="I25" i="24"/>
  <c r="I21" i="24"/>
  <c r="I24" i="24"/>
  <c r="I23" i="24"/>
  <c r="P24" i="24"/>
  <c r="P23" i="24"/>
  <c r="P25" i="24"/>
  <c r="P22" i="24"/>
  <c r="P21" i="24"/>
  <c r="AU12" i="15"/>
  <c r="V20" i="19"/>
  <c r="R37" i="36"/>
  <c r="R36" i="36"/>
  <c r="R38" i="36"/>
  <c r="R35" i="36"/>
  <c r="J21" i="24"/>
  <c r="J25" i="24"/>
  <c r="J23" i="24"/>
  <c r="J22" i="24"/>
  <c r="J24" i="24"/>
  <c r="R25" i="24"/>
  <c r="R22" i="24"/>
  <c r="R23" i="24"/>
  <c r="R21" i="24"/>
  <c r="R24" i="24"/>
  <c r="H24" i="24"/>
  <c r="H22" i="24"/>
  <c r="H21" i="24"/>
  <c r="H25" i="24"/>
  <c r="H23" i="24"/>
  <c r="Q25" i="24"/>
  <c r="Q23" i="24"/>
  <c r="Q21" i="24"/>
  <c r="Q22" i="24"/>
  <c r="Q24" i="24"/>
  <c r="N22" i="24"/>
  <c r="N24" i="24"/>
  <c r="N21" i="24"/>
  <c r="N25" i="24"/>
  <c r="N23" i="24"/>
  <c r="L24" i="24"/>
  <c r="L21" i="24"/>
  <c r="L25" i="24"/>
  <c r="L22" i="24"/>
  <c r="L23" i="24"/>
  <c r="T36" i="36"/>
  <c r="T37" i="36"/>
  <c r="T35" i="36"/>
  <c r="T38" i="36"/>
  <c r="AB20" i="19"/>
  <c r="Z36" i="36"/>
  <c r="AH20" i="19"/>
  <c r="Z37" i="36"/>
  <c r="Z38" i="36"/>
  <c r="Z35" i="36"/>
  <c r="V25" i="24"/>
  <c r="V23" i="24"/>
  <c r="V22" i="24"/>
  <c r="V21" i="24"/>
  <c r="V11" i="24"/>
  <c r="V24" i="24"/>
  <c r="Q35" i="36"/>
  <c r="Q20" i="19"/>
  <c r="Q37" i="36"/>
  <c r="Q36" i="36"/>
  <c r="Q38" i="36"/>
  <c r="AB11" i="24"/>
  <c r="AB23" i="24"/>
  <c r="AB24" i="24"/>
  <c r="AB25" i="24"/>
  <c r="AB22" i="24"/>
  <c r="AB21" i="24"/>
  <c r="T22" i="24"/>
  <c r="T23" i="24"/>
  <c r="T24" i="24"/>
  <c r="T11" i="24"/>
  <c r="T21" i="24"/>
  <c r="T25" i="24"/>
  <c r="AD24" i="24"/>
  <c r="AD22" i="24"/>
  <c r="AD21" i="24"/>
  <c r="AD23" i="24"/>
  <c r="AD11" i="24"/>
  <c r="AD25" i="24"/>
  <c r="I4" i="41" l="1" a="1"/>
  <c r="BV14" i="41" s="1"/>
  <c r="M86" i="1"/>
  <c r="M41" i="1"/>
  <c r="F41" i="1"/>
  <c r="L41" i="1"/>
  <c r="H41" i="1"/>
  <c r="AE22" i="24" a="1"/>
  <c r="AE22" i="24" s="1"/>
  <c r="AF22" i="24" s="1"/>
  <c r="AG22" i="24" s="1"/>
  <c r="AH22" i="24" s="1"/>
  <c r="V52" i="24"/>
  <c r="V100" i="24"/>
  <c r="AE23" i="24" a="1"/>
  <c r="AE23" i="24" s="1"/>
  <c r="AF23" i="24" s="1"/>
  <c r="AG23" i="24" s="1"/>
  <c r="K52" i="24"/>
  <c r="K100" i="24"/>
  <c r="AB100" i="24"/>
  <c r="AB52" i="24"/>
  <c r="P52" i="24"/>
  <c r="P100" i="24"/>
  <c r="AD26" i="24"/>
  <c r="U100" i="24"/>
  <c r="U52" i="24"/>
  <c r="AA52" i="24"/>
  <c r="AA100" i="24"/>
  <c r="AD52" i="24"/>
  <c r="AD100" i="24"/>
  <c r="AE25" i="24" a="1"/>
  <c r="AE25" i="24" s="1"/>
  <c r="AF25" i="24" s="1"/>
  <c r="AG25" i="24" s="1"/>
  <c r="AC100" i="24"/>
  <c r="AC52" i="24"/>
  <c r="AB26" i="24"/>
  <c r="AC26" i="24"/>
  <c r="AA26" i="24"/>
  <c r="AE24" i="24" a="1"/>
  <c r="AE24" i="24" s="1"/>
  <c r="AE21" i="24" a="1"/>
  <c r="AE21" i="24" s="1"/>
  <c r="AF21" i="24" s="1"/>
  <c r="AG21" i="24" s="1"/>
  <c r="BM14" i="41" l="1"/>
  <c r="BM11" i="41"/>
  <c r="BV4" i="41"/>
  <c r="BM23" i="41"/>
  <c r="BR23" i="41" s="1"/>
  <c r="BM6" i="41"/>
  <c r="BV8" i="41"/>
  <c r="BV23" i="41"/>
  <c r="CA24" i="41" s="1"/>
  <c r="BM29" i="41"/>
  <c r="BV20" i="41"/>
  <c r="BV21" i="41"/>
  <c r="BM18" i="41"/>
  <c r="BM33" i="41"/>
  <c r="BV35" i="41"/>
  <c r="BV31" i="41"/>
  <c r="BV15" i="41"/>
  <c r="BW18" i="41" s="1"/>
  <c r="BV18" i="41"/>
  <c r="BM12" i="41"/>
  <c r="BV24" i="41"/>
  <c r="BM8" i="41"/>
  <c r="BV26" i="41"/>
  <c r="BV9" i="41"/>
  <c r="CA9" i="41" s="1"/>
  <c r="BM24" i="41"/>
  <c r="BR24" i="41" s="1"/>
  <c r="BM16" i="41"/>
  <c r="BR16" i="41" s="1"/>
  <c r="BM15" i="41"/>
  <c r="BN19" i="41" s="1"/>
  <c r="BV38" i="41"/>
  <c r="BV27" i="41"/>
  <c r="BV11" i="41"/>
  <c r="BM20" i="41"/>
  <c r="BM25" i="41"/>
  <c r="BN30" i="41" s="1"/>
  <c r="BV25" i="41"/>
  <c r="BW30" i="41" s="1"/>
  <c r="BV30" i="41"/>
  <c r="BV5" i="41"/>
  <c r="CA5" i="41" s="1"/>
  <c r="BM5" i="41"/>
  <c r="BV17" i="41"/>
  <c r="BV10" i="41"/>
  <c r="BM17" i="41"/>
  <c r="BR17" i="41" s="1"/>
  <c r="BV13" i="41"/>
  <c r="BM21" i="41"/>
  <c r="BM22" i="41"/>
  <c r="BN25" i="41" s="1"/>
  <c r="I4" i="41"/>
  <c r="BM4" i="41" s="1"/>
  <c r="BR5" i="41" s="1"/>
  <c r="BM26" i="41"/>
  <c r="BM27" i="41"/>
  <c r="BV22" i="41"/>
  <c r="BM30" i="41"/>
  <c r="BV28" i="41"/>
  <c r="CA28" i="41" s="1"/>
  <c r="BV37" i="41"/>
  <c r="BV19" i="41"/>
  <c r="BW20" i="41" s="1"/>
  <c r="BM32" i="41"/>
  <c r="BR33" i="41" s="1"/>
  <c r="BM38" i="41"/>
  <c r="BM10" i="41"/>
  <c r="BM9" i="41"/>
  <c r="BV7" i="41"/>
  <c r="BW12" i="41" s="1"/>
  <c r="BM7" i="41"/>
  <c r="BV29" i="41"/>
  <c r="BM35" i="41"/>
  <c r="BM19" i="41"/>
  <c r="BN23" i="41" s="1"/>
  <c r="BV6" i="41"/>
  <c r="K86" i="1"/>
  <c r="BM31" i="41"/>
  <c r="BV32" i="41"/>
  <c r="BV36" i="41"/>
  <c r="BV12" i="41"/>
  <c r="BW14" i="41" s="1"/>
  <c r="BM36" i="41"/>
  <c r="BM37" i="41"/>
  <c r="BR38" i="41" s="1"/>
  <c r="BV33" i="41"/>
  <c r="BM28" i="41"/>
  <c r="BV34" i="41"/>
  <c r="BM13" i="41"/>
  <c r="BN15" i="41" s="1"/>
  <c r="BV16" i="41"/>
  <c r="CA16" i="41" s="1"/>
  <c r="BM34" i="41"/>
  <c r="L86" i="1"/>
  <c r="CA26" i="41"/>
  <c r="CA21" i="41"/>
  <c r="BR29" i="41"/>
  <c r="BR20" i="41"/>
  <c r="BR10" i="41"/>
  <c r="CA38" i="41"/>
  <c r="CA18" i="41"/>
  <c r="BR11" i="41"/>
  <c r="CA22" i="41"/>
  <c r="BN27" i="41"/>
  <c r="CA11" i="41"/>
  <c r="CA31" i="41"/>
  <c r="BW36" i="41"/>
  <c r="BR25" i="41"/>
  <c r="CA6" i="41"/>
  <c r="BW33" i="41"/>
  <c r="BR19" i="41"/>
  <c r="BR18" i="41"/>
  <c r="BR26" i="41"/>
  <c r="BR30" i="41"/>
  <c r="BR6" i="41"/>
  <c r="BN11" i="41"/>
  <c r="BS11" i="41" s="1"/>
  <c r="CA10" i="41"/>
  <c r="CA27" i="41"/>
  <c r="BR31" i="41"/>
  <c r="BW37" i="41"/>
  <c r="BN13" i="41"/>
  <c r="BR9" i="41"/>
  <c r="BW29" i="41"/>
  <c r="BN24" i="41"/>
  <c r="BN26" i="41"/>
  <c r="BR21" i="41"/>
  <c r="BW38" i="41"/>
  <c r="BR28" i="41"/>
  <c r="BR12" i="41"/>
  <c r="BW39" i="41"/>
  <c r="CA34" i="41"/>
  <c r="BR13" i="41"/>
  <c r="CA17" i="41"/>
  <c r="CA14" i="41"/>
  <c r="CA15" i="41"/>
  <c r="CA8" i="41"/>
  <c r="CA30" i="41"/>
  <c r="BW35" i="41"/>
  <c r="BN12" i="41"/>
  <c r="BS12" i="41" s="1"/>
  <c r="BN32" i="41"/>
  <c r="AG6" i="24"/>
  <c r="V103" i="24"/>
  <c r="V108" i="24"/>
  <c r="V107" i="24"/>
  <c r="V106" i="24"/>
  <c r="V104" i="24"/>
  <c r="V105" i="24"/>
  <c r="AD59" i="24"/>
  <c r="AD62" i="24" s="1"/>
  <c r="AD58" i="24"/>
  <c r="AP58" i="24" s="1"/>
  <c r="AD56" i="24"/>
  <c r="AD57" i="24"/>
  <c r="AP57" i="24" s="1"/>
  <c r="AD55" i="24"/>
  <c r="AP55" i="24" s="1"/>
  <c r="AD54" i="24"/>
  <c r="AP54" i="24" s="1"/>
  <c r="AB56" i="24"/>
  <c r="AB55" i="24"/>
  <c r="AB58" i="24"/>
  <c r="AB54" i="24"/>
  <c r="AB57" i="24"/>
  <c r="AB59" i="24"/>
  <c r="AB62" i="24" s="1"/>
  <c r="AH21" i="24"/>
  <c r="AG5" i="24"/>
  <c r="AI22" i="24"/>
  <c r="AH6" i="24"/>
  <c r="AB104" i="24"/>
  <c r="AB106" i="24"/>
  <c r="AB108" i="24"/>
  <c r="AB107" i="24"/>
  <c r="AB105" i="24"/>
  <c r="AB103" i="24"/>
  <c r="AF24" i="24"/>
  <c r="AE26" i="24"/>
  <c r="AC58" i="24"/>
  <c r="AC55" i="24"/>
  <c r="AC57" i="24"/>
  <c r="AC56" i="24"/>
  <c r="AC59" i="24"/>
  <c r="AC62" i="24" s="1"/>
  <c r="AC54" i="24"/>
  <c r="U58" i="24"/>
  <c r="U57" i="24"/>
  <c r="U54" i="24"/>
  <c r="U59" i="24"/>
  <c r="U55" i="24"/>
  <c r="U56" i="24"/>
  <c r="K106" i="24"/>
  <c r="K108" i="24"/>
  <c r="K103" i="24"/>
  <c r="K104" i="24"/>
  <c r="K105" i="24"/>
  <c r="K107" i="24"/>
  <c r="AC104" i="24"/>
  <c r="AC107" i="24"/>
  <c r="AC103" i="24"/>
  <c r="AC106" i="24"/>
  <c r="AC105" i="24"/>
  <c r="AC108" i="24"/>
  <c r="U108" i="24"/>
  <c r="U104" i="24"/>
  <c r="U106" i="24"/>
  <c r="U105" i="24"/>
  <c r="U107" i="24"/>
  <c r="U103" i="24"/>
  <c r="K58" i="24"/>
  <c r="K59" i="24"/>
  <c r="K55" i="24"/>
  <c r="K54" i="24"/>
  <c r="K57" i="24"/>
  <c r="K56" i="24"/>
  <c r="P59" i="24"/>
  <c r="P54" i="24"/>
  <c r="P57" i="24"/>
  <c r="P58" i="24"/>
  <c r="P55" i="24"/>
  <c r="P56" i="24"/>
  <c r="AA107" i="24"/>
  <c r="AA108" i="24"/>
  <c r="AA103" i="24"/>
  <c r="AA104" i="24"/>
  <c r="AA106" i="24"/>
  <c r="AA105" i="24"/>
  <c r="AA57" i="24"/>
  <c r="AA58" i="24"/>
  <c r="AA56" i="24"/>
  <c r="AA54" i="24"/>
  <c r="AA55" i="24"/>
  <c r="AA59" i="24"/>
  <c r="AG9" i="24"/>
  <c r="AH25" i="24"/>
  <c r="AH23" i="24"/>
  <c r="AG7" i="24"/>
  <c r="AD105" i="24"/>
  <c r="AD104" i="24"/>
  <c r="AD103" i="24"/>
  <c r="AD108" i="24"/>
  <c r="AE108" i="24" s="1"/>
  <c r="AD106" i="24"/>
  <c r="AD107" i="24"/>
  <c r="P105" i="24"/>
  <c r="P107" i="24"/>
  <c r="P104" i="24"/>
  <c r="P103" i="24"/>
  <c r="P106" i="24"/>
  <c r="P108" i="24"/>
  <c r="V55" i="24"/>
  <c r="BH54" i="24" s="1"/>
  <c r="V56" i="24"/>
  <c r="BH55" i="24" s="1"/>
  <c r="V57" i="24"/>
  <c r="BH56" i="24" s="1"/>
  <c r="V58" i="24"/>
  <c r="BH57" i="24" s="1"/>
  <c r="V54" i="24"/>
  <c r="BH53" i="24" s="1"/>
  <c r="V59" i="24"/>
  <c r="BR22" i="41" l="1"/>
  <c r="BR36" i="41"/>
  <c r="BR35" i="41"/>
  <c r="BW34" i="41"/>
  <c r="CA23" i="41"/>
  <c r="BW27" i="41"/>
  <c r="BN34" i="41"/>
  <c r="CA37" i="41"/>
  <c r="BN9" i="41"/>
  <c r="BS9" i="41" s="1"/>
  <c r="BW28" i="41"/>
  <c r="BW25" i="41"/>
  <c r="CA32" i="41"/>
  <c r="BW19" i="41"/>
  <c r="BN33" i="41"/>
  <c r="BN36" i="41"/>
  <c r="BW10" i="41"/>
  <c r="CB10" i="41" s="1"/>
  <c r="BR32" i="41"/>
  <c r="BR15" i="41"/>
  <c r="BN22" i="41"/>
  <c r="CA35" i="41"/>
  <c r="BW26" i="41"/>
  <c r="BX29" i="41" s="1"/>
  <c r="BZ29" i="41" s="1"/>
  <c r="AE107" i="24"/>
  <c r="BN21" i="41"/>
  <c r="BP21" i="41" s="1"/>
  <c r="CA25" i="41"/>
  <c r="CA29" i="41"/>
  <c r="BN20" i="41"/>
  <c r="AE106" i="24"/>
  <c r="BW11" i="41"/>
  <c r="CB11" i="41" s="1"/>
  <c r="BR42" i="41"/>
  <c r="BR27" i="41"/>
  <c r="BR7" i="41"/>
  <c r="BW16" i="41"/>
  <c r="BW31" i="41"/>
  <c r="BN39" i="41"/>
  <c r="BW24" i="41"/>
  <c r="BW23" i="41"/>
  <c r="BW22" i="41"/>
  <c r="BW42" i="41" s="1"/>
  <c r="BR34" i="41"/>
  <c r="CA33" i="41"/>
  <c r="CA13" i="41"/>
  <c r="BW17" i="41"/>
  <c r="CA19" i="41"/>
  <c r="BN35" i="41"/>
  <c r="CA20" i="41"/>
  <c r="BN29" i="41"/>
  <c r="BO29" i="41" s="1"/>
  <c r="BQ29" i="41" s="1"/>
  <c r="BW13" i="41"/>
  <c r="BX17" i="41" s="1"/>
  <c r="BY17" i="41" s="1"/>
  <c r="BW21" i="41"/>
  <c r="BX21" i="41" s="1"/>
  <c r="BY21" i="41" s="1"/>
  <c r="BN17" i="41"/>
  <c r="BR8" i="41"/>
  <c r="BW32" i="41"/>
  <c r="BN10" i="41"/>
  <c r="BS10" i="41" s="1"/>
  <c r="CA7" i="41"/>
  <c r="BN31" i="41"/>
  <c r="BO34" i="41" s="1"/>
  <c r="BN37" i="41"/>
  <c r="CA42" i="41"/>
  <c r="BN28" i="41"/>
  <c r="CB12" i="41"/>
  <c r="BW9" i="41"/>
  <c r="CB9" i="41" s="1"/>
  <c r="BN18" i="41"/>
  <c r="BR14" i="41"/>
  <c r="BO26" i="41"/>
  <c r="BQ26" i="41" s="1"/>
  <c r="BN14" i="41"/>
  <c r="BW15" i="41"/>
  <c r="BX18" i="41" s="1"/>
  <c r="BR37" i="41"/>
  <c r="BN38" i="41"/>
  <c r="BS38" i="41" s="1"/>
  <c r="CA12" i="41"/>
  <c r="CA36" i="41"/>
  <c r="BN16" i="41"/>
  <c r="J86" i="1"/>
  <c r="BX32" i="41"/>
  <c r="BY32" i="41" s="1"/>
  <c r="BO21" i="41"/>
  <c r="BQ21" i="41" s="1"/>
  <c r="BR44" i="41"/>
  <c r="BO23" i="41"/>
  <c r="BX27" i="41"/>
  <c r="BZ27" i="41" s="1"/>
  <c r="BO24" i="41"/>
  <c r="BQ24" i="41" s="1"/>
  <c r="BX34" i="41"/>
  <c r="BY34" i="41" s="1"/>
  <c r="CB20" i="41"/>
  <c r="BS24" i="41"/>
  <c r="CB37" i="41"/>
  <c r="CB16" i="41"/>
  <c r="CB14" i="41"/>
  <c r="BO25" i="41"/>
  <c r="BP25" i="41" s="1"/>
  <c r="BS18" i="41"/>
  <c r="BS17" i="41"/>
  <c r="CB32" i="41"/>
  <c r="CB33" i="41"/>
  <c r="CB34" i="41"/>
  <c r="BR43" i="41"/>
  <c r="AL13" i="15" s="1"/>
  <c r="BO22" i="41"/>
  <c r="BQ22" i="41" s="1"/>
  <c r="BS32" i="41"/>
  <c r="BX36" i="41"/>
  <c r="BZ36" i="41" s="1"/>
  <c r="CB35" i="41"/>
  <c r="BX38" i="41"/>
  <c r="BZ38" i="41" s="1"/>
  <c r="CB29" i="41"/>
  <c r="BS36" i="41"/>
  <c r="BO39" i="41"/>
  <c r="BQ39" i="41" s="1"/>
  <c r="BS35" i="41"/>
  <c r="BX30" i="41"/>
  <c r="BZ30" i="41" s="1"/>
  <c r="CB27" i="41"/>
  <c r="CB26" i="41"/>
  <c r="BS33" i="41"/>
  <c r="CB17" i="41"/>
  <c r="BX15" i="41"/>
  <c r="BZ15" i="41" s="1"/>
  <c r="CA43" i="41"/>
  <c r="AL14" i="15" s="1"/>
  <c r="BS20" i="41"/>
  <c r="CB19" i="41"/>
  <c r="BX42" i="41" a="1"/>
  <c r="BX42" i="41" s="1"/>
  <c r="AM14" i="15" s="1"/>
  <c r="BS21" i="41"/>
  <c r="BX13" i="41"/>
  <c r="BZ13" i="41" s="1"/>
  <c r="CB13" i="41"/>
  <c r="BX39" i="41"/>
  <c r="BZ39" i="41" s="1"/>
  <c r="CB38" i="41"/>
  <c r="BS23" i="41"/>
  <c r="BQ23" i="41"/>
  <c r="BP23" i="41"/>
  <c r="CB36" i="41"/>
  <c r="CB28" i="41"/>
  <c r="CB30" i="41"/>
  <c r="CB25" i="41"/>
  <c r="BO28" i="41"/>
  <c r="BQ28" i="41" s="1"/>
  <c r="BS34" i="41"/>
  <c r="BX31" i="41"/>
  <c r="BY31" i="41" s="1"/>
  <c r="CB31" i="41"/>
  <c r="CB18" i="41"/>
  <c r="BO14" i="41"/>
  <c r="BP14" i="41" s="1"/>
  <c r="BS13" i="41"/>
  <c r="CB24" i="41"/>
  <c r="CB15" i="41"/>
  <c r="BO27" i="41"/>
  <c r="BP27" i="41" s="1"/>
  <c r="BS37" i="41"/>
  <c r="CB23" i="41"/>
  <c r="BS28" i="41"/>
  <c r="BX20" i="41"/>
  <c r="BZ20" i="41" s="1"/>
  <c r="BX25" i="41"/>
  <c r="BZ25" i="41" s="1"/>
  <c r="CB21" i="41"/>
  <c r="BS14" i="41"/>
  <c r="BO13" i="41"/>
  <c r="BQ13" i="41" s="1"/>
  <c r="BS30" i="41"/>
  <c r="BX16" i="41"/>
  <c r="BZ16" i="41" s="1"/>
  <c r="BX14" i="41"/>
  <c r="BZ14" i="41" s="1"/>
  <c r="BO37" i="41"/>
  <c r="BP37" i="41" s="1"/>
  <c r="BO15" i="41"/>
  <c r="BQ15" i="41" s="1"/>
  <c r="CB22" i="41"/>
  <c r="BS19" i="41"/>
  <c r="BS26" i="41"/>
  <c r="BX37" i="41"/>
  <c r="BY37" i="41" s="1"/>
  <c r="CA44" i="41"/>
  <c r="BX33" i="41"/>
  <c r="BY33" i="41" s="1"/>
  <c r="BO38" i="41"/>
  <c r="BP38" i="41" s="1"/>
  <c r="BS27" i="41"/>
  <c r="BS15" i="41"/>
  <c r="BS25" i="41"/>
  <c r="BS22" i="41"/>
  <c r="AP56" i="24"/>
  <c r="K109" i="24"/>
  <c r="AI23" i="24"/>
  <c r="AH7" i="24"/>
  <c r="BF54" i="24"/>
  <c r="AM55" i="24"/>
  <c r="BE54" i="24"/>
  <c r="AL55" i="24"/>
  <c r="AN54" i="24"/>
  <c r="BG53" i="24"/>
  <c r="AI25" i="24"/>
  <c r="AH9" i="24"/>
  <c r="AM58" i="24"/>
  <c r="BF57" i="24"/>
  <c r="K62" i="24"/>
  <c r="BD58" i="24"/>
  <c r="AN57" i="24"/>
  <c r="BG56" i="24"/>
  <c r="AM57" i="24"/>
  <c r="BF56" i="24"/>
  <c r="BE57" i="24"/>
  <c r="AL58" i="24"/>
  <c r="BG57" i="24"/>
  <c r="AN58" i="24"/>
  <c r="AF26" i="24"/>
  <c r="AG24" i="24"/>
  <c r="AJ22" i="24"/>
  <c r="AJ6" i="24" s="1"/>
  <c r="AI6" i="24"/>
  <c r="AA62" i="24"/>
  <c r="BL58" i="24"/>
  <c r="AM54" i="24"/>
  <c r="BF53" i="24"/>
  <c r="U109" i="24"/>
  <c r="AB109" i="24"/>
  <c r="AG11" i="24"/>
  <c r="AD109" i="24"/>
  <c r="AE109" i="24" s="1"/>
  <c r="AE103" i="24"/>
  <c r="AA109" i="24"/>
  <c r="P62" i="24"/>
  <c r="BE58" i="24"/>
  <c r="AC109" i="24"/>
  <c r="AI21" i="24"/>
  <c r="AH5" i="24"/>
  <c r="AP59" i="24"/>
  <c r="AY54" i="24" s="1"/>
  <c r="V62" i="24"/>
  <c r="BG58" i="24"/>
  <c r="P109" i="24"/>
  <c r="AE104" i="24"/>
  <c r="AL56" i="24"/>
  <c r="BE55" i="24"/>
  <c r="BG55" i="24"/>
  <c r="AN56" i="24"/>
  <c r="AE105" i="24"/>
  <c r="AL57" i="24"/>
  <c r="BE56" i="24"/>
  <c r="BG54" i="24"/>
  <c r="AN55" i="24"/>
  <c r="AM56" i="24"/>
  <c r="BF55" i="24"/>
  <c r="AL54" i="24"/>
  <c r="BE53" i="24"/>
  <c r="BF58" i="24"/>
  <c r="U62" i="24"/>
  <c r="V109" i="24"/>
  <c r="BO20" i="41" l="1"/>
  <c r="BQ20" i="41" s="1"/>
  <c r="BZ34" i="41"/>
  <c r="BO36" i="41"/>
  <c r="BQ36" i="41" s="1"/>
  <c r="BX28" i="41"/>
  <c r="BY28" i="41" s="1"/>
  <c r="BP22" i="41"/>
  <c r="BX35" i="41"/>
  <c r="BY35" i="41" s="1"/>
  <c r="BQ34" i="41"/>
  <c r="BP34" i="41"/>
  <c r="BY18" i="41"/>
  <c r="BZ18" i="41"/>
  <c r="BZ35" i="41"/>
  <c r="BV42" i="41"/>
  <c r="BX22" i="41"/>
  <c r="BZ22" i="41" s="1"/>
  <c r="BN42" i="41"/>
  <c r="BY27" i="41"/>
  <c r="BO19" i="41"/>
  <c r="BQ19" i="41" s="1"/>
  <c r="AH11" i="24"/>
  <c r="BM42" i="41"/>
  <c r="BO35" i="41"/>
  <c r="BQ35" i="41" s="1"/>
  <c r="BP26" i="41"/>
  <c r="BS31" i="41"/>
  <c r="BP28" i="41"/>
  <c r="BX19" i="41"/>
  <c r="BO33" i="41"/>
  <c r="BS29" i="41"/>
  <c r="BX23" i="41"/>
  <c r="BZ23" i="41" s="1"/>
  <c r="BX24" i="41"/>
  <c r="BY24" i="41" s="1"/>
  <c r="BS16" i="41"/>
  <c r="BO18" i="41"/>
  <c r="BP18" i="41" s="1"/>
  <c r="BO42" i="41" a="1"/>
  <c r="BO42" i="41" s="1"/>
  <c r="AM13" i="15" s="1"/>
  <c r="BO16" i="41"/>
  <c r="BQ16" i="41" s="1"/>
  <c r="BO31" i="41"/>
  <c r="BQ31" i="41" s="1"/>
  <c r="BX26" i="41"/>
  <c r="BZ26" i="41" s="1"/>
  <c r="BO17" i="41"/>
  <c r="BQ17" i="41" s="1"/>
  <c r="BO30" i="41"/>
  <c r="BP30" i="41" s="1"/>
  <c r="BO32" i="41"/>
  <c r="BQ32" i="41" s="1"/>
  <c r="BQ27" i="41"/>
  <c r="BY13" i="41"/>
  <c r="BQ14" i="41"/>
  <c r="I86" i="1"/>
  <c r="BQ25" i="41"/>
  <c r="BP20" i="41"/>
  <c r="BZ32" i="41"/>
  <c r="BY30" i="41"/>
  <c r="BP19" i="41"/>
  <c r="BQ18" i="41"/>
  <c r="BZ21" i="41"/>
  <c r="BY38" i="41"/>
  <c r="BY39" i="41"/>
  <c r="BZ17" i="41"/>
  <c r="BY29" i="41"/>
  <c r="BQ30" i="41"/>
  <c r="BP24" i="41"/>
  <c r="BY15" i="41"/>
  <c r="AY55" i="24"/>
  <c r="BP15" i="41"/>
  <c r="BY22" i="41"/>
  <c r="BP29" i="41"/>
  <c r="BQ37" i="41"/>
  <c r="BP13" i="41"/>
  <c r="BZ31" i="41"/>
  <c r="BY25" i="41"/>
  <c r="BP39" i="41"/>
  <c r="BP35" i="41"/>
  <c r="CB42" i="41"/>
  <c r="BZ33" i="41"/>
  <c r="BZ37" i="41"/>
  <c r="BP16" i="41"/>
  <c r="BP36" i="41"/>
  <c r="BY14" i="41"/>
  <c r="BS42" i="41"/>
  <c r="BY23" i="41"/>
  <c r="BY16" i="41"/>
  <c r="BY20" i="41"/>
  <c r="BY36" i="41"/>
  <c r="BQ38" i="41"/>
  <c r="AN59" i="24"/>
  <c r="AW57" i="24" s="1"/>
  <c r="AM59" i="24"/>
  <c r="AV55" i="24" s="1"/>
  <c r="AL59" i="24"/>
  <c r="AU58" i="24" s="1"/>
  <c r="AY57" i="24"/>
  <c r="AJ25" i="24"/>
  <c r="AJ9" i="24" s="1"/>
  <c r="AI9" i="24"/>
  <c r="AY56" i="24"/>
  <c r="AJ21" i="24"/>
  <c r="AJ5" i="24" s="1"/>
  <c r="AI5" i="24"/>
  <c r="AH24" i="24"/>
  <c r="AG8" i="24"/>
  <c r="AG26" i="24"/>
  <c r="AG10" i="24" s="1"/>
  <c r="AY58" i="24"/>
  <c r="AJ23" i="24"/>
  <c r="AJ7" i="24" s="1"/>
  <c r="AI7" i="24"/>
  <c r="BP32" i="41" l="1"/>
  <c r="BP17" i="41"/>
  <c r="BZ24" i="41"/>
  <c r="BZ28" i="41"/>
  <c r="BP33" i="41"/>
  <c r="BQ33" i="41"/>
  <c r="BZ19" i="41"/>
  <c r="BY19" i="41"/>
  <c r="BP31" i="41"/>
  <c r="BY26" i="41"/>
  <c r="H86" i="1"/>
  <c r="AW55" i="24"/>
  <c r="AV54" i="24"/>
  <c r="AU57" i="24"/>
  <c r="AU56" i="24"/>
  <c r="AI24" i="24"/>
  <c r="AH26" i="24"/>
  <c r="AH10" i="24" s="1"/>
  <c r="AH8" i="24"/>
  <c r="AV57" i="24"/>
  <c r="AV58" i="24"/>
  <c r="AI11" i="24"/>
  <c r="AJ11" i="24"/>
  <c r="AU54" i="24"/>
  <c r="AV56" i="24"/>
  <c r="AW54" i="24"/>
  <c r="AW56" i="24"/>
  <c r="AU55" i="24"/>
  <c r="AW58" i="24"/>
  <c r="G86" i="1" l="1"/>
  <c r="AJ24" i="24"/>
  <c r="AI26" i="24"/>
  <c r="AI10" i="24" s="1"/>
  <c r="AI8" i="24"/>
  <c r="F86" i="1" l="1"/>
  <c r="AJ26" i="24"/>
  <c r="AJ10" i="24" s="1"/>
  <c r="AJ8" i="24"/>
  <c r="E86" i="1" l="1"/>
  <c r="D86" i="1" l="1"/>
  <c r="I67" i="41" a="1"/>
  <c r="B86" i="1" l="1"/>
  <c r="C86" i="1"/>
  <c r="BV80" i="41"/>
  <c r="BV86" i="41"/>
  <c r="BV90" i="41"/>
  <c r="BV81" i="41"/>
  <c r="BM85" i="41"/>
  <c r="BV79" i="41"/>
  <c r="BV73" i="41"/>
  <c r="BM80" i="41"/>
  <c r="BM89" i="41"/>
  <c r="BM86" i="41"/>
  <c r="BM100" i="41"/>
  <c r="BV88" i="41"/>
  <c r="BM93" i="41"/>
  <c r="BV75" i="41"/>
  <c r="BV89" i="41"/>
  <c r="BV96" i="41"/>
  <c r="BM81" i="41"/>
  <c r="BV74" i="41"/>
  <c r="BM72" i="41"/>
  <c r="BM96" i="41"/>
  <c r="BV69" i="41"/>
  <c r="BV98" i="41"/>
  <c r="I67" i="41"/>
  <c r="BM67" i="41" s="1"/>
  <c r="BV72" i="41"/>
  <c r="BM78" i="41"/>
  <c r="BV71" i="41"/>
  <c r="BV93" i="41"/>
  <c r="BM70" i="41"/>
  <c r="BV101" i="41"/>
  <c r="BM84" i="41"/>
  <c r="BV100" i="41"/>
  <c r="BV82" i="41"/>
  <c r="BV83" i="41"/>
  <c r="BM76" i="41"/>
  <c r="BV92" i="41"/>
  <c r="BV94" i="41"/>
  <c r="BV87" i="41"/>
  <c r="BM73" i="41"/>
  <c r="BM82" i="41"/>
  <c r="BV68" i="41"/>
  <c r="BV70" i="41"/>
  <c r="BM74" i="41"/>
  <c r="BV99" i="41"/>
  <c r="BM79" i="41"/>
  <c r="BM98" i="41"/>
  <c r="BM97" i="41"/>
  <c r="BM69" i="41"/>
  <c r="BV97" i="41"/>
  <c r="BM87" i="41"/>
  <c r="BM99" i="41"/>
  <c r="BM83" i="41"/>
  <c r="BM94" i="41"/>
  <c r="BM95" i="41"/>
  <c r="BV91" i="41"/>
  <c r="BM71" i="41"/>
  <c r="BV77" i="41"/>
  <c r="BM77" i="41"/>
  <c r="BV78" i="41"/>
  <c r="BV85" i="41"/>
  <c r="BM92" i="41"/>
  <c r="BM75" i="41"/>
  <c r="BV84" i="41"/>
  <c r="BV67" i="41"/>
  <c r="BM91" i="41"/>
  <c r="BV76" i="41"/>
  <c r="BM101" i="41"/>
  <c r="BM88" i="41"/>
  <c r="BM68" i="41"/>
  <c r="BV95" i="41"/>
  <c r="BM90" i="41"/>
  <c r="CA100" i="41" l="1"/>
  <c r="BN72" i="41"/>
  <c r="BS72" i="41" s="1"/>
  <c r="BR100" i="41"/>
  <c r="BW72" i="41"/>
  <c r="CB72" i="41" s="1"/>
  <c r="BN87" i="41"/>
  <c r="BR82" i="41"/>
  <c r="BW102" i="41"/>
  <c r="CA97" i="41"/>
  <c r="BN89" i="41"/>
  <c r="BR84" i="41"/>
  <c r="BR69" i="41"/>
  <c r="BN74" i="41"/>
  <c r="BS74" i="41" s="1"/>
  <c r="CA98" i="41"/>
  <c r="CA79" i="41"/>
  <c r="BW84" i="41"/>
  <c r="BR75" i="41"/>
  <c r="BN80" i="41"/>
  <c r="BN100" i="41"/>
  <c r="BR95" i="41"/>
  <c r="BW98" i="41"/>
  <c r="CA93" i="41"/>
  <c r="BR91" i="41"/>
  <c r="BN96" i="41"/>
  <c r="CA77" i="41"/>
  <c r="BW82" i="41"/>
  <c r="CA68" i="41"/>
  <c r="BW73" i="41"/>
  <c r="CB73" i="41" s="1"/>
  <c r="CA82" i="41"/>
  <c r="BW87" i="41"/>
  <c r="CA72" i="41"/>
  <c r="BW77" i="41"/>
  <c r="CA96" i="41"/>
  <c r="BW101" i="41"/>
  <c r="BN85" i="41"/>
  <c r="BR80" i="41"/>
  <c r="BR71" i="41"/>
  <c r="BN76" i="41"/>
  <c r="CA89" i="41"/>
  <c r="BW94" i="41"/>
  <c r="BR90" i="41"/>
  <c r="BN95" i="41"/>
  <c r="CA91" i="41"/>
  <c r="BW96" i="41"/>
  <c r="BN78" i="41"/>
  <c r="BR73" i="41"/>
  <c r="CA101" i="41"/>
  <c r="CA105" i="41"/>
  <c r="BR93" i="41"/>
  <c r="BN98" i="41"/>
  <c r="BR68" i="41"/>
  <c r="BN73" i="41"/>
  <c r="BS73" i="41" s="1"/>
  <c r="BR92" i="41"/>
  <c r="BN97" i="41"/>
  <c r="BR79" i="41"/>
  <c r="BN84" i="41"/>
  <c r="CA94" i="41"/>
  <c r="BW99" i="41"/>
  <c r="BN75" i="41"/>
  <c r="BS75" i="41" s="1"/>
  <c r="BR70" i="41"/>
  <c r="CA88" i="41"/>
  <c r="BW93" i="41"/>
  <c r="CA81" i="41"/>
  <c r="BW86" i="41"/>
  <c r="BR88" i="41"/>
  <c r="BN93" i="41"/>
  <c r="BW90" i="41"/>
  <c r="CA85" i="41"/>
  <c r="BR83" i="41"/>
  <c r="BN88" i="41"/>
  <c r="BW97" i="41"/>
  <c r="CA92" i="41"/>
  <c r="BR101" i="41"/>
  <c r="BR105" i="41"/>
  <c r="BW83" i="41"/>
  <c r="CA78" i="41"/>
  <c r="BN79" i="41"/>
  <c r="BR74" i="41"/>
  <c r="CA71" i="41"/>
  <c r="BW76" i="41"/>
  <c r="BW79" i="41"/>
  <c r="CA74" i="41"/>
  <c r="BN91" i="41"/>
  <c r="BR86" i="41"/>
  <c r="CA86" i="41"/>
  <c r="BW91" i="41"/>
  <c r="CA73" i="41"/>
  <c r="BW78" i="41"/>
  <c r="BW89" i="41"/>
  <c r="CA84" i="41"/>
  <c r="BR97" i="41"/>
  <c r="BN102" i="41"/>
  <c r="CA75" i="41"/>
  <c r="BW80" i="41"/>
  <c r="BW100" i="41"/>
  <c r="CA95" i="41"/>
  <c r="BR98" i="41"/>
  <c r="BW92" i="41"/>
  <c r="CA87" i="41"/>
  <c r="CA69" i="41"/>
  <c r="BW74" i="41"/>
  <c r="CB74" i="41" s="1"/>
  <c r="BN90" i="41"/>
  <c r="BR85" i="41"/>
  <c r="BN99" i="41"/>
  <c r="BR94" i="41"/>
  <c r="BN101" i="41"/>
  <c r="BR96" i="41"/>
  <c r="CA99" i="41"/>
  <c r="BN77" i="41"/>
  <c r="BR72" i="41"/>
  <c r="CA90" i="41"/>
  <c r="BW95" i="41"/>
  <c r="BR99" i="41"/>
  <c r="BR76" i="41"/>
  <c r="BN81" i="41"/>
  <c r="BW81" i="41"/>
  <c r="CA76" i="41"/>
  <c r="BN82" i="41"/>
  <c r="BR77" i="41"/>
  <c r="BR87" i="41"/>
  <c r="BN92" i="41"/>
  <c r="CA70" i="41"/>
  <c r="BW75" i="41"/>
  <c r="CB75" i="41" s="1"/>
  <c r="BW88" i="41"/>
  <c r="CA83" i="41"/>
  <c r="BR78" i="41"/>
  <c r="BN83" i="41"/>
  <c r="BR81" i="41"/>
  <c r="BN86" i="41"/>
  <c r="BO90" i="41" s="1"/>
  <c r="BQ90" i="41" s="1"/>
  <c r="BN94" i="41"/>
  <c r="BR89" i="41"/>
  <c r="CA80" i="41"/>
  <c r="BW85" i="41"/>
  <c r="BO88" i="41" l="1"/>
  <c r="BP88" i="41" s="1"/>
  <c r="BO94" i="41"/>
  <c r="BQ94" i="41" s="1"/>
  <c r="BX91" i="41"/>
  <c r="BZ91" i="41" s="1"/>
  <c r="BO99" i="41"/>
  <c r="BP99" i="41" s="1"/>
  <c r="BX83" i="41"/>
  <c r="BY83" i="41" s="1"/>
  <c r="BO91" i="41"/>
  <c r="BQ91" i="41" s="1"/>
  <c r="BO82" i="41"/>
  <c r="BQ82" i="41" s="1"/>
  <c r="BX82" i="41"/>
  <c r="BY82" i="41" s="1"/>
  <c r="BO81" i="41"/>
  <c r="BP81" i="41" s="1"/>
  <c r="BX95" i="41"/>
  <c r="BY95" i="41" s="1"/>
  <c r="BO101" i="41"/>
  <c r="BP101" i="41" s="1"/>
  <c r="BO100" i="41"/>
  <c r="BP100" i="41" s="1"/>
  <c r="BX89" i="41"/>
  <c r="BZ89" i="41" s="1"/>
  <c r="BX98" i="41"/>
  <c r="BZ98" i="41" s="1"/>
  <c r="BX88" i="41"/>
  <c r="BY88" i="41" s="1"/>
  <c r="BO85" i="41"/>
  <c r="BP85" i="41" s="1"/>
  <c r="BS99" i="41"/>
  <c r="BS83" i="41"/>
  <c r="BS92" i="41"/>
  <c r="BO77" i="41"/>
  <c r="BQ77" i="41" s="1"/>
  <c r="BX92" i="41"/>
  <c r="BZ92" i="41" s="1"/>
  <c r="CB80" i="41"/>
  <c r="BX78" i="41"/>
  <c r="BZ78" i="41" s="1"/>
  <c r="BS91" i="41"/>
  <c r="BO93" i="41"/>
  <c r="BP93" i="41" s="1"/>
  <c r="BS76" i="41"/>
  <c r="BX77" i="41"/>
  <c r="BZ77" i="41" s="1"/>
  <c r="BS81" i="41"/>
  <c r="BQ81" i="41"/>
  <c r="BN105" i="41"/>
  <c r="CB78" i="41"/>
  <c r="BX79" i="41"/>
  <c r="BZ79" i="41" s="1"/>
  <c r="BS79" i="41"/>
  <c r="CB97" i="41"/>
  <c r="BS93" i="41"/>
  <c r="BO97" i="41"/>
  <c r="BQ97" i="41" s="1"/>
  <c r="BO95" i="41"/>
  <c r="BQ95" i="41" s="1"/>
  <c r="BV105" i="41"/>
  <c r="BX84" i="41"/>
  <c r="BY84" i="41" s="1"/>
  <c r="BS89" i="41"/>
  <c r="CB84" i="41"/>
  <c r="BS94" i="41"/>
  <c r="BS88" i="41"/>
  <c r="BQ88" i="41"/>
  <c r="BX99" i="41"/>
  <c r="BY99" i="41" s="1"/>
  <c r="BO78" i="41"/>
  <c r="BQ78" i="41" s="1"/>
  <c r="CB77" i="41"/>
  <c r="CB82" i="41"/>
  <c r="BX105" i="41" a="1"/>
  <c r="BX105" i="41" s="1"/>
  <c r="AM49" i="15" s="1"/>
  <c r="CB98" i="41"/>
  <c r="CB79" i="41"/>
  <c r="BO86" i="41"/>
  <c r="BP86" i="41" s="1"/>
  <c r="CB88" i="41"/>
  <c r="BS82" i="41"/>
  <c r="BO105" i="41" a="1"/>
  <c r="BO105" i="41" s="1"/>
  <c r="AM48" i="15" s="1"/>
  <c r="BX100" i="41"/>
  <c r="BZ100" i="41" s="1"/>
  <c r="BY91" i="41"/>
  <c r="CB91" i="41"/>
  <c r="BX76" i="41"/>
  <c r="BY76" i="41" s="1"/>
  <c r="CB83" i="41"/>
  <c r="BZ83" i="41"/>
  <c r="BR106" i="41"/>
  <c r="AL48" i="15" s="1"/>
  <c r="CB86" i="41"/>
  <c r="CB99" i="41"/>
  <c r="BX94" i="41"/>
  <c r="BZ94" i="41" s="1"/>
  <c r="BS85" i="41"/>
  <c r="CB92" i="41"/>
  <c r="BY92" i="41"/>
  <c r="BW105" i="41"/>
  <c r="BX102" i="41"/>
  <c r="BZ102" i="41" s="1"/>
  <c r="CA106" i="41"/>
  <c r="AL49" i="15" s="1"/>
  <c r="BS77" i="41"/>
  <c r="BX86" i="41"/>
  <c r="BY86" i="41" s="1"/>
  <c r="BS86" i="41"/>
  <c r="BX81" i="41"/>
  <c r="BY81" i="41" s="1"/>
  <c r="CB95" i="41"/>
  <c r="BZ95" i="41"/>
  <c r="BS90" i="41"/>
  <c r="BP90" i="41"/>
  <c r="CB76" i="41"/>
  <c r="BX90" i="41"/>
  <c r="BY90" i="41" s="1"/>
  <c r="BS78" i="41"/>
  <c r="CB94" i="41"/>
  <c r="BX101" i="41"/>
  <c r="BY101" i="41" s="1"/>
  <c r="BX87" i="41"/>
  <c r="BZ87" i="41" s="1"/>
  <c r="BO96" i="41"/>
  <c r="BP96" i="41" s="1"/>
  <c r="BS100" i="41"/>
  <c r="BQ100" i="41"/>
  <c r="BO87" i="41"/>
  <c r="BQ87" i="41" s="1"/>
  <c r="BS95" i="41"/>
  <c r="BX93" i="41"/>
  <c r="BZ93" i="41" s="1"/>
  <c r="BO84" i="41"/>
  <c r="BP84" i="41" s="1"/>
  <c r="BO98" i="41"/>
  <c r="BQ98" i="41" s="1"/>
  <c r="BX96" i="41"/>
  <c r="BZ96" i="41" s="1"/>
  <c r="CB101" i="41"/>
  <c r="CB87" i="41"/>
  <c r="BS96" i="41"/>
  <c r="BO80" i="41"/>
  <c r="BP80" i="41" s="1"/>
  <c r="BR107" i="41"/>
  <c r="BO102" i="41"/>
  <c r="BP102" i="41" s="1"/>
  <c r="BS97" i="41"/>
  <c r="BX85" i="41"/>
  <c r="BY85" i="41" s="1"/>
  <c r="CB100" i="41"/>
  <c r="CB85" i="41"/>
  <c r="BO83" i="41"/>
  <c r="BP83" i="41" s="1"/>
  <c r="BO92" i="41"/>
  <c r="BP92" i="41" s="1"/>
  <c r="CB81" i="41"/>
  <c r="BM105" i="41"/>
  <c r="BS101" i="41"/>
  <c r="BX80" i="41"/>
  <c r="BZ80" i="41" s="1"/>
  <c r="CB89" i="41"/>
  <c r="BY89" i="41"/>
  <c r="BO79" i="41"/>
  <c r="BQ79" i="41" s="1"/>
  <c r="BX97" i="41"/>
  <c r="BZ97" i="41" s="1"/>
  <c r="CB90" i="41"/>
  <c r="CB93" i="41"/>
  <c r="BS84" i="41"/>
  <c r="BS98" i="41"/>
  <c r="CB96" i="41"/>
  <c r="BO76" i="41"/>
  <c r="BP76" i="41" s="1"/>
  <c r="CA107" i="41"/>
  <c r="BS80" i="41"/>
  <c r="BO89" i="41"/>
  <c r="BP89" i="41" s="1"/>
  <c r="BS87" i="41"/>
  <c r="BP98" i="41" l="1"/>
  <c r="BQ85" i="41"/>
  <c r="BY100" i="41"/>
  <c r="BP94" i="41"/>
  <c r="BZ81" i="41"/>
  <c r="BP97" i="41"/>
  <c r="BP82" i="41"/>
  <c r="BZ82" i="41"/>
  <c r="BY78" i="41"/>
  <c r="BP91" i="41"/>
  <c r="BQ99" i="41"/>
  <c r="BQ84" i="41"/>
  <c r="BZ99" i="41"/>
  <c r="BP95" i="41"/>
  <c r="BY96" i="41"/>
  <c r="BZ101" i="41"/>
  <c r="BY93" i="41"/>
  <c r="BY87" i="41"/>
  <c r="BP78" i="41"/>
  <c r="BY77" i="41"/>
  <c r="BZ88" i="41"/>
  <c r="BQ80" i="41"/>
  <c r="BZ84" i="41"/>
  <c r="BY98" i="41"/>
  <c r="BQ101" i="41"/>
  <c r="BQ96" i="41"/>
  <c r="BZ90" i="41"/>
  <c r="BY94" i="41"/>
  <c r="BQ76" i="41"/>
  <c r="BQ92" i="41"/>
  <c r="BY79" i="41"/>
  <c r="BQ93" i="41"/>
  <c r="BS105" i="41"/>
  <c r="BZ85" i="41"/>
  <c r="BQ86" i="41"/>
  <c r="BZ86" i="41"/>
  <c r="BQ83" i="41"/>
  <c r="BZ76" i="41"/>
  <c r="BQ102" i="41"/>
  <c r="BQ89" i="41"/>
  <c r="BY97" i="41"/>
  <c r="CB105" i="41"/>
  <c r="BY80" i="41"/>
  <c r="BY102" i="41"/>
  <c r="BP87" i="41"/>
  <c r="BP77" i="41"/>
  <c r="BP79" i="41"/>
  <c r="L65" i="1" l="1"/>
  <c r="L75" i="1" l="1"/>
  <c r="K65" i="1"/>
  <c r="AD28" i="1" l="1"/>
  <c r="AD75" i="1" s="1"/>
  <c r="AC28" i="1"/>
  <c r="AC75" i="1" s="1"/>
  <c r="AC24" i="1"/>
  <c r="AE28" i="1"/>
  <c r="AE75" i="1" s="1"/>
  <c r="C87" i="1"/>
  <c r="C81" i="1"/>
  <c r="C64" i="1"/>
  <c r="D81" i="1"/>
  <c r="D64" i="1"/>
  <c r="D87" i="1"/>
  <c r="H81" i="1"/>
  <c r="H87" i="1"/>
  <c r="H64" i="1"/>
  <c r="I87" i="1"/>
  <c r="I64" i="1"/>
  <c r="I81" i="1"/>
  <c r="AC14" i="1"/>
  <c r="O15" i="38" s="1"/>
  <c r="F87" i="1"/>
  <c r="F64" i="1"/>
  <c r="F81" i="1"/>
  <c r="K87" i="1"/>
  <c r="K64" i="1"/>
  <c r="K81" i="1"/>
  <c r="E81" i="1"/>
  <c r="E64" i="1"/>
  <c r="E87" i="1"/>
  <c r="J87" i="1"/>
  <c r="J64" i="1"/>
  <c r="J81" i="1"/>
  <c r="AE24" i="1"/>
  <c r="B64" i="1"/>
  <c r="B87" i="1"/>
  <c r="B81" i="1"/>
  <c r="L87" i="1"/>
  <c r="L81" i="1"/>
  <c r="L64" i="1"/>
  <c r="K75" i="1"/>
  <c r="K61" i="1"/>
  <c r="G87" i="1"/>
  <c r="G81" i="1"/>
  <c r="G64" i="1"/>
  <c r="L61" i="1"/>
  <c r="S705" i="9"/>
  <c r="S706" i="9" s="1"/>
  <c r="S527" i="9"/>
  <c r="S528" i="9" s="1"/>
  <c r="J65" i="1"/>
  <c r="AE14" i="1" l="1"/>
  <c r="Q15" i="38" s="1"/>
  <c r="AE15" i="4"/>
  <c r="AD24" i="1"/>
  <c r="AD14" i="1"/>
  <c r="P15" i="38" s="1"/>
  <c r="O60" i="38"/>
  <c r="O58" i="38"/>
  <c r="O53" i="38"/>
  <c r="O55" i="38"/>
  <c r="O54" i="38"/>
  <c r="O57" i="38"/>
  <c r="O56" i="38"/>
  <c r="O59" i="38"/>
  <c r="AC26" i="4"/>
  <c r="AC30" i="4" s="1"/>
  <c r="AC27" i="1"/>
  <c r="AC15" i="4"/>
  <c r="AC71" i="1"/>
  <c r="K66" i="1"/>
  <c r="K84" i="1"/>
  <c r="Q54" i="38"/>
  <c r="Q59" i="38"/>
  <c r="Q58" i="38"/>
  <c r="Q55" i="38"/>
  <c r="Q57" i="38"/>
  <c r="Q56" i="38"/>
  <c r="Q53" i="38"/>
  <c r="Q60" i="38"/>
  <c r="AE71" i="1"/>
  <c r="J75" i="1"/>
  <c r="J61" i="1"/>
  <c r="L66" i="1"/>
  <c r="L84" i="1"/>
  <c r="Y38" i="6"/>
  <c r="W38" i="6"/>
  <c r="I65" i="1"/>
  <c r="S619" i="9"/>
  <c r="S620" i="9" s="1"/>
  <c r="H65" i="1"/>
  <c r="AE26" i="4" l="1"/>
  <c r="AE30" i="4" s="1"/>
  <c r="AD15" i="4"/>
  <c r="AE27" i="1"/>
  <c r="AE41" i="1" s="1"/>
  <c r="AC74" i="1"/>
  <c r="P664" i="9"/>
  <c r="AC41" i="1"/>
  <c r="AK73" i="1"/>
  <c r="BB11" i="15" s="1"/>
  <c r="AK75" i="1"/>
  <c r="BB12" i="15" s="1"/>
  <c r="J66" i="1"/>
  <c r="J84" i="1"/>
  <c r="AC37" i="1"/>
  <c r="AC84" i="1" s="1"/>
  <c r="AE22" i="4"/>
  <c r="Y124" i="6"/>
  <c r="Y125" i="6" s="1"/>
  <c r="AC33" i="4"/>
  <c r="AC22" i="4"/>
  <c r="AC32" i="4" s="1"/>
  <c r="W124" i="6"/>
  <c r="W125" i="6" s="1"/>
  <c r="I61" i="1"/>
  <c r="I75" i="1"/>
  <c r="AC36" i="1"/>
  <c r="P59" i="38"/>
  <c r="P58" i="38"/>
  <c r="P55" i="38"/>
  <c r="P56" i="38"/>
  <c r="P53" i="38"/>
  <c r="P60" i="38"/>
  <c r="P57" i="38"/>
  <c r="P54" i="38"/>
  <c r="H61" i="1"/>
  <c r="H75" i="1"/>
  <c r="AD26" i="4"/>
  <c r="AD30" i="4" s="1"/>
  <c r="AD71" i="1"/>
  <c r="X38" i="6"/>
  <c r="X705" i="9"/>
  <c r="G65" i="1"/>
  <c r="AE33" i="4" l="1"/>
  <c r="AE32" i="4"/>
  <c r="AD27" i="1"/>
  <c r="AD36" i="1" s="1"/>
  <c r="AE37" i="1"/>
  <c r="AE84" i="1" s="1"/>
  <c r="AE36" i="1"/>
  <c r="AC42" i="1"/>
  <c r="H38" i="36"/>
  <c r="AE74" i="1"/>
  <c r="P482" i="9"/>
  <c r="AQ498" i="9" s="1"/>
  <c r="P120" i="34" s="1"/>
  <c r="F26" i="36"/>
  <c r="X527" i="9"/>
  <c r="AD33" i="4"/>
  <c r="X124" i="6"/>
  <c r="X125" i="6" s="1"/>
  <c r="AD22" i="4"/>
  <c r="AD32" i="4" s="1"/>
  <c r="I66" i="1"/>
  <c r="I84" i="1"/>
  <c r="AD37" i="1"/>
  <c r="AD84" i="1" s="1"/>
  <c r="AD41" i="1"/>
  <c r="W26" i="36"/>
  <c r="H29" i="36"/>
  <c r="H40" i="36"/>
  <c r="W28" i="36"/>
  <c r="H36" i="36"/>
  <c r="AQ681" i="9"/>
  <c r="P158" i="34" s="1"/>
  <c r="X704" i="9"/>
  <c r="AQ664" i="9"/>
  <c r="H158" i="34" s="1"/>
  <c r="G61" i="1"/>
  <c r="G75" i="1"/>
  <c r="H66" i="1"/>
  <c r="H84" i="1"/>
  <c r="AQ482" i="9"/>
  <c r="H120" i="34" s="1"/>
  <c r="X526" i="9"/>
  <c r="X619" i="9"/>
  <c r="F65" i="1"/>
  <c r="W27" i="36" l="1"/>
  <c r="F38" i="36"/>
  <c r="H39" i="36"/>
  <c r="F29" i="36"/>
  <c r="H37" i="36"/>
  <c r="F28" i="36"/>
  <c r="H35" i="36"/>
  <c r="F39" i="36"/>
  <c r="F40" i="36"/>
  <c r="H27" i="36"/>
  <c r="AD74" i="1"/>
  <c r="U26" i="36"/>
  <c r="W29" i="36"/>
  <c r="P574" i="9"/>
  <c r="X618" i="9" s="1"/>
  <c r="F27" i="36"/>
  <c r="F35" i="36"/>
  <c r="H28" i="36"/>
  <c r="H26" i="36"/>
  <c r="O16" i="38"/>
  <c r="O68" i="38" s="1"/>
  <c r="U29" i="36"/>
  <c r="Q16" i="38"/>
  <c r="Q67" i="38" s="1"/>
  <c r="AE42" i="1"/>
  <c r="F37" i="36"/>
  <c r="V29" i="36"/>
  <c r="AC60" i="1"/>
  <c r="AC83" i="1" s="1"/>
  <c r="F36" i="36"/>
  <c r="U27" i="36"/>
  <c r="AE60" i="1"/>
  <c r="AE83" i="1" s="1"/>
  <c r="U28" i="36"/>
  <c r="H120" i="26"/>
  <c r="X528" i="9"/>
  <c r="X706" i="9"/>
  <c r="H158" i="26"/>
  <c r="O66" i="38"/>
  <c r="O63" i="38"/>
  <c r="O67" i="38"/>
  <c r="O64" i="38"/>
  <c r="O65" i="38"/>
  <c r="B4" i="41" a="1"/>
  <c r="G37" i="36"/>
  <c r="G29" i="36"/>
  <c r="G27" i="36"/>
  <c r="G40" i="36"/>
  <c r="V28" i="36"/>
  <c r="V26" i="36"/>
  <c r="P16" i="38"/>
  <c r="G39" i="36"/>
  <c r="V27" i="36"/>
  <c r="P556" i="9"/>
  <c r="AQ574" i="9"/>
  <c r="H140" i="34" s="1"/>
  <c r="F75" i="1"/>
  <c r="F61" i="1"/>
  <c r="G66" i="1"/>
  <c r="G84" i="1"/>
  <c r="AD42" i="1"/>
  <c r="E65" i="1"/>
  <c r="G35" i="36" l="1"/>
  <c r="G26" i="36"/>
  <c r="AQ590" i="9"/>
  <c r="P140" i="34" s="1"/>
  <c r="G36" i="36"/>
  <c r="G38" i="36"/>
  <c r="O69" i="38"/>
  <c r="G28" i="36"/>
  <c r="Q70" i="38"/>
  <c r="Q66" i="38"/>
  <c r="Q63" i="38"/>
  <c r="Q68" i="38"/>
  <c r="Q65" i="38"/>
  <c r="Q69" i="38"/>
  <c r="Q64" i="38"/>
  <c r="O70" i="38"/>
  <c r="AD60" i="1"/>
  <c r="AD83" i="1" s="1"/>
  <c r="E61" i="1"/>
  <c r="E75" i="1"/>
  <c r="H140" i="26"/>
  <c r="X620" i="9"/>
  <c r="U4" i="41"/>
  <c r="K15" i="41"/>
  <c r="K29" i="41"/>
  <c r="AI32" i="41"/>
  <c r="AP27" i="41"/>
  <c r="AP30" i="41"/>
  <c r="U27" i="41"/>
  <c r="K23" i="41"/>
  <c r="AW4" i="41"/>
  <c r="AB37" i="41"/>
  <c r="U33" i="41"/>
  <c r="AP21" i="41"/>
  <c r="BD16" i="41"/>
  <c r="AP10" i="41"/>
  <c r="AP32" i="41"/>
  <c r="AI22" i="41"/>
  <c r="BD23" i="41"/>
  <c r="AP6" i="41"/>
  <c r="BD34" i="41"/>
  <c r="D52" i="41"/>
  <c r="N18" i="41"/>
  <c r="AB28" i="41"/>
  <c r="AI9" i="41"/>
  <c r="N17" i="41"/>
  <c r="AP23" i="41"/>
  <c r="C53" i="41"/>
  <c r="C54" i="41" s="1"/>
  <c r="AB23" i="41"/>
  <c r="AW26" i="41"/>
  <c r="N37" i="41"/>
  <c r="BD28" i="41"/>
  <c r="C52" i="41"/>
  <c r="BD19" i="41"/>
  <c r="K12" i="41"/>
  <c r="AP8" i="41"/>
  <c r="K36" i="41"/>
  <c r="BD24" i="41"/>
  <c r="U6" i="41"/>
  <c r="N7" i="41"/>
  <c r="AP33" i="41"/>
  <c r="G53" i="41"/>
  <c r="U5" i="41"/>
  <c r="D42" i="41"/>
  <c r="BD10" i="41"/>
  <c r="F42" i="41"/>
  <c r="AB11" i="41"/>
  <c r="AI8" i="41"/>
  <c r="K25" i="41"/>
  <c r="AB26" i="41"/>
  <c r="BD32" i="41"/>
  <c r="N38" i="41"/>
  <c r="AW30" i="41"/>
  <c r="AI7" i="41"/>
  <c r="U31" i="41"/>
  <c r="AP4" i="41"/>
  <c r="AW38" i="41"/>
  <c r="AW8" i="41"/>
  <c r="N23" i="41"/>
  <c r="AW33" i="41"/>
  <c r="BD25" i="41"/>
  <c r="K8" i="41"/>
  <c r="AI23" i="41"/>
  <c r="N13" i="41"/>
  <c r="AB6" i="41"/>
  <c r="AI11" i="41"/>
  <c r="AI21" i="41"/>
  <c r="AI34" i="41"/>
  <c r="AB27" i="41"/>
  <c r="U26" i="41"/>
  <c r="AI12" i="41"/>
  <c r="U20" i="41"/>
  <c r="AP12" i="41"/>
  <c r="AI29" i="41"/>
  <c r="K26" i="41"/>
  <c r="AW21" i="41"/>
  <c r="AW5" i="41"/>
  <c r="AB29" i="41"/>
  <c r="AB4" i="41"/>
  <c r="AB20" i="41"/>
  <c r="AP38" i="41"/>
  <c r="N24" i="41"/>
  <c r="K6" i="41"/>
  <c r="AB8" i="41"/>
  <c r="G52" i="41"/>
  <c r="AW31" i="41"/>
  <c r="U15" i="41"/>
  <c r="N35" i="41"/>
  <c r="U11" i="41"/>
  <c r="D53" i="41"/>
  <c r="D54" i="41" s="1"/>
  <c r="N15" i="41"/>
  <c r="AB19" i="41"/>
  <c r="AI6" i="41"/>
  <c r="N20" i="41"/>
  <c r="U7" i="41"/>
  <c r="AP15" i="41"/>
  <c r="AW7" i="41"/>
  <c r="C42" i="41"/>
  <c r="K5" i="41"/>
  <c r="K7" i="41"/>
  <c r="AW25" i="41"/>
  <c r="K13" i="41"/>
  <c r="K28" i="41"/>
  <c r="K38" i="41"/>
  <c r="F52" i="41"/>
  <c r="AP34" i="41"/>
  <c r="N32" i="41"/>
  <c r="U24" i="41"/>
  <c r="BD35" i="41"/>
  <c r="BI35" i="41" s="1"/>
  <c r="AW16" i="41"/>
  <c r="AB12" i="41"/>
  <c r="AW36" i="41"/>
  <c r="AI38" i="41"/>
  <c r="BD33" i="41"/>
  <c r="AI36" i="41"/>
  <c r="K31" i="41"/>
  <c r="N26" i="41"/>
  <c r="U18" i="41"/>
  <c r="AB36" i="41"/>
  <c r="AP35" i="41"/>
  <c r="BD11" i="41"/>
  <c r="AW29" i="41"/>
  <c r="N11" i="41"/>
  <c r="AI30" i="41"/>
  <c r="AI20" i="41"/>
  <c r="U16" i="41"/>
  <c r="BD12" i="41"/>
  <c r="AP7" i="41"/>
  <c r="N36" i="41"/>
  <c r="AI5" i="41"/>
  <c r="K18" i="41"/>
  <c r="AB34" i="41"/>
  <c r="N34" i="41"/>
  <c r="AW28" i="41"/>
  <c r="C41" i="41"/>
  <c r="AI37" i="41"/>
  <c r="K14" i="41"/>
  <c r="AW6" i="41"/>
  <c r="BD7" i="41"/>
  <c r="F41" i="41"/>
  <c r="AB9" i="41"/>
  <c r="AI33" i="41"/>
  <c r="U23" i="41"/>
  <c r="BD27" i="41"/>
  <c r="BD37" i="41"/>
  <c r="K35" i="41"/>
  <c r="AB31" i="41"/>
  <c r="AW13" i="41"/>
  <c r="AW37" i="41"/>
  <c r="N31" i="41"/>
  <c r="AW34" i="41"/>
  <c r="AP16" i="41"/>
  <c r="AW27" i="41"/>
  <c r="BD30" i="41"/>
  <c r="AW12" i="41"/>
  <c r="N28" i="41"/>
  <c r="AW19" i="41"/>
  <c r="AI13" i="41"/>
  <c r="U12" i="41"/>
  <c r="K27" i="41"/>
  <c r="U35" i="41"/>
  <c r="N6" i="41"/>
  <c r="AP22" i="41"/>
  <c r="U38" i="41"/>
  <c r="AB25" i="41"/>
  <c r="AI15" i="41"/>
  <c r="AB21" i="41"/>
  <c r="N21" i="41"/>
  <c r="K33" i="41"/>
  <c r="AW32" i="41"/>
  <c r="BD26" i="41"/>
  <c r="F53" i="41"/>
  <c r="F54" i="41" s="1"/>
  <c r="BD36" i="41"/>
  <c r="BI36" i="41" s="1"/>
  <c r="AB32" i="41"/>
  <c r="K20" i="41"/>
  <c r="G42" i="41"/>
  <c r="AB38" i="41"/>
  <c r="E53" i="41"/>
  <c r="AP5" i="41"/>
  <c r="BD5" i="41"/>
  <c r="AP25" i="41"/>
  <c r="H41" i="41"/>
  <c r="AB14" i="41"/>
  <c r="U29" i="41"/>
  <c r="AW9" i="41"/>
  <c r="E42" i="41"/>
  <c r="AI16" i="41"/>
  <c r="AI17" i="41"/>
  <c r="AP18" i="41"/>
  <c r="BD9" i="41"/>
  <c r="U30" i="41"/>
  <c r="U9" i="41"/>
  <c r="N10" i="41"/>
  <c r="AI4" i="41"/>
  <c r="N8" i="41"/>
  <c r="U37" i="41"/>
  <c r="Z37" i="41" s="1"/>
  <c r="AB22" i="41"/>
  <c r="AI35" i="41"/>
  <c r="BD31" i="41"/>
  <c r="BD4" i="41"/>
  <c r="AW17" i="41"/>
  <c r="N12" i="41"/>
  <c r="K22" i="41"/>
  <c r="U19" i="41"/>
  <c r="BD18" i="41"/>
  <c r="BD29" i="41"/>
  <c r="U10" i="41"/>
  <c r="U28" i="41"/>
  <c r="AB10" i="41"/>
  <c r="AP36" i="41"/>
  <c r="AU36" i="41" s="1"/>
  <c r="AW10" i="41"/>
  <c r="E41" i="41"/>
  <c r="U25" i="41"/>
  <c r="K34" i="41"/>
  <c r="AI10" i="41"/>
  <c r="N25" i="41"/>
  <c r="AW23" i="41"/>
  <c r="AB16" i="41"/>
  <c r="AP28" i="41"/>
  <c r="AW20" i="41"/>
  <c r="AP29" i="41"/>
  <c r="AP26" i="41"/>
  <c r="D41" i="41"/>
  <c r="U14" i="41"/>
  <c r="BD22" i="41"/>
  <c r="AB30" i="41"/>
  <c r="AI25" i="41"/>
  <c r="AP13" i="41"/>
  <c r="BD8" i="41"/>
  <c r="U17" i="41"/>
  <c r="AW15" i="41"/>
  <c r="N30" i="41"/>
  <c r="AB13" i="41"/>
  <c r="AI18" i="41"/>
  <c r="AP24" i="41"/>
  <c r="K17" i="41"/>
  <c r="AB15" i="41"/>
  <c r="K24" i="41"/>
  <c r="K21" i="41"/>
  <c r="U22" i="41"/>
  <c r="K19" i="41"/>
  <c r="AI14" i="41"/>
  <c r="AI24" i="41"/>
  <c r="AB17" i="41"/>
  <c r="AP31" i="41"/>
  <c r="N19" i="41"/>
  <c r="AW18" i="41"/>
  <c r="K37" i="41"/>
  <c r="N29" i="41"/>
  <c r="AI26" i="41"/>
  <c r="U13" i="41"/>
  <c r="AW22" i="41"/>
  <c r="K9" i="41"/>
  <c r="AP37" i="41"/>
  <c r="U34" i="41"/>
  <c r="K39" i="41"/>
  <c r="U32" i="41"/>
  <c r="AB35" i="41"/>
  <c r="BD15" i="41"/>
  <c r="U8" i="41"/>
  <c r="N5" i="41"/>
  <c r="N16" i="41"/>
  <c r="BD13" i="41"/>
  <c r="U36" i="41"/>
  <c r="Z36" i="41" s="1"/>
  <c r="AI19" i="41"/>
  <c r="K16" i="41"/>
  <c r="N22" i="41"/>
  <c r="AP11" i="41"/>
  <c r="BD38" i="41"/>
  <c r="N33" i="41"/>
  <c r="AB18" i="41"/>
  <c r="AB7" i="41"/>
  <c r="AP9" i="41"/>
  <c r="BD20" i="41"/>
  <c r="N14" i="41"/>
  <c r="K10" i="41"/>
  <c r="AW24" i="41"/>
  <c r="BD17" i="41"/>
  <c r="AP17" i="41"/>
  <c r="AW14" i="41"/>
  <c r="N9" i="41"/>
  <c r="K30" i="41"/>
  <c r="B4" i="41"/>
  <c r="E52" i="41"/>
  <c r="BD6" i="41"/>
  <c r="AB33" i="41"/>
  <c r="AI27" i="41"/>
  <c r="AI31" i="41"/>
  <c r="AW11" i="41"/>
  <c r="H42" i="41"/>
  <c r="AB5" i="41"/>
  <c r="BD21" i="41"/>
  <c r="AI28" i="41"/>
  <c r="N27" i="41"/>
  <c r="K11" i="41"/>
  <c r="AB24" i="41"/>
  <c r="AP20" i="41"/>
  <c r="G41" i="41"/>
  <c r="K32" i="41"/>
  <c r="AW35" i="41"/>
  <c r="BB35" i="41" s="1"/>
  <c r="U21" i="41"/>
  <c r="AP19" i="41"/>
  <c r="BD14" i="41"/>
  <c r="AP14" i="41"/>
  <c r="AZ12" i="15"/>
  <c r="AS12" i="15"/>
  <c r="AV12" i="15" s="1"/>
  <c r="F66" i="1"/>
  <c r="F84" i="1"/>
  <c r="AC66" i="1"/>
  <c r="AC19" i="19"/>
  <c r="AE66" i="1"/>
  <c r="AE19" i="19"/>
  <c r="P66" i="38"/>
  <c r="P68" i="38"/>
  <c r="P63" i="38"/>
  <c r="P65" i="38"/>
  <c r="P64" i="38"/>
  <c r="P67" i="38"/>
  <c r="P70" i="38"/>
  <c r="P69" i="38"/>
  <c r="D65" i="1"/>
  <c r="S36" i="41" l="1"/>
  <c r="BB37" i="41"/>
  <c r="AD19" i="19"/>
  <c r="AG37" i="41"/>
  <c r="AN36" i="41"/>
  <c r="BI6" i="41"/>
  <c r="BE11" i="41"/>
  <c r="BJ11" i="41" s="1"/>
  <c r="BI42" i="41"/>
  <c r="BI38" i="41"/>
  <c r="AU31" i="41"/>
  <c r="AQ36" i="41"/>
  <c r="Z25" i="41"/>
  <c r="V30" i="41"/>
  <c r="AG22" i="41"/>
  <c r="AC27" i="41"/>
  <c r="AQ30" i="41"/>
  <c r="AU25" i="41"/>
  <c r="S34" i="41"/>
  <c r="O39" i="41"/>
  <c r="AX30" i="41"/>
  <c r="BB25" i="41"/>
  <c r="AN6" i="41"/>
  <c r="AJ11" i="41"/>
  <c r="AX10" i="41"/>
  <c r="BB5" i="41"/>
  <c r="BI25" i="41"/>
  <c r="BE30" i="41"/>
  <c r="BB30" i="41"/>
  <c r="AX35" i="41"/>
  <c r="AG23" i="41"/>
  <c r="AC28" i="41"/>
  <c r="BI34" i="41"/>
  <c r="BE39" i="41"/>
  <c r="Z33" i="41"/>
  <c r="V38" i="41"/>
  <c r="AG17" i="41"/>
  <c r="AC22" i="41"/>
  <c r="AG19" i="41"/>
  <c r="AC24" i="41"/>
  <c r="AX26" i="41"/>
  <c r="BB21" i="41"/>
  <c r="AX38" i="41"/>
  <c r="BB33" i="41"/>
  <c r="AQ13" i="41"/>
  <c r="AU8" i="41"/>
  <c r="B42" i="41"/>
  <c r="B52" i="41"/>
  <c r="B53" i="41"/>
  <c r="N4" i="41"/>
  <c r="O9" i="41" s="1"/>
  <c r="B41" i="41"/>
  <c r="Z13" i="41"/>
  <c r="V18" i="41"/>
  <c r="AQ29" i="41"/>
  <c r="AU24" i="41"/>
  <c r="AX15" i="41"/>
  <c r="BB10" i="41"/>
  <c r="AU5" i="41"/>
  <c r="AQ10" i="41"/>
  <c r="V9" i="41"/>
  <c r="AD66" i="1"/>
  <c r="E54" i="41"/>
  <c r="BB32" i="41"/>
  <c r="AX37" i="41"/>
  <c r="S6" i="41"/>
  <c r="O11" i="41"/>
  <c r="BE35" i="41"/>
  <c r="BI30" i="41"/>
  <c r="AX11" i="41"/>
  <c r="BB6" i="41"/>
  <c r="AJ10" i="41"/>
  <c r="AN5" i="41"/>
  <c r="AX34" i="41"/>
  <c r="BB29" i="41"/>
  <c r="AU34" i="41"/>
  <c r="AQ39" i="41"/>
  <c r="O29" i="41"/>
  <c r="S24" i="41"/>
  <c r="AJ34" i="41"/>
  <c r="AN29" i="41"/>
  <c r="AN11" i="41"/>
  <c r="AJ16" i="41"/>
  <c r="BB8" i="41"/>
  <c r="AX13" i="41"/>
  <c r="AC31" i="41"/>
  <c r="AG26" i="41"/>
  <c r="G54" i="41"/>
  <c r="BI19" i="41"/>
  <c r="BE24" i="41"/>
  <c r="O22" i="41"/>
  <c r="S17" i="41"/>
  <c r="AN22" i="41"/>
  <c r="AJ27" i="41"/>
  <c r="AJ33" i="41"/>
  <c r="AN28" i="41"/>
  <c r="O10" i="41"/>
  <c r="S5" i="41"/>
  <c r="AU29" i="41"/>
  <c r="AQ34" i="41"/>
  <c r="AU18" i="41"/>
  <c r="AQ23" i="41"/>
  <c r="AG25" i="41"/>
  <c r="AC30" i="41"/>
  <c r="S26" i="41"/>
  <c r="O31" i="41"/>
  <c r="BI21" i="41"/>
  <c r="BE26" i="41"/>
  <c r="Z8" i="41"/>
  <c r="V13" i="41"/>
  <c r="BB22" i="41"/>
  <c r="AX27" i="41"/>
  <c r="AU13" i="41"/>
  <c r="AQ18" i="41"/>
  <c r="AX25" i="41"/>
  <c r="BB20" i="41"/>
  <c r="V24" i="41"/>
  <c r="Z19" i="41"/>
  <c r="BI5" i="41"/>
  <c r="BE10" i="41"/>
  <c r="BJ10" i="41" s="1"/>
  <c r="S28" i="41"/>
  <c r="O33" i="41"/>
  <c r="AN30" i="41"/>
  <c r="AJ35" i="41"/>
  <c r="AJ39" i="41"/>
  <c r="AN34" i="41"/>
  <c r="S38" i="41"/>
  <c r="S42" i="41"/>
  <c r="BE20" i="41"/>
  <c r="BI15" i="41"/>
  <c r="AN14" i="41"/>
  <c r="AJ19" i="41"/>
  <c r="AJ9" i="41"/>
  <c r="AQ25" i="41"/>
  <c r="AU20" i="41"/>
  <c r="AX16" i="41"/>
  <c r="BB11" i="41"/>
  <c r="S9" i="41"/>
  <c r="O14" i="41"/>
  <c r="AU9" i="41"/>
  <c r="AQ14" i="41"/>
  <c r="AJ24" i="41"/>
  <c r="AN19" i="41"/>
  <c r="Z32" i="41"/>
  <c r="V37" i="41"/>
  <c r="O34" i="41"/>
  <c r="S29" i="41"/>
  <c r="AC18" i="41"/>
  <c r="AG13" i="41"/>
  <c r="BI22" i="41"/>
  <c r="BE27" i="41"/>
  <c r="BB23" i="41"/>
  <c r="AX28" i="41"/>
  <c r="AG10" i="41"/>
  <c r="AC15" i="41"/>
  <c r="AX22" i="41"/>
  <c r="BB17" i="41"/>
  <c r="S10" i="41"/>
  <c r="O15" i="41"/>
  <c r="AX14" i="41"/>
  <c r="BB9" i="41"/>
  <c r="AG38" i="41"/>
  <c r="AG42" i="41"/>
  <c r="Z35" i="41"/>
  <c r="AX32" i="41"/>
  <c r="BB27" i="41"/>
  <c r="BI37" i="41"/>
  <c r="BE16" i="41"/>
  <c r="BI11" i="41"/>
  <c r="AN38" i="41"/>
  <c r="AN42" i="41"/>
  <c r="BB7" i="41"/>
  <c r="AX12" i="41"/>
  <c r="Z11" i="41"/>
  <c r="V16" i="41"/>
  <c r="AU42" i="41"/>
  <c r="AU38" i="41"/>
  <c r="AQ17" i="41"/>
  <c r="AU12" i="41"/>
  <c r="AC11" i="41"/>
  <c r="AG6" i="41"/>
  <c r="BB42" i="41"/>
  <c r="BB38" i="41"/>
  <c r="AQ38" i="41"/>
  <c r="AU33" i="41"/>
  <c r="AN9" i="41"/>
  <c r="AJ14" i="41"/>
  <c r="AQ37" i="41"/>
  <c r="AU32" i="41"/>
  <c r="Z27" i="41"/>
  <c r="V32" i="41"/>
  <c r="BE13" i="41"/>
  <c r="BI8" i="41"/>
  <c r="AQ16" i="41"/>
  <c r="AU11" i="41"/>
  <c r="AN17" i="41"/>
  <c r="AJ22" i="41"/>
  <c r="Z38" i="41"/>
  <c r="Z42" i="41"/>
  <c r="AG34" i="41"/>
  <c r="AC39" i="41"/>
  <c r="AG8" i="41"/>
  <c r="AC13" i="41"/>
  <c r="S22" i="41"/>
  <c r="O27" i="41"/>
  <c r="AQ33" i="41"/>
  <c r="AU28" i="41"/>
  <c r="AJ21" i="41"/>
  <c r="AN16" i="41"/>
  <c r="AQ27" i="41"/>
  <c r="AU22" i="41"/>
  <c r="AG31" i="41"/>
  <c r="AC36" i="41"/>
  <c r="BI7" i="41"/>
  <c r="BE12" i="41"/>
  <c r="BJ12" i="41" s="1"/>
  <c r="O16" i="41"/>
  <c r="S11" i="41"/>
  <c r="S32" i="41"/>
  <c r="O37" i="41"/>
  <c r="O20" i="41"/>
  <c r="S15" i="41"/>
  <c r="S23" i="41"/>
  <c r="O28" i="41"/>
  <c r="Z5" i="41"/>
  <c r="V10" i="41"/>
  <c r="AQ28" i="41"/>
  <c r="AU23" i="41"/>
  <c r="AG35" i="41"/>
  <c r="AJ31" i="41"/>
  <c r="AN26" i="41"/>
  <c r="AN18" i="41"/>
  <c r="AJ23" i="41"/>
  <c r="AC35" i="41"/>
  <c r="AG30" i="41"/>
  <c r="AC21" i="41"/>
  <c r="AG16" i="41"/>
  <c r="BE38" i="41"/>
  <c r="BI33" i="41"/>
  <c r="AQ19" i="41"/>
  <c r="AU14" i="41"/>
  <c r="AG24" i="41"/>
  <c r="AC29" i="41"/>
  <c r="AJ36" i="41"/>
  <c r="AN31" i="41"/>
  <c r="BB14" i="41"/>
  <c r="AX19" i="41"/>
  <c r="AG7" i="41"/>
  <c r="AC12" i="41"/>
  <c r="V27" i="41"/>
  <c r="Z22" i="41"/>
  <c r="O35" i="41"/>
  <c r="S30" i="41"/>
  <c r="V19" i="41"/>
  <c r="Z14" i="41"/>
  <c r="O30" i="41"/>
  <c r="S25" i="41"/>
  <c r="Z28" i="41"/>
  <c r="V33" i="41"/>
  <c r="BE9" i="41"/>
  <c r="BJ9" i="41" s="1"/>
  <c r="Z9" i="41"/>
  <c r="V14" i="41"/>
  <c r="V34" i="41"/>
  <c r="Z29" i="41"/>
  <c r="O26" i="41"/>
  <c r="S21" i="41"/>
  <c r="AU16" i="41"/>
  <c r="AQ21" i="41"/>
  <c r="BE32" i="41"/>
  <c r="BI27" i="41"/>
  <c r="AN37" i="41"/>
  <c r="AQ12" i="41"/>
  <c r="AU7" i="41"/>
  <c r="AU35" i="41"/>
  <c r="BB36" i="41"/>
  <c r="AU15" i="41"/>
  <c r="AQ20" i="41"/>
  <c r="S35" i="41"/>
  <c r="AG20" i="41"/>
  <c r="AC25" i="41"/>
  <c r="V25" i="41"/>
  <c r="Z20" i="41"/>
  <c r="S13" i="41"/>
  <c r="O18" i="41"/>
  <c r="AQ9" i="41"/>
  <c r="AJ13" i="41"/>
  <c r="AN8" i="41"/>
  <c r="S7" i="41"/>
  <c r="O12" i="41"/>
  <c r="BI28" i="41"/>
  <c r="BE33" i="41"/>
  <c r="AG28" i="41"/>
  <c r="AC33" i="41"/>
  <c r="AQ15" i="41"/>
  <c r="AU10" i="41"/>
  <c r="AU30" i="41"/>
  <c r="AQ35" i="41"/>
  <c r="V26" i="41"/>
  <c r="Z21" i="41"/>
  <c r="AX29" i="41"/>
  <c r="BB24" i="41"/>
  <c r="AC20" i="41"/>
  <c r="AG15" i="41"/>
  <c r="BE23" i="41"/>
  <c r="BI18" i="41"/>
  <c r="BB19" i="41"/>
  <c r="AX24" i="41"/>
  <c r="AG9" i="41"/>
  <c r="AC14" i="41"/>
  <c r="AJ25" i="41"/>
  <c r="AN20" i="41"/>
  <c r="AG27" i="41"/>
  <c r="AC32" i="41"/>
  <c r="BE15" i="41"/>
  <c r="BI10" i="41"/>
  <c r="AQ11" i="41"/>
  <c r="AU6" i="41"/>
  <c r="S14" i="41"/>
  <c r="O19" i="41"/>
  <c r="AJ29" i="41"/>
  <c r="AN24" i="41"/>
  <c r="AN25" i="41"/>
  <c r="AJ30" i="41"/>
  <c r="BE31" i="41"/>
  <c r="BI26" i="41"/>
  <c r="BB12" i="41"/>
  <c r="AX17" i="41"/>
  <c r="AJ26" i="41"/>
  <c r="AN21" i="41"/>
  <c r="BI32" i="41"/>
  <c r="BE37" i="41"/>
  <c r="AX9" i="41"/>
  <c r="BI14" i="41"/>
  <c r="BE19" i="41"/>
  <c r="AJ32" i="41"/>
  <c r="AN27" i="41"/>
  <c r="AU17" i="41"/>
  <c r="AQ22" i="41"/>
  <c r="AC23" i="41"/>
  <c r="AG18" i="41"/>
  <c r="BI13" i="41"/>
  <c r="BE18" i="41"/>
  <c r="V39" i="41"/>
  <c r="Z34" i="41"/>
  <c r="BB18" i="41"/>
  <c r="AX23" i="41"/>
  <c r="AX20" i="41"/>
  <c r="BB15" i="41"/>
  <c r="AN10" i="41"/>
  <c r="AJ15" i="41"/>
  <c r="Z10" i="41"/>
  <c r="V15" i="41"/>
  <c r="BE36" i="41"/>
  <c r="BI31" i="41"/>
  <c r="V35" i="41"/>
  <c r="Z30" i="41"/>
  <c r="AC19" i="41"/>
  <c r="AG14" i="41"/>
  <c r="AC26" i="41"/>
  <c r="AG21" i="41"/>
  <c r="V17" i="41"/>
  <c r="Z12" i="41"/>
  <c r="BB34" i="41"/>
  <c r="AX39" i="41"/>
  <c r="Z23" i="41"/>
  <c r="V28" i="41"/>
  <c r="BE17" i="41"/>
  <c r="BI12" i="41"/>
  <c r="AG36" i="41"/>
  <c r="AC17" i="41"/>
  <c r="AG12" i="41"/>
  <c r="V12" i="41"/>
  <c r="Z7" i="41"/>
  <c r="Z15" i="41"/>
  <c r="V20" i="41"/>
  <c r="AC9" i="41"/>
  <c r="AJ17" i="41"/>
  <c r="AN12" i="41"/>
  <c r="AN23" i="41"/>
  <c r="AJ28" i="41"/>
  <c r="V36" i="41"/>
  <c r="Z31" i="41"/>
  <c r="AC16" i="41"/>
  <c r="AG11" i="41"/>
  <c r="Z6" i="41"/>
  <c r="V11" i="41"/>
  <c r="S37" i="41"/>
  <c r="O23" i="41"/>
  <c r="S18" i="41"/>
  <c r="BE21" i="41"/>
  <c r="BI16" i="41"/>
  <c r="AQ32" i="41"/>
  <c r="AU27" i="41"/>
  <c r="D61" i="1"/>
  <c r="D75" i="1"/>
  <c r="AX18" i="41"/>
  <c r="BB13" i="41"/>
  <c r="Z24" i="41"/>
  <c r="V29" i="41"/>
  <c r="AC10" i="41"/>
  <c r="AG5" i="41"/>
  <c r="S8" i="41"/>
  <c r="O13" i="41"/>
  <c r="BI23" i="41"/>
  <c r="BE28" i="41"/>
  <c r="BI20" i="41"/>
  <c r="BE25" i="41"/>
  <c r="S12" i="41"/>
  <c r="O17" i="41"/>
  <c r="AQ24" i="41"/>
  <c r="AU19" i="41"/>
  <c r="O32" i="41"/>
  <c r="S27" i="41"/>
  <c r="AG33" i="41"/>
  <c r="AC38" i="41"/>
  <c r="BE22" i="41"/>
  <c r="BI17" i="41"/>
  <c r="S33" i="41"/>
  <c r="O38" i="41"/>
  <c r="S16" i="41"/>
  <c r="O21" i="41"/>
  <c r="P22" i="41" s="1"/>
  <c r="Q22" i="41" s="1"/>
  <c r="AU37" i="41"/>
  <c r="S19" i="41"/>
  <c r="O24" i="41"/>
  <c r="V22" i="41"/>
  <c r="Z17" i="41"/>
  <c r="AU26" i="41"/>
  <c r="AQ31" i="41"/>
  <c r="BE34" i="41"/>
  <c r="BI29" i="41"/>
  <c r="AN35" i="41"/>
  <c r="BI9" i="41"/>
  <c r="BE14" i="41"/>
  <c r="AG32" i="41"/>
  <c r="AC37" i="41"/>
  <c r="AJ20" i="41"/>
  <c r="AN15" i="41"/>
  <c r="AJ18" i="41"/>
  <c r="AN13" i="41"/>
  <c r="S31" i="41"/>
  <c r="O36" i="41"/>
  <c r="AN33" i="41"/>
  <c r="AJ38" i="41"/>
  <c r="BB28" i="41"/>
  <c r="AX33" i="41"/>
  <c r="V21" i="41"/>
  <c r="Z16" i="41"/>
  <c r="V23" i="41"/>
  <c r="Z18" i="41"/>
  <c r="BB16" i="41"/>
  <c r="AX21" i="41"/>
  <c r="S20" i="41"/>
  <c r="O25" i="41"/>
  <c r="P29" i="41" s="1"/>
  <c r="Q29" i="41" s="1"/>
  <c r="BB31" i="41"/>
  <c r="AX36" i="41"/>
  <c r="AG29" i="41"/>
  <c r="AC34" i="41"/>
  <c r="Z26" i="41"/>
  <c r="V31" i="41"/>
  <c r="AN7" i="41"/>
  <c r="AJ12" i="41"/>
  <c r="BE29" i="41"/>
  <c r="BI24" i="41"/>
  <c r="BB26" i="41"/>
  <c r="AX31" i="41"/>
  <c r="AU21" i="41"/>
  <c r="AQ26" i="41"/>
  <c r="AN32" i="41"/>
  <c r="AJ37" i="41"/>
  <c r="E66" i="1"/>
  <c r="E84" i="1"/>
  <c r="C65" i="1"/>
  <c r="AD30" i="41" l="1"/>
  <c r="AF30" i="41" s="1"/>
  <c r="BF26" i="41"/>
  <c r="BH26" i="41" s="1"/>
  <c r="AK36" i="41"/>
  <c r="AL36" i="41" s="1"/>
  <c r="W17" i="41"/>
  <c r="X17" i="41" s="1"/>
  <c r="AR32" i="41"/>
  <c r="AT32" i="41" s="1"/>
  <c r="BF24" i="41"/>
  <c r="BH24" i="41" s="1"/>
  <c r="AY36" i="41"/>
  <c r="AZ36" i="41" s="1"/>
  <c r="P13" i="41"/>
  <c r="Q13" i="41" s="1"/>
  <c r="AR22" i="41"/>
  <c r="AT22" i="41" s="1"/>
  <c r="AY22" i="41"/>
  <c r="AZ22" i="41" s="1"/>
  <c r="AY25" i="41"/>
  <c r="BA25" i="41" s="1"/>
  <c r="W39" i="41"/>
  <c r="Y39" i="41" s="1"/>
  <c r="AY35" i="41"/>
  <c r="BA35" i="41" s="1"/>
  <c r="AR26" i="41"/>
  <c r="AT26" i="41" s="1"/>
  <c r="AK32" i="41"/>
  <c r="AL32" i="41" s="1"/>
  <c r="AK39" i="41"/>
  <c r="AM39" i="41" s="1"/>
  <c r="P36" i="41"/>
  <c r="Q36" i="41" s="1"/>
  <c r="AY28" i="41"/>
  <c r="AZ28" i="41" s="1"/>
  <c r="AD31" i="41"/>
  <c r="AF31" i="41" s="1"/>
  <c r="BF19" i="41"/>
  <c r="BG19" i="41" s="1"/>
  <c r="AR29" i="41"/>
  <c r="AT29" i="41" s="1"/>
  <c r="W35" i="41"/>
  <c r="X35" i="41" s="1"/>
  <c r="AK24" i="41"/>
  <c r="AM24" i="41" s="1"/>
  <c r="AK22" i="41"/>
  <c r="AM22" i="41" s="1"/>
  <c r="AB42" i="41"/>
  <c r="AY33" i="41"/>
  <c r="BA33" i="41" s="1"/>
  <c r="AK21" i="41"/>
  <c r="AL21" i="41" s="1"/>
  <c r="AY24" i="41"/>
  <c r="AZ24" i="41" s="1"/>
  <c r="AY34" i="41"/>
  <c r="BA34" i="41" s="1"/>
  <c r="AW42" i="41"/>
  <c r="AD37" i="41"/>
  <c r="AE37" i="41" s="1"/>
  <c r="AR13" i="41"/>
  <c r="AS13" i="41" s="1"/>
  <c r="AR35" i="41"/>
  <c r="AS35" i="41" s="1"/>
  <c r="AD19" i="41"/>
  <c r="AF19" i="41" s="1"/>
  <c r="W20" i="41"/>
  <c r="Y20" i="41" s="1"/>
  <c r="AK34" i="41"/>
  <c r="AM34" i="41" s="1"/>
  <c r="AR21" i="41"/>
  <c r="AT21" i="41" s="1"/>
  <c r="AY16" i="41"/>
  <c r="AZ16" i="41" s="1"/>
  <c r="AY38" i="41"/>
  <c r="BA38" i="41" s="1"/>
  <c r="AU44" i="41"/>
  <c r="AD14" i="41"/>
  <c r="AF14" i="41" s="1"/>
  <c r="AJ42" i="41"/>
  <c r="AK19" i="41"/>
  <c r="AM19" i="41" s="1"/>
  <c r="W16" i="41"/>
  <c r="Y16" i="41" s="1"/>
  <c r="P15" i="41"/>
  <c r="Q15" i="41" s="1"/>
  <c r="W28" i="41"/>
  <c r="Y28" i="41" s="1"/>
  <c r="AD16" i="41"/>
  <c r="AF16" i="41" s="1"/>
  <c r="AD39" i="41"/>
  <c r="AF39" i="41" s="1"/>
  <c r="W14" i="41"/>
  <c r="X14" i="41" s="1"/>
  <c r="P16" i="41"/>
  <c r="R16" i="41" s="1"/>
  <c r="AD34" i="41"/>
  <c r="AF34" i="41" s="1"/>
  <c r="AY21" i="41"/>
  <c r="BA21" i="41" s="1"/>
  <c r="BF27" i="41"/>
  <c r="BG27" i="41" s="1"/>
  <c r="P33" i="41"/>
  <c r="R33" i="41" s="1"/>
  <c r="AY14" i="41"/>
  <c r="AZ14" i="41" s="1"/>
  <c r="AY15" i="41"/>
  <c r="BA15" i="41" s="1"/>
  <c r="AK14" i="41"/>
  <c r="AM14" i="41" s="1"/>
  <c r="AE20" i="19"/>
  <c r="AK16" i="41"/>
  <c r="AM16" i="41" s="1"/>
  <c r="W38" i="41"/>
  <c r="Y38" i="41" s="1"/>
  <c r="U42" i="41"/>
  <c r="BJ13" i="41"/>
  <c r="BJ27" i="41"/>
  <c r="BD42" i="41"/>
  <c r="BF29" i="41"/>
  <c r="BH29" i="41" s="1"/>
  <c r="S43" i="41"/>
  <c r="P24" i="41"/>
  <c r="R24" i="41" s="1"/>
  <c r="BI43" i="41"/>
  <c r="AL12" i="15" s="1"/>
  <c r="W29" i="41"/>
  <c r="Y29" i="41" s="1"/>
  <c r="D66" i="1"/>
  <c r="D84" i="1"/>
  <c r="AD13" i="41"/>
  <c r="AF13" i="41" s="1"/>
  <c r="AD21" i="41"/>
  <c r="AF21" i="41" s="1"/>
  <c r="BJ36" i="41"/>
  <c r="AN43" i="41"/>
  <c r="AL9" i="15" s="1"/>
  <c r="BB44" i="41"/>
  <c r="W25" i="41"/>
  <c r="X25" i="41" s="1"/>
  <c r="BJ32" i="41"/>
  <c r="P30" i="41"/>
  <c r="Q30" i="41" s="1"/>
  <c r="AK23" i="41"/>
  <c r="AM23" i="41" s="1"/>
  <c r="BF13" i="41"/>
  <c r="BH13" i="41" s="1"/>
  <c r="P34" i="41"/>
  <c r="R34" i="41" s="1"/>
  <c r="AR38" i="41"/>
  <c r="AS38" i="41" s="1"/>
  <c r="O42" i="41"/>
  <c r="BJ29" i="41"/>
  <c r="AZ11" i="15"/>
  <c r="AS11" i="15"/>
  <c r="AV11" i="15" s="1"/>
  <c r="AE34" i="41"/>
  <c r="AZ21" i="41"/>
  <c r="W21" i="41"/>
  <c r="Y21" i="41" s="1"/>
  <c r="AR24" i="41"/>
  <c r="AS24" i="41" s="1"/>
  <c r="BJ28" i="41"/>
  <c r="X29" i="41"/>
  <c r="P27" i="41"/>
  <c r="R27" i="41" s="1"/>
  <c r="BJ19" i="41"/>
  <c r="BH19" i="41"/>
  <c r="BF42" i="41" a="1"/>
  <c r="BF42" i="41" s="1"/>
  <c r="AM12" i="15" s="1"/>
  <c r="AK30" i="41"/>
  <c r="AL30" i="41" s="1"/>
  <c r="AK29" i="41"/>
  <c r="AM29" i="41" s="1"/>
  <c r="BF15" i="41"/>
  <c r="BH15" i="41" s="1"/>
  <c r="BF23" i="41"/>
  <c r="BH23" i="41" s="1"/>
  <c r="Z43" i="41"/>
  <c r="AL7" i="15" s="1"/>
  <c r="W27" i="41"/>
  <c r="X27" i="41" s="1"/>
  <c r="AR42" i="41" a="1"/>
  <c r="AR42" i="41" s="1"/>
  <c r="AM10" i="15" s="1"/>
  <c r="X16" i="41"/>
  <c r="BJ16" i="41"/>
  <c r="W37" i="41"/>
  <c r="Y37" i="41" s="1"/>
  <c r="P37" i="41"/>
  <c r="R37" i="41" s="1"/>
  <c r="Q33" i="41"/>
  <c r="BB43" i="41"/>
  <c r="AL11" i="15" s="1"/>
  <c r="W13" i="41"/>
  <c r="Y13" i="41" s="1"/>
  <c r="BF35" i="41"/>
  <c r="BG35" i="41" s="1"/>
  <c r="AZ15" i="41"/>
  <c r="B54" i="41"/>
  <c r="AZ38" i="41"/>
  <c r="AD35" i="41"/>
  <c r="AF35" i="41" s="1"/>
  <c r="AE31" i="41"/>
  <c r="AR30" i="41"/>
  <c r="AS30" i="41" s="1"/>
  <c r="AZ33" i="41"/>
  <c r="AD38" i="41"/>
  <c r="AE38" i="41" s="1"/>
  <c r="AY18" i="41"/>
  <c r="BA18" i="41" s="1"/>
  <c r="AR36" i="41"/>
  <c r="AS36" i="41" s="1"/>
  <c r="AS32" i="41"/>
  <c r="W15" i="41"/>
  <c r="Y15" i="41" s="1"/>
  <c r="BJ17" i="41"/>
  <c r="AK15" i="41"/>
  <c r="AM15" i="41" s="1"/>
  <c r="AS22" i="41"/>
  <c r="AX42" i="41"/>
  <c r="AK33" i="41"/>
  <c r="AM33" i="41" s="1"/>
  <c r="AL29" i="41"/>
  <c r="BF17" i="41"/>
  <c r="BH17" i="41" s="1"/>
  <c r="BJ15" i="41"/>
  <c r="AC42" i="41"/>
  <c r="BJ23" i="41"/>
  <c r="AD25" i="41"/>
  <c r="AE25" i="41" s="1"/>
  <c r="W18" i="41"/>
  <c r="X18" i="41" s="1"/>
  <c r="W19" i="41"/>
  <c r="Y19" i="41" s="1"/>
  <c r="Y27" i="41"/>
  <c r="AM36" i="41"/>
  <c r="BJ38" i="41"/>
  <c r="AK31" i="41"/>
  <c r="AL31" i="41" s="1"/>
  <c r="AR31" i="41"/>
  <c r="AT31" i="41" s="1"/>
  <c r="W32" i="41"/>
  <c r="Y32" i="41" s="1"/>
  <c r="AR17" i="41"/>
  <c r="AT17" i="41" s="1"/>
  <c r="AY32" i="41"/>
  <c r="BA32" i="41" s="1"/>
  <c r="AD15" i="41"/>
  <c r="AE15" i="41" s="1"/>
  <c r="AK42" i="41" a="1"/>
  <c r="AK42" i="41" s="1"/>
  <c r="AM9" i="15" s="1"/>
  <c r="AR18" i="41"/>
  <c r="AT18" i="41" s="1"/>
  <c r="AE30" i="41"/>
  <c r="P14" i="41"/>
  <c r="R14" i="41" s="1"/>
  <c r="R22" i="41"/>
  <c r="AY13" i="41"/>
  <c r="AZ13" i="41" s="1"/>
  <c r="AL34" i="41"/>
  <c r="BH35" i="41"/>
  <c r="BJ35" i="41"/>
  <c r="X38" i="41"/>
  <c r="AZ35" i="41"/>
  <c r="AR34" i="41"/>
  <c r="AS34" i="41" s="1"/>
  <c r="X20" i="41"/>
  <c r="AD42" i="41" a="1"/>
  <c r="AD42" i="41" s="1"/>
  <c r="AM8" i="15" s="1"/>
  <c r="AE19" i="41"/>
  <c r="AI42" i="41"/>
  <c r="AT24" i="41"/>
  <c r="BA36" i="41"/>
  <c r="P21" i="41"/>
  <c r="R21" i="41" s="1"/>
  <c r="P17" i="41"/>
  <c r="R17" i="41" s="1"/>
  <c r="R13" i="41"/>
  <c r="X39" i="41"/>
  <c r="P19" i="41"/>
  <c r="R19" i="41" s="1"/>
  <c r="AD32" i="41"/>
  <c r="AE32" i="41" s="1"/>
  <c r="AD20" i="41"/>
  <c r="AE20" i="41" s="1"/>
  <c r="AD33" i="41"/>
  <c r="AF33" i="41" s="1"/>
  <c r="AK13" i="41"/>
  <c r="AL13" i="41" s="1"/>
  <c r="AF25" i="41"/>
  <c r="AR16" i="41"/>
  <c r="AT16" i="41" s="1"/>
  <c r="P26" i="41"/>
  <c r="R26" i="41" s="1"/>
  <c r="AD29" i="41"/>
  <c r="AF29" i="41" s="1"/>
  <c r="P20" i="41"/>
  <c r="Q20" i="41" s="1"/>
  <c r="Q16" i="41"/>
  <c r="AL22" i="41"/>
  <c r="W36" i="41"/>
  <c r="Y36" i="41" s="1"/>
  <c r="BA14" i="41"/>
  <c r="AD18" i="41"/>
  <c r="AE18" i="41" s="1"/>
  <c r="AL39" i="41"/>
  <c r="AY17" i="41"/>
  <c r="BA17" i="41" s="1"/>
  <c r="AZ34" i="41"/>
  <c r="N42" i="41"/>
  <c r="V42" i="41"/>
  <c r="AS29" i="41"/>
  <c r="AY30" i="41"/>
  <c r="BA30" i="41" s="1"/>
  <c r="AD27" i="41"/>
  <c r="AE27" i="41" s="1"/>
  <c r="BF38" i="41"/>
  <c r="BH38" i="41" s="1"/>
  <c r="BJ34" i="41"/>
  <c r="AY20" i="41"/>
  <c r="BA20" i="41" s="1"/>
  <c r="AS21" i="41"/>
  <c r="AK28" i="41"/>
  <c r="AL28" i="41" s="1"/>
  <c r="BF37" i="41"/>
  <c r="BG37" i="41" s="1"/>
  <c r="W31" i="41"/>
  <c r="Y31" i="41" s="1"/>
  <c r="AK38" i="41"/>
  <c r="AL38" i="41" s="1"/>
  <c r="AK20" i="41"/>
  <c r="AM20" i="41" s="1"/>
  <c r="BF14" i="41"/>
  <c r="BH14" i="41" s="1"/>
  <c r="W22" i="41"/>
  <c r="X22" i="41" s="1"/>
  <c r="AK17" i="41"/>
  <c r="AL17" i="41" s="1"/>
  <c r="X28" i="41"/>
  <c r="AD26" i="41"/>
  <c r="AF26" i="41" s="1"/>
  <c r="Y35" i="41"/>
  <c r="BJ18" i="41"/>
  <c r="BF39" i="41"/>
  <c r="BG39" i="41" s="1"/>
  <c r="BJ37" i="41"/>
  <c r="P42" i="41" a="1"/>
  <c r="P42" i="41" s="1"/>
  <c r="AM6" i="15" s="1"/>
  <c r="BF33" i="41"/>
  <c r="BH33" i="41" s="1"/>
  <c r="AQ42" i="41"/>
  <c r="AG43" i="41"/>
  <c r="AL8" i="15" s="1"/>
  <c r="W42" i="41" a="1"/>
  <c r="W42" i="41" s="1"/>
  <c r="AM7" i="15" s="1"/>
  <c r="X19" i="41"/>
  <c r="AD24" i="41"/>
  <c r="AE24" i="41" s="1"/>
  <c r="AE21" i="41"/>
  <c r="AR20" i="41"/>
  <c r="AS20" i="41" s="1"/>
  <c r="AZ32" i="41"/>
  <c r="AN44" i="41"/>
  <c r="BA16" i="41"/>
  <c r="BF20" i="41"/>
  <c r="BH20" i="41" s="1"/>
  <c r="AK35" i="41"/>
  <c r="AM35" i="41" s="1"/>
  <c r="W24" i="41"/>
  <c r="Y24" i="41" s="1"/>
  <c r="BG26" i="41"/>
  <c r="BJ26" i="41"/>
  <c r="AR27" i="41"/>
  <c r="AT27" i="41" s="1"/>
  <c r="BF28" i="41"/>
  <c r="BH28" i="41" s="1"/>
  <c r="BJ24" i="41"/>
  <c r="BG24" i="41"/>
  <c r="AR14" i="41"/>
  <c r="AS14" i="41" s="1"/>
  <c r="AF24" i="41"/>
  <c r="BF30" i="41"/>
  <c r="BG30" i="41" s="1"/>
  <c r="BJ22" i="41"/>
  <c r="BA22" i="41"/>
  <c r="AZ25" i="41"/>
  <c r="BE42" i="41"/>
  <c r="AF38" i="41"/>
  <c r="BF21" i="41"/>
  <c r="BH21" i="41" s="1"/>
  <c r="Y17" i="41"/>
  <c r="BF31" i="41"/>
  <c r="BH31" i="41" s="1"/>
  <c r="AY31" i="41"/>
  <c r="BA31" i="41" s="1"/>
  <c r="C61" i="1"/>
  <c r="C75" i="1"/>
  <c r="W33" i="41"/>
  <c r="X33" i="41" s="1"/>
  <c r="P25" i="41"/>
  <c r="Q25" i="41" s="1"/>
  <c r="BF18" i="41"/>
  <c r="BH18" i="41" s="1"/>
  <c r="BJ14" i="41"/>
  <c r="BG14" i="41"/>
  <c r="P38" i="41"/>
  <c r="Q38" i="41" s="1"/>
  <c r="P32" i="41"/>
  <c r="R32" i="41" s="1"/>
  <c r="BF25" i="41"/>
  <c r="BH25" i="41" s="1"/>
  <c r="BF22" i="41"/>
  <c r="BG22" i="41" s="1"/>
  <c r="BJ21" i="41"/>
  <c r="AD17" i="41"/>
  <c r="AF17" i="41" s="1"/>
  <c r="BF36" i="41"/>
  <c r="BH36" i="41" s="1"/>
  <c r="BJ31" i="41"/>
  <c r="BF34" i="41"/>
  <c r="BH34" i="41" s="1"/>
  <c r="BJ33" i="41"/>
  <c r="BF32" i="41"/>
  <c r="BH32" i="41" s="1"/>
  <c r="Q26" i="41"/>
  <c r="Y33" i="41"/>
  <c r="P35" i="41"/>
  <c r="Q35" i="41" s="1"/>
  <c r="AY19" i="41"/>
  <c r="BA19" i="41" s="1"/>
  <c r="AM21" i="41"/>
  <c r="AR37" i="41"/>
  <c r="AS37" i="41" s="1"/>
  <c r="AT38" i="41"/>
  <c r="P18" i="41"/>
  <c r="R18" i="41" s="1"/>
  <c r="R15" i="41"/>
  <c r="AF18" i="41"/>
  <c r="AL24" i="41"/>
  <c r="AR25" i="41"/>
  <c r="AT25" i="41" s="1"/>
  <c r="AL35" i="41"/>
  <c r="Z44" i="41"/>
  <c r="AY27" i="41"/>
  <c r="BA27" i="41" s="1"/>
  <c r="AR23" i="41"/>
  <c r="AS23" i="41" s="1"/>
  <c r="AK27" i="41"/>
  <c r="AM27" i="41" s="1"/>
  <c r="BI44" i="41"/>
  <c r="R29" i="41"/>
  <c r="AY37" i="41"/>
  <c r="BA37" i="41" s="1"/>
  <c r="AT13" i="41"/>
  <c r="AG44" i="41"/>
  <c r="BJ30" i="41"/>
  <c r="AZ30" i="41"/>
  <c r="S44" i="41"/>
  <c r="Y25" i="41"/>
  <c r="X13" i="41"/>
  <c r="AY26" i="41"/>
  <c r="BA26" i="41" s="1"/>
  <c r="W23" i="41"/>
  <c r="Y23" i="41" s="1"/>
  <c r="AK37" i="41"/>
  <c r="AL37" i="41" s="1"/>
  <c r="P28" i="41"/>
  <c r="R28" i="41" s="1"/>
  <c r="AL20" i="41"/>
  <c r="W26" i="41"/>
  <c r="Y26" i="41" s="1"/>
  <c r="BJ25" i="41"/>
  <c r="P23" i="41"/>
  <c r="R23" i="41" s="1"/>
  <c r="AE16" i="41"/>
  <c r="AM17" i="41"/>
  <c r="AY39" i="41"/>
  <c r="AZ39" i="41" s="1"/>
  <c r="AZ20" i="41"/>
  <c r="AD23" i="41"/>
  <c r="AE23" i="41" s="1"/>
  <c r="AM32" i="41"/>
  <c r="AK26" i="41"/>
  <c r="AM26" i="41" s="1"/>
  <c r="AM30" i="41"/>
  <c r="AK25" i="41"/>
  <c r="AM25" i="41" s="1"/>
  <c r="BA24" i="41"/>
  <c r="AY29" i="41"/>
  <c r="AZ29" i="41" s="1"/>
  <c r="AR15" i="41"/>
  <c r="AT15" i="41" s="1"/>
  <c r="W34" i="41"/>
  <c r="X34" i="41" s="1"/>
  <c r="AY23" i="41"/>
  <c r="BA23" i="41" s="1"/>
  <c r="AY42" i="41" a="1"/>
  <c r="AY42" i="41" s="1"/>
  <c r="AM11" i="15" s="1"/>
  <c r="AR19" i="41"/>
  <c r="AT19" i="41" s="1"/>
  <c r="AE35" i="41"/>
  <c r="AR28" i="41"/>
  <c r="AT28" i="41" s="1"/>
  <c r="AD36" i="41"/>
  <c r="AF36" i="41" s="1"/>
  <c r="AR33" i="41"/>
  <c r="AS33" i="41" s="1"/>
  <c r="AE39" i="41"/>
  <c r="AS16" i="41"/>
  <c r="BF16" i="41"/>
  <c r="BH16" i="41" s="1"/>
  <c r="BA28" i="41"/>
  <c r="AP42" i="41"/>
  <c r="AU43" i="41"/>
  <c r="AL10" i="15" s="1"/>
  <c r="BJ20" i="41"/>
  <c r="X24" i="41"/>
  <c r="P31" i="41"/>
  <c r="Q31" i="41" s="1"/>
  <c r="AK18" i="41"/>
  <c r="AM18" i="41" s="1"/>
  <c r="AL16" i="41"/>
  <c r="AR39" i="41"/>
  <c r="AT39" i="41" s="1"/>
  <c r="AD22" i="41"/>
  <c r="AE22" i="41" s="1"/>
  <c r="AD28" i="41"/>
  <c r="AE28" i="41" s="1"/>
  <c r="P39" i="41"/>
  <c r="R39" i="41" s="1"/>
  <c r="W30" i="41"/>
  <c r="Y30" i="41" s="1"/>
  <c r="B65" i="1"/>
  <c r="AZ18" i="41" l="1"/>
  <c r="AE13" i="41"/>
  <c r="AS26" i="41"/>
  <c r="R20" i="41"/>
  <c r="AL19" i="41"/>
  <c r="BG15" i="41"/>
  <c r="AM28" i="41"/>
  <c r="AL33" i="41"/>
  <c r="X31" i="41"/>
  <c r="AS17" i="41"/>
  <c r="BG20" i="41"/>
  <c r="AF32" i="41"/>
  <c r="AS18" i="41"/>
  <c r="AE26" i="41"/>
  <c r="AL15" i="41"/>
  <c r="AF20" i="41"/>
  <c r="Q21" i="41"/>
  <c r="AE29" i="41"/>
  <c r="AL23" i="41"/>
  <c r="Y18" i="41"/>
  <c r="R25" i="41"/>
  <c r="Q14" i="41"/>
  <c r="AT35" i="41"/>
  <c r="AE14" i="41"/>
  <c r="BG23" i="41"/>
  <c r="X37" i="41"/>
  <c r="AL14" i="41"/>
  <c r="R36" i="41"/>
  <c r="X32" i="41"/>
  <c r="AT36" i="41"/>
  <c r="AE33" i="41"/>
  <c r="BG31" i="41"/>
  <c r="Y14" i="41"/>
  <c r="R38" i="41"/>
  <c r="AF22" i="41"/>
  <c r="Q19" i="41"/>
  <c r="BA29" i="41"/>
  <c r="AL27" i="41"/>
  <c r="AS31" i="41"/>
  <c r="BG28" i="41"/>
  <c r="AS28" i="41"/>
  <c r="BH30" i="41"/>
  <c r="Q18" i="41"/>
  <c r="Q24" i="41"/>
  <c r="BH27" i="41"/>
  <c r="AZ37" i="41"/>
  <c r="AT20" i="41"/>
  <c r="BG25" i="41"/>
  <c r="BG33" i="41"/>
  <c r="AM38" i="41"/>
  <c r="BA13" i="41"/>
  <c r="AF37" i="41"/>
  <c r="BG29" i="41"/>
  <c r="BH37" i="41"/>
  <c r="BJ42" i="41"/>
  <c r="AS27" i="41"/>
  <c r="BG17" i="41"/>
  <c r="Q39" i="41"/>
  <c r="AZ23" i="41"/>
  <c r="AM37" i="41"/>
  <c r="AZ31" i="41"/>
  <c r="R30" i="41"/>
  <c r="AT33" i="41"/>
  <c r="AS15" i="41"/>
  <c r="AF28" i="41"/>
  <c r="AS25" i="41"/>
  <c r="R35" i="41"/>
  <c r="BG36" i="41"/>
  <c r="AC20" i="19"/>
  <c r="U36" i="36"/>
  <c r="U35" i="36"/>
  <c r="U38" i="36"/>
  <c r="U37" i="36"/>
  <c r="BG21" i="41"/>
  <c r="W21" i="24"/>
  <c r="W24" i="24"/>
  <c r="W25" i="24"/>
  <c r="W22" i="24"/>
  <c r="W23" i="24"/>
  <c r="W11" i="24"/>
  <c r="AM31" i="41"/>
  <c r="BG18" i="41"/>
  <c r="AM13" i="41"/>
  <c r="Q34" i="41"/>
  <c r="BG32" i="41"/>
  <c r="BA39" i="41"/>
  <c r="Q32" i="41"/>
  <c r="Y22" i="41"/>
  <c r="BH22" i="41"/>
  <c r="AZ26" i="41"/>
  <c r="BG38" i="41"/>
  <c r="X26" i="41"/>
  <c r="AS19" i="41"/>
  <c r="AL25" i="41"/>
  <c r="AF23" i="41"/>
  <c r="AS39" i="41"/>
  <c r="AT37" i="41"/>
  <c r="AE17" i="41"/>
  <c r="X23" i="41"/>
  <c r="AF27" i="41"/>
  <c r="AZ17" i="41"/>
  <c r="Q17" i="41"/>
  <c r="BG16" i="41"/>
  <c r="X15" i="41"/>
  <c r="AT34" i="41"/>
  <c r="X21" i="41"/>
  <c r="BG13" i="41"/>
  <c r="AT14" i="41"/>
  <c r="B75" i="1"/>
  <c r="B61" i="1"/>
  <c r="AZ27" i="41"/>
  <c r="AZ19" i="41"/>
  <c r="C66" i="1"/>
  <c r="C84" i="1"/>
  <c r="AF15" i="41"/>
  <c r="Q28" i="41"/>
  <c r="AT30" i="41"/>
  <c r="X36" i="41"/>
  <c r="AE36" i="41"/>
  <c r="N43" i="41"/>
  <c r="AL6" i="15"/>
  <c r="N44" i="41"/>
  <c r="Q27" i="41"/>
  <c r="BH39" i="41"/>
  <c r="AT23" i="41"/>
  <c r="BG34" i="41"/>
  <c r="AL18" i="41"/>
  <c r="Y34" i="41"/>
  <c r="AL26" i="41"/>
  <c r="Q23" i="41"/>
  <c r="X30" i="41"/>
  <c r="R31" i="41"/>
  <c r="Q37" i="41"/>
  <c r="B67" i="41" l="1" a="1"/>
  <c r="D104" i="41" s="1"/>
  <c r="X25" i="24"/>
  <c r="X24" i="24"/>
  <c r="X11" i="24"/>
  <c r="X23" i="24"/>
  <c r="X21" i="24"/>
  <c r="X22" i="24"/>
  <c r="AI68" i="41"/>
  <c r="U68" i="41"/>
  <c r="AI74" i="41"/>
  <c r="AI69" i="41"/>
  <c r="AP77" i="41"/>
  <c r="AP79" i="41"/>
  <c r="AB76" i="41"/>
  <c r="AI78" i="41"/>
  <c r="N72" i="41"/>
  <c r="AW71" i="41"/>
  <c r="B66" i="1"/>
  <c r="B84" i="1"/>
  <c r="W52" i="24"/>
  <c r="W100" i="24"/>
  <c r="V37" i="36"/>
  <c r="AD20" i="19"/>
  <c r="V38" i="36"/>
  <c r="V35" i="36"/>
  <c r="V36" i="36"/>
  <c r="AB80" i="41" l="1"/>
  <c r="AI80" i="41"/>
  <c r="U71" i="41"/>
  <c r="AP92" i="41"/>
  <c r="AP70" i="41"/>
  <c r="AP68" i="41"/>
  <c r="AW91" i="41"/>
  <c r="AI93" i="41"/>
  <c r="N69" i="41"/>
  <c r="AP74" i="41"/>
  <c r="AP72" i="41"/>
  <c r="U69" i="41"/>
  <c r="AI75" i="41"/>
  <c r="N79" i="41"/>
  <c r="AB69" i="41"/>
  <c r="U75" i="41"/>
  <c r="AB70" i="41"/>
  <c r="AB67" i="41"/>
  <c r="N83" i="41"/>
  <c r="AI70" i="41"/>
  <c r="AW67" i="41"/>
  <c r="BD69" i="41"/>
  <c r="BD79" i="41"/>
  <c r="N68" i="41"/>
  <c r="AP71" i="41"/>
  <c r="U90" i="41"/>
  <c r="AB68" i="41"/>
  <c r="E105" i="41"/>
  <c r="AB89" i="41"/>
  <c r="BD86" i="41"/>
  <c r="AI96" i="41"/>
  <c r="AI86" i="41"/>
  <c r="U85" i="41"/>
  <c r="AI90" i="41"/>
  <c r="AP98" i="41"/>
  <c r="AW94" i="41"/>
  <c r="N87" i="41"/>
  <c r="AI77" i="41"/>
  <c r="AP81" i="41"/>
  <c r="U73" i="41"/>
  <c r="AI89" i="41"/>
  <c r="AB88" i="41"/>
  <c r="BD87" i="41"/>
  <c r="U100" i="41"/>
  <c r="AW93" i="41"/>
  <c r="N82" i="41"/>
  <c r="AP73" i="41"/>
  <c r="N91" i="41"/>
  <c r="AI67" i="41"/>
  <c r="AJ72" i="41" s="1"/>
  <c r="BD99" i="41"/>
  <c r="BD88" i="41"/>
  <c r="AP95" i="41"/>
  <c r="U88" i="41"/>
  <c r="N88" i="41"/>
  <c r="AB78" i="41"/>
  <c r="U84" i="41"/>
  <c r="AB87" i="41"/>
  <c r="U86" i="41"/>
  <c r="AW92" i="41"/>
  <c r="AW79" i="41"/>
  <c r="AW76" i="41"/>
  <c r="AB84" i="41"/>
  <c r="AB92" i="41"/>
  <c r="AB97" i="41"/>
  <c r="AP76" i="41"/>
  <c r="AW80" i="41"/>
  <c r="BD72" i="41"/>
  <c r="AI97" i="41"/>
  <c r="U77" i="41"/>
  <c r="U80" i="41"/>
  <c r="AB75" i="41"/>
  <c r="F105" i="41"/>
  <c r="U83" i="41"/>
  <c r="U93" i="41"/>
  <c r="AP87" i="41"/>
  <c r="AB73" i="41"/>
  <c r="BD85" i="41"/>
  <c r="N74" i="41"/>
  <c r="AW88" i="41"/>
  <c r="AB71" i="41"/>
  <c r="BD67" i="41"/>
  <c r="N95" i="41"/>
  <c r="BD76" i="41"/>
  <c r="AB99" i="41"/>
  <c r="AP80" i="41"/>
  <c r="AI82" i="41"/>
  <c r="BD89" i="41"/>
  <c r="AW84" i="41"/>
  <c r="AP84" i="41"/>
  <c r="BD78" i="41"/>
  <c r="AW70" i="41"/>
  <c r="N96" i="41"/>
  <c r="AB94" i="41"/>
  <c r="U72" i="41"/>
  <c r="AB81" i="41"/>
  <c r="BD75" i="41"/>
  <c r="N93" i="41"/>
  <c r="N89" i="41"/>
  <c r="AW75" i="41"/>
  <c r="AP85" i="41"/>
  <c r="AW89" i="41"/>
  <c r="AI100" i="41"/>
  <c r="AW98" i="41"/>
  <c r="AB95" i="41"/>
  <c r="AW85" i="41"/>
  <c r="BD80" i="41"/>
  <c r="N76" i="41"/>
  <c r="AW101" i="41"/>
  <c r="AB86" i="41"/>
  <c r="AP82" i="41"/>
  <c r="N78" i="41"/>
  <c r="AW72" i="41"/>
  <c r="AI81" i="41"/>
  <c r="N73" i="41"/>
  <c r="AB74" i="41"/>
  <c r="N99" i="41"/>
  <c r="AW73" i="41"/>
  <c r="BD91" i="41"/>
  <c r="AW82" i="41"/>
  <c r="BD92" i="41"/>
  <c r="U70" i="41"/>
  <c r="AI87" i="41"/>
  <c r="AI76" i="41"/>
  <c r="U79" i="41"/>
  <c r="AP100" i="41"/>
  <c r="E104" i="41"/>
  <c r="AB93" i="41"/>
  <c r="AB90" i="41"/>
  <c r="AW95" i="41"/>
  <c r="AI88" i="41"/>
  <c r="AB96" i="41"/>
  <c r="U94" i="41"/>
  <c r="C105" i="41"/>
  <c r="AW100" i="41"/>
  <c r="U81" i="41"/>
  <c r="BD82" i="41"/>
  <c r="U101" i="41"/>
  <c r="BD90" i="41"/>
  <c r="BD97" i="41"/>
  <c r="AI99" i="41"/>
  <c r="U91" i="41"/>
  <c r="AB91" i="41"/>
  <c r="AP101" i="41"/>
  <c r="BD101" i="41"/>
  <c r="N94" i="41"/>
  <c r="AW97" i="41"/>
  <c r="AB79" i="41"/>
  <c r="AI84" i="41"/>
  <c r="U95" i="41"/>
  <c r="Z96" i="41" s="1"/>
  <c r="N77" i="41"/>
  <c r="BD74" i="41"/>
  <c r="U82" i="41"/>
  <c r="V84" i="41" s="1"/>
  <c r="BD73" i="41"/>
  <c r="BI73" i="41" s="1"/>
  <c r="AW96" i="41"/>
  <c r="N75" i="41"/>
  <c r="N101" i="41"/>
  <c r="S105" i="41" s="1"/>
  <c r="AI85" i="41"/>
  <c r="AP78" i="41"/>
  <c r="N81" i="41"/>
  <c r="U96" i="41"/>
  <c r="AW68" i="41"/>
  <c r="G105" i="41"/>
  <c r="AI94" i="41"/>
  <c r="AW78" i="41"/>
  <c r="BB79" i="41" s="1"/>
  <c r="BD100" i="41"/>
  <c r="BI100" i="41" s="1"/>
  <c r="BD96" i="41"/>
  <c r="AW83" i="41"/>
  <c r="BB83" i="41" s="1"/>
  <c r="AB77" i="41"/>
  <c r="AC81" i="41" s="1"/>
  <c r="AP96" i="41"/>
  <c r="N70" i="41"/>
  <c r="AP89" i="41"/>
  <c r="BD95" i="41"/>
  <c r="U67" i="41"/>
  <c r="AP83" i="41"/>
  <c r="AQ85" i="41" s="1"/>
  <c r="N80" i="41"/>
  <c r="AP75" i="41"/>
  <c r="AQ76" i="41" s="1"/>
  <c r="AP88" i="41"/>
  <c r="AW86" i="41"/>
  <c r="D105" i="41"/>
  <c r="AB83" i="41"/>
  <c r="AG84" i="41" s="1"/>
  <c r="AP90" i="41"/>
  <c r="U97" i="41"/>
  <c r="AW99" i="41"/>
  <c r="BB99" i="41" s="1"/>
  <c r="H105" i="41"/>
  <c r="U76" i="41"/>
  <c r="G104" i="41"/>
  <c r="N84" i="41"/>
  <c r="AW74" i="41"/>
  <c r="AI83" i="41"/>
  <c r="AI92" i="41"/>
  <c r="AP93" i="41"/>
  <c r="BD94" i="41"/>
  <c r="BI95" i="41" s="1"/>
  <c r="AP99" i="41"/>
  <c r="AB100" i="41"/>
  <c r="AI71" i="41"/>
  <c r="AW90" i="41"/>
  <c r="AX91" i="41" s="1"/>
  <c r="U78" i="41"/>
  <c r="AW69" i="41"/>
  <c r="BD68" i="41"/>
  <c r="BD70" i="41"/>
  <c r="F104" i="41"/>
  <c r="N86" i="41"/>
  <c r="AP69" i="41"/>
  <c r="N97" i="41"/>
  <c r="AW81" i="41"/>
  <c r="U87" i="41"/>
  <c r="AI101" i="41"/>
  <c r="U98" i="41"/>
  <c r="Z98" i="41" s="1"/>
  <c r="AB82" i="41"/>
  <c r="AG82" i="41" s="1"/>
  <c r="U74" i="41"/>
  <c r="U89" i="41"/>
  <c r="H104" i="41"/>
  <c r="U92" i="41"/>
  <c r="AI79" i="41"/>
  <c r="AP91" i="41"/>
  <c r="AU92" i="41" s="1"/>
  <c r="N85" i="41"/>
  <c r="O87" i="41" s="1"/>
  <c r="AI73" i="41"/>
  <c r="AP67" i="41"/>
  <c r="AU68" i="41" s="1"/>
  <c r="U99" i="41"/>
  <c r="Z99" i="41" s="1"/>
  <c r="BD81" i="41"/>
  <c r="BE83" i="41" s="1"/>
  <c r="BD77" i="41"/>
  <c r="AB101" i="41"/>
  <c r="AG105" i="41" s="1"/>
  <c r="AW87" i="41"/>
  <c r="AI72" i="41"/>
  <c r="AJ74" i="41" s="1"/>
  <c r="AU99" i="41"/>
  <c r="AI98" i="41"/>
  <c r="AP94" i="41"/>
  <c r="AQ96" i="41" s="1"/>
  <c r="BD98" i="41"/>
  <c r="BI98" i="41" s="1"/>
  <c r="AP86" i="41"/>
  <c r="AU87" i="41" s="1"/>
  <c r="AI95" i="41"/>
  <c r="N92" i="41"/>
  <c r="BD83" i="41"/>
  <c r="AB72" i="41"/>
  <c r="C104" i="41"/>
  <c r="AI91" i="41"/>
  <c r="AJ92" i="41" s="1"/>
  <c r="BD93" i="41"/>
  <c r="BD84" i="41"/>
  <c r="BD71" i="41"/>
  <c r="AB98" i="41"/>
  <c r="AG99" i="41" s="1"/>
  <c r="AP97" i="41"/>
  <c r="B67" i="41"/>
  <c r="N98" i="41"/>
  <c r="N100" i="41"/>
  <c r="N90" i="41"/>
  <c r="AW77" i="41"/>
  <c r="AB85" i="41"/>
  <c r="N71" i="41"/>
  <c r="O73" i="41" s="1"/>
  <c r="AN83" i="41"/>
  <c r="S76" i="41"/>
  <c r="BI79" i="41"/>
  <c r="AG89" i="41"/>
  <c r="AC94" i="41"/>
  <c r="BE91" i="41"/>
  <c r="BI86" i="41"/>
  <c r="S78" i="41"/>
  <c r="O83" i="41"/>
  <c r="AU71" i="41"/>
  <c r="S82" i="41"/>
  <c r="AN94" i="41"/>
  <c r="Z75" i="41"/>
  <c r="BE101" i="41"/>
  <c r="AU96" i="41"/>
  <c r="S70" i="41"/>
  <c r="AU89" i="41"/>
  <c r="AQ94" i="41"/>
  <c r="AN87" i="41"/>
  <c r="AG93" i="41"/>
  <c r="AU88" i="41"/>
  <c r="AQ93" i="41"/>
  <c r="Z79" i="41"/>
  <c r="BE81" i="41"/>
  <c r="AJ80" i="41"/>
  <c r="AN75" i="41"/>
  <c r="AN89" i="41"/>
  <c r="AG88" i="41"/>
  <c r="AC93" i="41"/>
  <c r="AN96" i="41"/>
  <c r="AX77" i="41"/>
  <c r="S89" i="41"/>
  <c r="S95" i="41"/>
  <c r="S88" i="41"/>
  <c r="AJ79" i="41"/>
  <c r="AN74" i="41"/>
  <c r="BB73" i="41"/>
  <c r="AU80" i="41"/>
  <c r="AQ73" i="41"/>
  <c r="BB82" i="41"/>
  <c r="V85" i="41"/>
  <c r="AG75" i="41"/>
  <c r="V75" i="41"/>
  <c r="Z70" i="41"/>
  <c r="AU81" i="41"/>
  <c r="BI78" i="41"/>
  <c r="BI81" i="41"/>
  <c r="BI77" i="41"/>
  <c r="Z93" i="41"/>
  <c r="V98" i="41"/>
  <c r="S81" i="41"/>
  <c r="BB87" i="41"/>
  <c r="AX92" i="41"/>
  <c r="AQ74" i="41"/>
  <c r="AU69" i="41"/>
  <c r="BI70" i="41"/>
  <c r="BB86" i="41"/>
  <c r="AN88" i="41"/>
  <c r="AJ93" i="41"/>
  <c r="AC96" i="41"/>
  <c r="AG101" i="41"/>
  <c r="BB101" i="41"/>
  <c r="Z81" i="41"/>
  <c r="O91" i="41"/>
  <c r="S86" i="41"/>
  <c r="BB68" i="41"/>
  <c r="V102" i="41"/>
  <c r="AQ92" i="41"/>
  <c r="AN78" i="41"/>
  <c r="AJ83" i="41"/>
  <c r="AU79" i="41"/>
  <c r="AQ84" i="41"/>
  <c r="BB81" i="41"/>
  <c r="Z87" i="41"/>
  <c r="V92" i="41"/>
  <c r="Z92" i="41"/>
  <c r="AU91" i="41"/>
  <c r="AN71" i="41"/>
  <c r="BB100" i="41"/>
  <c r="AG94" i="41"/>
  <c r="BE90" i="41"/>
  <c r="BI85" i="41"/>
  <c r="AC102" i="41"/>
  <c r="AQ82" i="41"/>
  <c r="AU77" i="41"/>
  <c r="O78" i="41"/>
  <c r="S73" i="41"/>
  <c r="AQ90" i="41"/>
  <c r="AN90" i="41"/>
  <c r="V73" i="41"/>
  <c r="Z68" i="41"/>
  <c r="AN82" i="41"/>
  <c r="AU100" i="41"/>
  <c r="O92" i="41"/>
  <c r="S87" i="41"/>
  <c r="AX89" i="41"/>
  <c r="AN77" i="41"/>
  <c r="AJ82" i="41"/>
  <c r="AJ78" i="41"/>
  <c r="AC73" i="41"/>
  <c r="AG68" i="41"/>
  <c r="AU83" i="41"/>
  <c r="S101" i="41"/>
  <c r="BI90" i="41"/>
  <c r="BI97" i="41"/>
  <c r="AX100" i="41"/>
  <c r="BB95" i="41"/>
  <c r="AN98" i="41"/>
  <c r="Z91" i="41"/>
  <c r="AG92" i="41"/>
  <c r="AC97" i="41"/>
  <c r="AU72" i="41"/>
  <c r="AJ97" i="41"/>
  <c r="BI80" i="41"/>
  <c r="AG73" i="41"/>
  <c r="AC78" i="41"/>
  <c r="AN81" i="41"/>
  <c r="Z74" i="41"/>
  <c r="V79" i="41"/>
  <c r="AJ84" i="41"/>
  <c r="AN79" i="41"/>
  <c r="O90" i="41"/>
  <c r="O80" i="41"/>
  <c r="S75" i="41"/>
  <c r="W103" i="24"/>
  <c r="W108" i="24"/>
  <c r="W106" i="24"/>
  <c r="W105" i="24"/>
  <c r="W107" i="24"/>
  <c r="W104" i="24"/>
  <c r="BB71" i="41"/>
  <c r="AX76" i="41"/>
  <c r="Z72" i="41"/>
  <c r="V77" i="41"/>
  <c r="O79" i="41"/>
  <c r="S74" i="41"/>
  <c r="AG76" i="41"/>
  <c r="BI88" i="41"/>
  <c r="BE93" i="41"/>
  <c r="AN70" i="41"/>
  <c r="AG80" i="41"/>
  <c r="AC85" i="41"/>
  <c r="AN69" i="41"/>
  <c r="AX72" i="41"/>
  <c r="V95" i="41"/>
  <c r="Z90" i="41"/>
  <c r="Z84" i="41"/>
  <c r="V89" i="41"/>
  <c r="AN68" i="41"/>
  <c r="BI89" i="41"/>
  <c r="AQ78" i="41"/>
  <c r="AU73" i="41"/>
  <c r="BB85" i="41"/>
  <c r="AX90" i="41"/>
  <c r="O96" i="41"/>
  <c r="S91" i="41"/>
  <c r="AX95" i="41"/>
  <c r="V88" i="41"/>
  <c r="Z83" i="41"/>
  <c r="O85" i="41"/>
  <c r="S80" i="41"/>
  <c r="AJ90" i="41"/>
  <c r="AQ91" i="41"/>
  <c r="AU86" i="41"/>
  <c r="AJ100" i="41"/>
  <c r="AN95" i="41"/>
  <c r="S92" i="41"/>
  <c r="BE88" i="41"/>
  <c r="AN72" i="41"/>
  <c r="AG72" i="41"/>
  <c r="AC77" i="41"/>
  <c r="X100" i="24"/>
  <c r="X52" i="24"/>
  <c r="AC89" i="41"/>
  <c r="S79" i="41"/>
  <c r="O84" i="41"/>
  <c r="AQ95" i="41"/>
  <c r="AU90" i="41"/>
  <c r="AU74" i="41"/>
  <c r="AQ79" i="41"/>
  <c r="BE77" i="41"/>
  <c r="BI72" i="41"/>
  <c r="BB74" i="41"/>
  <c r="AQ98" i="41"/>
  <c r="AU93" i="41"/>
  <c r="AX101" i="41"/>
  <c r="BB96" i="41"/>
  <c r="AX84" i="41"/>
  <c r="AG90" i="41"/>
  <c r="AC95" i="41"/>
  <c r="S97" i="41"/>
  <c r="O102" i="41"/>
  <c r="AC74" i="41"/>
  <c r="AG69" i="41"/>
  <c r="AN101" i="41"/>
  <c r="AN105" i="41"/>
  <c r="V94" i="41"/>
  <c r="Z89" i="41"/>
  <c r="BB76" i="41"/>
  <c r="AX81" i="41"/>
  <c r="W59" i="24"/>
  <c r="W54" i="24"/>
  <c r="BI53" i="24" s="1"/>
  <c r="W58" i="24"/>
  <c r="BI57" i="24" s="1"/>
  <c r="W56" i="24"/>
  <c r="BI55" i="24" s="1"/>
  <c r="W55" i="24"/>
  <c r="BI54" i="24" s="1"/>
  <c r="W57" i="24"/>
  <c r="BI56" i="24" s="1"/>
  <c r="AG86" i="41"/>
  <c r="AC91" i="41"/>
  <c r="V76" i="41"/>
  <c r="Z71" i="41"/>
  <c r="O74" i="41"/>
  <c r="S69" i="41"/>
  <c r="AC86" i="41"/>
  <c r="AG81" i="41"/>
  <c r="AX93" i="41"/>
  <c r="BB88" i="41"/>
  <c r="AU76" i="41"/>
  <c r="AQ81" i="41"/>
  <c r="AQ100" i="41"/>
  <c r="AU95" i="41"/>
  <c r="BB93" i="41"/>
  <c r="AX98" i="41"/>
  <c r="AC79" i="41"/>
  <c r="AG74" i="41"/>
  <c r="BB89" i="41"/>
  <c r="AX94" i="41"/>
  <c r="AG78" i="41"/>
  <c r="AC83" i="41"/>
  <c r="BI91" i="41"/>
  <c r="BE96" i="41"/>
  <c r="Z105" i="41"/>
  <c r="Z101" i="41"/>
  <c r="AJ98" i="41"/>
  <c r="AN93" i="41"/>
  <c r="AG87" i="41"/>
  <c r="AC92" i="41"/>
  <c r="AD96" i="41" s="1"/>
  <c r="AE96" i="41" s="1"/>
  <c r="AG95" i="41"/>
  <c r="AC100" i="41"/>
  <c r="Z86" i="41"/>
  <c r="V91" i="41"/>
  <c r="AC75" i="41"/>
  <c r="AG70" i="41"/>
  <c r="BB92" i="41"/>
  <c r="AX97" i="41"/>
  <c r="AQ89" i="41"/>
  <c r="AU84" i="41"/>
  <c r="BE74" i="41"/>
  <c r="BJ74" i="41" s="1"/>
  <c r="BI69" i="41"/>
  <c r="AQ72" i="41"/>
  <c r="AJ96" i="41"/>
  <c r="AN91" i="41"/>
  <c r="AU75" i="41"/>
  <c r="AQ80" i="41"/>
  <c r="AU78" i="41"/>
  <c r="AQ83" i="41"/>
  <c r="BB70" i="41"/>
  <c r="AX75" i="41"/>
  <c r="BI93" i="41"/>
  <c r="BE98" i="41"/>
  <c r="BE89" i="41"/>
  <c r="BF93" i="41" s="1"/>
  <c r="BG93" i="41" s="1"/>
  <c r="BI84" i="41"/>
  <c r="BE76" i="41"/>
  <c r="BI71" i="41"/>
  <c r="AG98" i="41"/>
  <c r="X26" i="24"/>
  <c r="S72" i="41"/>
  <c r="O77" i="41"/>
  <c r="O89" i="41"/>
  <c r="S84" i="41"/>
  <c r="BE92" i="41"/>
  <c r="BI87" i="41"/>
  <c r="AN80" i="41"/>
  <c r="AJ85" i="41"/>
  <c r="AU105" i="41"/>
  <c r="AU101" i="41"/>
  <c r="AU82" i="41"/>
  <c r="AQ87" i="41"/>
  <c r="S83" i="41"/>
  <c r="O88" i="41"/>
  <c r="BE80" i="41"/>
  <c r="BI75" i="41"/>
  <c r="AC76" i="41"/>
  <c r="AG71" i="41"/>
  <c r="AX85" i="41"/>
  <c r="BB80" i="41"/>
  <c r="Z88" i="41"/>
  <c r="V93" i="41"/>
  <c r="AQ75" i="41"/>
  <c r="AU70" i="41"/>
  <c r="V90" i="41"/>
  <c r="Z85" i="41"/>
  <c r="BI105" i="41"/>
  <c r="BI101" i="41"/>
  <c r="O99" i="41"/>
  <c r="S94" i="41"/>
  <c r="AX102" i="41"/>
  <c r="BB97" i="41"/>
  <c r="AC84" i="41"/>
  <c r="AG79" i="41"/>
  <c r="AJ89" i="41"/>
  <c r="AN84" i="41"/>
  <c r="V100" i="41"/>
  <c r="Z95" i="41"/>
  <c r="Z69" i="41"/>
  <c r="V74" i="41"/>
  <c r="S77" i="41"/>
  <c r="O82" i="41"/>
  <c r="BI74" i="41"/>
  <c r="BE79" i="41"/>
  <c r="V87" i="41"/>
  <c r="Z82" i="41"/>
  <c r="AU97" i="41"/>
  <c r="AQ102" i="41"/>
  <c r="N67" i="41"/>
  <c r="O72" i="41" s="1"/>
  <c r="B104" i="41"/>
  <c r="B105" i="41"/>
  <c r="S98" i="41"/>
  <c r="Z78" i="41"/>
  <c r="V83" i="41"/>
  <c r="AJ81" i="41"/>
  <c r="AN76" i="41"/>
  <c r="Z73" i="41"/>
  <c r="V78" i="41"/>
  <c r="S100" i="41"/>
  <c r="S90" i="41"/>
  <c r="O95" i="41"/>
  <c r="BB77" i="41"/>
  <c r="AX82" i="41"/>
  <c r="AG85" i="41"/>
  <c r="AC90" i="41"/>
  <c r="S71" i="41"/>
  <c r="O76" i="41"/>
  <c r="O94" i="41" l="1"/>
  <c r="P105" i="41" s="1" a="1"/>
  <c r="P105" i="41" s="1"/>
  <c r="AM41" i="15" s="1"/>
  <c r="V101" i="41"/>
  <c r="BE102" i="41"/>
  <c r="BI83" i="41"/>
  <c r="AG91" i="41"/>
  <c r="BI92" i="41"/>
  <c r="AX73" i="41"/>
  <c r="AC98" i="41"/>
  <c r="BI76" i="41"/>
  <c r="AX86" i="41"/>
  <c r="AC72" i="41"/>
  <c r="AC101" i="41"/>
  <c r="AJ91" i="41"/>
  <c r="AK95" i="41" s="1"/>
  <c r="AQ99" i="41"/>
  <c r="AC99" i="41"/>
  <c r="AY94" i="41"/>
  <c r="AZ94" i="41" s="1"/>
  <c r="AX79" i="41"/>
  <c r="BI96" i="41"/>
  <c r="AJ86" i="41"/>
  <c r="AN100" i="41"/>
  <c r="V96" i="41"/>
  <c r="V82" i="41"/>
  <c r="BB105" i="41"/>
  <c r="AQ88" i="41"/>
  <c r="O98" i="41"/>
  <c r="AJ102" i="41"/>
  <c r="BB94" i="41"/>
  <c r="AJ95" i="41"/>
  <c r="BE99" i="41"/>
  <c r="BF102" i="41" s="1"/>
  <c r="BB98" i="41"/>
  <c r="BB69" i="41"/>
  <c r="AJ87" i="41"/>
  <c r="AU85" i="41"/>
  <c r="S96" i="41"/>
  <c r="V97" i="41"/>
  <c r="AQ86" i="41"/>
  <c r="Z80" i="41"/>
  <c r="BB72" i="41"/>
  <c r="BI94" i="41"/>
  <c r="O100" i="41"/>
  <c r="AN99" i="41"/>
  <c r="Z100" i="41"/>
  <c r="AR96" i="41"/>
  <c r="AS96" i="41" s="1"/>
  <c r="AJ75" i="41"/>
  <c r="BE85" i="41"/>
  <c r="AC88" i="41"/>
  <c r="BB84" i="41"/>
  <c r="BB75" i="41"/>
  <c r="O101" i="41"/>
  <c r="BB91" i="41"/>
  <c r="BE100" i="41"/>
  <c r="AJ101" i="41"/>
  <c r="AX83" i="41"/>
  <c r="AJ88" i="41"/>
  <c r="AG100" i="41"/>
  <c r="AR93" i="41"/>
  <c r="AS93" i="41" s="1"/>
  <c r="AD98" i="41"/>
  <c r="AE98" i="41" s="1"/>
  <c r="AJ77" i="41"/>
  <c r="BB90" i="41"/>
  <c r="AG83" i="41"/>
  <c r="AX80" i="41"/>
  <c r="AG97" i="41"/>
  <c r="V86" i="41"/>
  <c r="AX96" i="41"/>
  <c r="AY97" i="41" s="1"/>
  <c r="BI82" i="41"/>
  <c r="BE82" i="41"/>
  <c r="BF83" i="41" s="1"/>
  <c r="AX87" i="41"/>
  <c r="AX74" i="41"/>
  <c r="V80" i="41"/>
  <c r="AN85" i="41"/>
  <c r="V99" i="41"/>
  <c r="W101" i="41" s="1"/>
  <c r="BE94" i="41"/>
  <c r="BF97" i="41" s="1"/>
  <c r="AN92" i="41"/>
  <c r="AU94" i="41"/>
  <c r="AJ76" i="41"/>
  <c r="Z97" i="41"/>
  <c r="BE86" i="41"/>
  <c r="AC80" i="41"/>
  <c r="AG96" i="41"/>
  <c r="AC82" i="41"/>
  <c r="AD86" i="41" s="1"/>
  <c r="AC87" i="41"/>
  <c r="AD90" i="41" s="1"/>
  <c r="AE90" i="41" s="1"/>
  <c r="BE73" i="41"/>
  <c r="BJ73" i="41" s="1"/>
  <c r="AJ99" i="41"/>
  <c r="BE72" i="41"/>
  <c r="BJ72" i="41" s="1"/>
  <c r="Z94" i="41"/>
  <c r="BE95" i="41"/>
  <c r="AN73" i="41"/>
  <c r="AX99" i="41"/>
  <c r="AY99" i="41" s="1"/>
  <c r="AN97" i="41"/>
  <c r="AN86" i="41"/>
  <c r="O86" i="41"/>
  <c r="S93" i="41"/>
  <c r="AG77" i="41"/>
  <c r="AX78" i="41"/>
  <c r="O81" i="41"/>
  <c r="P82" i="41" s="1"/>
  <c r="Q82" i="41" s="1"/>
  <c r="O97" i="41"/>
  <c r="P98" i="41" s="1"/>
  <c r="AJ73" i="41"/>
  <c r="S85" i="41"/>
  <c r="AQ77" i="41"/>
  <c r="AJ94" i="41"/>
  <c r="AK94" i="41" s="1"/>
  <c r="BE97" i="41"/>
  <c r="V72" i="41"/>
  <c r="W89" i="41"/>
  <c r="Y89" i="41" s="1"/>
  <c r="Z107" i="41"/>
  <c r="P88" i="41"/>
  <c r="R88" i="41" s="1"/>
  <c r="AD95" i="41"/>
  <c r="AF95" i="41" s="1"/>
  <c r="AK89" i="41"/>
  <c r="AL89" i="41" s="1"/>
  <c r="AK88" i="41"/>
  <c r="AL88" i="41" s="1"/>
  <c r="O93" i="41"/>
  <c r="BB78" i="41"/>
  <c r="AY80" i="41"/>
  <c r="BA80" i="41" s="1"/>
  <c r="BE75" i="41"/>
  <c r="BJ75" i="41" s="1"/>
  <c r="V81" i="41"/>
  <c r="W85" i="41" s="1"/>
  <c r="S99" i="41"/>
  <c r="AQ97" i="41"/>
  <c r="AR97" i="41" s="1"/>
  <c r="W78" i="41"/>
  <c r="Y78" i="41" s="1"/>
  <c r="BI68" i="41"/>
  <c r="BE78" i="41"/>
  <c r="AX88" i="41"/>
  <c r="AX105" i="41" s="1"/>
  <c r="Z77" i="41"/>
  <c r="Z76" i="41"/>
  <c r="AQ101" i="41"/>
  <c r="AY86" i="41"/>
  <c r="AZ86" i="41" s="1"/>
  <c r="AK85" i="41"/>
  <c r="AM85" i="41" s="1"/>
  <c r="O75" i="41"/>
  <c r="BE84" i="41"/>
  <c r="BF84" i="41" s="1"/>
  <c r="AQ105" i="41"/>
  <c r="AK101" i="41"/>
  <c r="AM101" i="41" s="1"/>
  <c r="AK83" i="41"/>
  <c r="AM83" i="41" s="1"/>
  <c r="P89" i="41"/>
  <c r="R89" i="41" s="1"/>
  <c r="AK78" i="41"/>
  <c r="AL78" i="41" s="1"/>
  <c r="BF79" i="41"/>
  <c r="BH79" i="41" s="1"/>
  <c r="AR87" i="41"/>
  <c r="AT87" i="41" s="1"/>
  <c r="P90" i="41"/>
  <c r="Q90" i="41" s="1"/>
  <c r="W93" i="41"/>
  <c r="Y93" i="41" s="1"/>
  <c r="AY95" i="41"/>
  <c r="AZ95" i="41" s="1"/>
  <c r="AR83" i="41"/>
  <c r="AT83" i="41" s="1"/>
  <c r="AY93" i="41"/>
  <c r="AZ93" i="41" s="1"/>
  <c r="AK90" i="41"/>
  <c r="AM90" i="41" s="1"/>
  <c r="AK79" i="41"/>
  <c r="AL79" i="41" s="1"/>
  <c r="P94" i="41"/>
  <c r="Q94" i="41" s="1"/>
  <c r="AR94" i="41"/>
  <c r="AT94" i="41" s="1"/>
  <c r="BF100" i="41"/>
  <c r="BH100" i="41" s="1"/>
  <c r="BF81" i="41"/>
  <c r="BG81" i="41" s="1"/>
  <c r="AD100" i="41"/>
  <c r="AE100" i="41" s="1"/>
  <c r="AU98" i="41"/>
  <c r="AU106" i="41" s="1"/>
  <c r="AL45" i="15" s="1"/>
  <c r="P76" i="41"/>
  <c r="S68" i="41"/>
  <c r="AY77" i="41"/>
  <c r="BA77" i="41" s="1"/>
  <c r="BE87" i="41"/>
  <c r="BE105" i="41" s="1"/>
  <c r="BI99" i="41"/>
  <c r="BI106" i="41" s="1"/>
  <c r="AL47" i="15" s="1"/>
  <c r="AR88" i="41"/>
  <c r="AT88" i="41" s="1"/>
  <c r="AR79" i="41"/>
  <c r="AS79" i="41" s="1"/>
  <c r="P95" i="41"/>
  <c r="R95" i="41" s="1"/>
  <c r="BF76" i="41"/>
  <c r="BH76" i="41" s="1"/>
  <c r="P84" i="41"/>
  <c r="Q84" i="41" s="1"/>
  <c r="AD77" i="41"/>
  <c r="AF77" i="41" s="1"/>
  <c r="Z106" i="41"/>
  <c r="AL42" i="15" s="1"/>
  <c r="AG106" i="41"/>
  <c r="AL43" i="15" s="1"/>
  <c r="AK82" i="41"/>
  <c r="AM82" i="41" s="1"/>
  <c r="BJ90" i="41"/>
  <c r="AG107" i="41"/>
  <c r="P86" i="41"/>
  <c r="Q86" i="41" s="1"/>
  <c r="BF86" i="41"/>
  <c r="BH86" i="41" s="1"/>
  <c r="BJ82" i="41"/>
  <c r="AY76" i="41"/>
  <c r="BA76" i="41" s="1"/>
  <c r="BF78" i="41"/>
  <c r="BH78" i="41" s="1"/>
  <c r="BB106" i="41"/>
  <c r="AL46" i="15" s="1"/>
  <c r="BJ99" i="41"/>
  <c r="Q76" i="41"/>
  <c r="R76" i="41"/>
  <c r="W83" i="41"/>
  <c r="Y83" i="41" s="1"/>
  <c r="AK93" i="41"/>
  <c r="AM93" i="41" s="1"/>
  <c r="AM89" i="41"/>
  <c r="W97" i="41"/>
  <c r="Y97" i="41" s="1"/>
  <c r="X93" i="41"/>
  <c r="BF80" i="41"/>
  <c r="BH80" i="41" s="1"/>
  <c r="BJ80" i="41"/>
  <c r="P92" i="41"/>
  <c r="R92" i="41" s="1"/>
  <c r="Q89" i="41"/>
  <c r="AK102" i="41"/>
  <c r="AM102" i="41" s="1"/>
  <c r="AY96" i="41"/>
  <c r="BA96" i="41" s="1"/>
  <c r="BA93" i="41"/>
  <c r="AD99" i="41"/>
  <c r="AF99" i="41" s="1"/>
  <c r="AE95" i="41"/>
  <c r="R84" i="41"/>
  <c r="BF92" i="41"/>
  <c r="BH92" i="41" s="1"/>
  <c r="BJ88" i="41"/>
  <c r="P96" i="41"/>
  <c r="Q96" i="41" s="1"/>
  <c r="P83" i="41"/>
  <c r="R83" i="41" s="1"/>
  <c r="BF85" i="41"/>
  <c r="BG85" i="41" s="1"/>
  <c r="AK105" i="41" a="1"/>
  <c r="AK105" i="41" s="1"/>
  <c r="AM44" i="15" s="1"/>
  <c r="AL82" i="41"/>
  <c r="AR105" i="41" a="1"/>
  <c r="AR105" i="41" s="1"/>
  <c r="AM45" i="15" s="1"/>
  <c r="W92" i="41"/>
  <c r="Y92" i="41" s="1"/>
  <c r="AR78" i="41"/>
  <c r="AS78" i="41" s="1"/>
  <c r="BJ97" i="41"/>
  <c r="AR77" i="41"/>
  <c r="AS77" i="41" s="1"/>
  <c r="BJ78" i="41"/>
  <c r="AR102" i="41"/>
  <c r="AS102" i="41" s="1"/>
  <c r="BF101" i="41"/>
  <c r="BH101" i="41" s="1"/>
  <c r="W86" i="41"/>
  <c r="X86" i="41" s="1"/>
  <c r="W105" i="41" a="1"/>
  <c r="W105" i="41" s="1"/>
  <c r="AM42" i="15" s="1"/>
  <c r="P87" i="41"/>
  <c r="R87" i="41" s="1"/>
  <c r="AE99" i="41"/>
  <c r="AL83" i="41"/>
  <c r="AM79" i="41"/>
  <c r="Q88" i="41"/>
  <c r="AK96" i="41"/>
  <c r="AM96" i="41" s="1"/>
  <c r="AY101" i="41"/>
  <c r="AY98" i="41"/>
  <c r="BA98" i="41" s="1"/>
  <c r="BA94" i="41"/>
  <c r="AD94" i="41"/>
  <c r="AE94" i="41" s="1"/>
  <c r="AY81" i="41"/>
  <c r="BA81" i="41" s="1"/>
  <c r="AY84" i="41"/>
  <c r="BA84" i="41" s="1"/>
  <c r="AR82" i="41"/>
  <c r="AS82" i="41" s="1"/>
  <c r="AT79" i="41"/>
  <c r="AD93" i="41"/>
  <c r="AE93" i="41" s="1"/>
  <c r="AJ105" i="41"/>
  <c r="BJ93" i="41"/>
  <c r="BH93" i="41"/>
  <c r="U105" i="41"/>
  <c r="AK86" i="41"/>
  <c r="AM86" i="41" s="1"/>
  <c r="AD97" i="41"/>
  <c r="AF97" i="41" s="1"/>
  <c r="N105" i="41"/>
  <c r="BI107" i="41"/>
  <c r="W98" i="41"/>
  <c r="Y98" i="41" s="1"/>
  <c r="BJ100" i="41"/>
  <c r="BG100" i="41"/>
  <c r="P93" i="41"/>
  <c r="Q93" i="41" s="1"/>
  <c r="AK80" i="41"/>
  <c r="AM80" i="41" s="1"/>
  <c r="AT93" i="41"/>
  <c r="AF98" i="41"/>
  <c r="AS94" i="41"/>
  <c r="BJ101" i="41"/>
  <c r="BG101" i="41"/>
  <c r="W80" i="41"/>
  <c r="X80" i="41" s="1"/>
  <c r="P91" i="41"/>
  <c r="R91" i="41" s="1"/>
  <c r="Q87" i="41"/>
  <c r="Q83" i="41"/>
  <c r="AM88" i="41"/>
  <c r="P77" i="41"/>
  <c r="Q77" i="41" s="1"/>
  <c r="S106" i="41"/>
  <c r="AR81" i="41"/>
  <c r="AS81" i="41" s="1"/>
  <c r="AK77" i="41"/>
  <c r="AM77" i="41" s="1"/>
  <c r="AK100" i="41"/>
  <c r="AM100" i="41" s="1"/>
  <c r="AL90" i="41"/>
  <c r="BA95" i="41"/>
  <c r="R90" i="41"/>
  <c r="AK97" i="41"/>
  <c r="AM97" i="41" s="1"/>
  <c r="AN107" i="41"/>
  <c r="P81" i="41"/>
  <c r="R81" i="41" s="1"/>
  <c r="AD102" i="41"/>
  <c r="AE102" i="41" s="1"/>
  <c r="AR99" i="41"/>
  <c r="AT99" i="41" s="1"/>
  <c r="AT96" i="41"/>
  <c r="AR92" i="41"/>
  <c r="AT92" i="41" s="1"/>
  <c r="Q91" i="41"/>
  <c r="AF96" i="41"/>
  <c r="BJ87" i="41"/>
  <c r="W102" i="41"/>
  <c r="Y102" i="41" s="1"/>
  <c r="X98" i="41"/>
  <c r="BJ83" i="41"/>
  <c r="W88" i="41"/>
  <c r="Y88" i="41" s="1"/>
  <c r="AR85" i="41"/>
  <c r="AS85" i="41" s="1"/>
  <c r="AL101" i="41"/>
  <c r="AD101" i="41"/>
  <c r="AF101" i="41" s="1"/>
  <c r="AD105" i="41" a="1"/>
  <c r="AD105" i="41" s="1"/>
  <c r="AM43" i="15" s="1"/>
  <c r="AR76" i="41"/>
  <c r="AS76" i="41" s="1"/>
  <c r="BJ84" i="41"/>
  <c r="AN106" i="41"/>
  <c r="AL44" i="15" s="1"/>
  <c r="BH58" i="24"/>
  <c r="W62" i="24"/>
  <c r="BF90" i="41"/>
  <c r="BH90" i="41" s="1"/>
  <c r="BJ86" i="41"/>
  <c r="BG86" i="41"/>
  <c r="R94" i="41"/>
  <c r="AF90" i="41"/>
  <c r="R77" i="41"/>
  <c r="AY82" i="41"/>
  <c r="BA82" i="41" s="1"/>
  <c r="AD76" i="41"/>
  <c r="AF76" i="41" s="1"/>
  <c r="BJ89" i="41"/>
  <c r="BJ96" i="41"/>
  <c r="AT81" i="41"/>
  <c r="P102" i="41"/>
  <c r="R102" i="41" s="1"/>
  <c r="AZ84" i="41"/>
  <c r="AR95" i="41"/>
  <c r="AS95" i="41" s="1"/>
  <c r="X56" i="24"/>
  <c r="BJ55" i="24" s="1"/>
  <c r="X54" i="24"/>
  <c r="BJ53" i="24" s="1"/>
  <c r="X59" i="24"/>
  <c r="X58" i="24"/>
  <c r="BJ57" i="24" s="1"/>
  <c r="X55" i="24"/>
  <c r="BJ54" i="24" s="1"/>
  <c r="X57" i="24"/>
  <c r="BJ56" i="24" s="1"/>
  <c r="P85" i="41"/>
  <c r="R85" i="41" s="1"/>
  <c r="W99" i="41"/>
  <c r="Y99" i="41" s="1"/>
  <c r="X89" i="41"/>
  <c r="AD85" i="41"/>
  <c r="AF85" i="41" s="1"/>
  <c r="AR90" i="41"/>
  <c r="AS90" i="41" s="1"/>
  <c r="AK91" i="41"/>
  <c r="AL91" i="41" s="1"/>
  <c r="AY92" i="41"/>
  <c r="BA92" i="41" s="1"/>
  <c r="W79" i="41"/>
  <c r="X79" i="41" s="1"/>
  <c r="AY78" i="41"/>
  <c r="BA78" i="41" s="1"/>
  <c r="P97" i="41"/>
  <c r="R97" i="41" s="1"/>
  <c r="AL80" i="41"/>
  <c r="AK92" i="41"/>
  <c r="AL92" i="41" s="1"/>
  <c r="AY83" i="41"/>
  <c r="AZ83" i="41" s="1"/>
  <c r="BF91" i="41"/>
  <c r="BG91" i="41" s="1"/>
  <c r="Q81" i="41"/>
  <c r="W81" i="41"/>
  <c r="Y81" i="41" s="1"/>
  <c r="W87" i="41"/>
  <c r="Y87" i="41" s="1"/>
  <c r="X83" i="41"/>
  <c r="W77" i="41"/>
  <c r="Y77" i="41" s="1"/>
  <c r="BJ85" i="41"/>
  <c r="BH85" i="41"/>
  <c r="BF87" i="41"/>
  <c r="BG87" i="41" s="1"/>
  <c r="S107" i="41"/>
  <c r="W91" i="41"/>
  <c r="Y91" i="41" s="1"/>
  <c r="AK87" i="41"/>
  <c r="AL87" i="41" s="1"/>
  <c r="AL85" i="41"/>
  <c r="X78" i="41"/>
  <c r="BJ79" i="41"/>
  <c r="BG79" i="41"/>
  <c r="AD87" i="41"/>
  <c r="AE87" i="41" s="1"/>
  <c r="AS83" i="41"/>
  <c r="AY85" i="41"/>
  <c r="AZ85" i="41" s="1"/>
  <c r="AZ82" i="41"/>
  <c r="AY105" i="41" a="1"/>
  <c r="AY105" i="41" s="1"/>
  <c r="AM46" i="15" s="1"/>
  <c r="AK81" i="41"/>
  <c r="AM81" i="41" s="1"/>
  <c r="AS87" i="41"/>
  <c r="BJ92" i="41"/>
  <c r="BG92" i="41"/>
  <c r="BJ98" i="41"/>
  <c r="AR80" i="41"/>
  <c r="AS80" i="41" s="1"/>
  <c r="AD79" i="41"/>
  <c r="AE79" i="41" s="1"/>
  <c r="AD92" i="41"/>
  <c r="AE92" i="41" s="1"/>
  <c r="W94" i="41"/>
  <c r="Y94" i="41" s="1"/>
  <c r="Q102" i="41"/>
  <c r="BF77" i="41"/>
  <c r="BG77" i="41" s="1"/>
  <c r="X108" i="24"/>
  <c r="X104" i="24"/>
  <c r="X106" i="24"/>
  <c r="X107" i="24"/>
  <c r="X103" i="24"/>
  <c r="X105" i="24"/>
  <c r="AL100" i="41"/>
  <c r="AT78" i="41"/>
  <c r="AE85" i="41"/>
  <c r="AZ76" i="41"/>
  <c r="W109" i="24"/>
  <c r="AD78" i="41"/>
  <c r="AF78" i="41" s="1"/>
  <c r="AD89" i="41"/>
  <c r="AE89" i="41" s="1"/>
  <c r="AY100" i="41"/>
  <c r="BA100" i="41" s="1"/>
  <c r="BJ95" i="41"/>
  <c r="AM78" i="41"/>
  <c r="AT90" i="41"/>
  <c r="BA86" i="41"/>
  <c r="W90" i="41"/>
  <c r="Y90" i="41" s="1"/>
  <c r="Y86" i="41"/>
  <c r="AZ92" i="41"/>
  <c r="BF82" i="41"/>
  <c r="BG82" i="41" s="1"/>
  <c r="AR86" i="41"/>
  <c r="AS86" i="41" s="1"/>
  <c r="AD80" i="41"/>
  <c r="AE80" i="41" s="1"/>
  <c r="AY87" i="41"/>
  <c r="BA87" i="41" s="1"/>
  <c r="P100" i="41"/>
  <c r="Q100" i="41" s="1"/>
  <c r="AF93" i="41"/>
  <c r="BJ81" i="41"/>
  <c r="BH81" i="41"/>
  <c r="AE101" i="41"/>
  <c r="AY88" i="41"/>
  <c r="AZ88" i="41" s="1"/>
  <c r="AK99" i="41"/>
  <c r="AM99" i="41" s="1"/>
  <c r="AT76" i="41"/>
  <c r="BJ76" i="41"/>
  <c r="BG76" i="41"/>
  <c r="AF100" i="41"/>
  <c r="BJ77" i="41"/>
  <c r="Q97" i="41"/>
  <c r="W96" i="41"/>
  <c r="Y96" i="41" s="1"/>
  <c r="X92" i="41"/>
  <c r="P99" i="41"/>
  <c r="Q99" i="41" s="1"/>
  <c r="AE76" i="41"/>
  <c r="AU107" i="41"/>
  <c r="AR84" i="41"/>
  <c r="AT84" i="41" s="1"/>
  <c r="AR89" i="41"/>
  <c r="AT89" i="41" s="1"/>
  <c r="AK98" i="41"/>
  <c r="AL98" i="41" s="1"/>
  <c r="AD83" i="41"/>
  <c r="AF83" i="41" s="1"/>
  <c r="AY102" i="41"/>
  <c r="AZ102" i="41" s="1"/>
  <c r="AZ98" i="41"/>
  <c r="W76" i="41"/>
  <c r="X76" i="41" s="1"/>
  <c r="AZ101" i="41"/>
  <c r="BA101" i="41"/>
  <c r="BD105" i="41"/>
  <c r="AT95" i="41"/>
  <c r="BF88" i="41"/>
  <c r="BH88" i="41" s="1"/>
  <c r="AR91" i="41"/>
  <c r="AS91" i="41" s="1"/>
  <c r="Q85" i="41"/>
  <c r="BF94" i="41"/>
  <c r="BG94" i="41" s="1"/>
  <c r="W95" i="41"/>
  <c r="X95" i="41" s="1"/>
  <c r="P79" i="41"/>
  <c r="Q79" i="41" s="1"/>
  <c r="P80" i="41"/>
  <c r="Q80" i="41" s="1"/>
  <c r="AK84" i="41"/>
  <c r="AL84" i="41" s="1"/>
  <c r="AD81" i="41"/>
  <c r="AF81" i="41" s="1"/>
  <c r="AE78" i="41"/>
  <c r="AD88" i="41"/>
  <c r="AF88" i="41" s="1"/>
  <c r="Q92" i="41"/>
  <c r="V105" i="41"/>
  <c r="AM91" i="41"/>
  <c r="AK76" i="41"/>
  <c r="AL76" i="41" s="1"/>
  <c r="AS84" i="41"/>
  <c r="AZ96" i="41"/>
  <c r="BB107" i="41"/>
  <c r="AW105" i="41"/>
  <c r="P78" i="41"/>
  <c r="R78" i="41" s="1"/>
  <c r="BJ91" i="41"/>
  <c r="BH91" i="41"/>
  <c r="BF99" i="41"/>
  <c r="BG99" i="41" s="1"/>
  <c r="BA99" i="41" l="1"/>
  <c r="AZ99" i="41"/>
  <c r="AM95" i="41"/>
  <c r="AL95" i="41"/>
  <c r="BH102" i="41"/>
  <c r="BG102" i="41"/>
  <c r="AT97" i="41"/>
  <c r="AS97" i="41"/>
  <c r="X91" i="41"/>
  <c r="AM92" i="41"/>
  <c r="O105" i="41"/>
  <c r="AY79" i="41"/>
  <c r="R86" i="41"/>
  <c r="AR101" i="41"/>
  <c r="AR98" i="41"/>
  <c r="AR100" i="41"/>
  <c r="R93" i="41"/>
  <c r="AE97" i="41"/>
  <c r="AP105" i="41"/>
  <c r="P101" i="41"/>
  <c r="AB105" i="41"/>
  <c r="AC105" i="41"/>
  <c r="W100" i="41"/>
  <c r="Y100" i="41" s="1"/>
  <c r="AZ80" i="41"/>
  <c r="BJ94" i="41"/>
  <c r="AD82" i="41"/>
  <c r="AI105" i="41"/>
  <c r="BA79" i="41"/>
  <c r="AZ79" i="41"/>
  <c r="X101" i="41"/>
  <c r="Y101" i="41"/>
  <c r="AM94" i="41"/>
  <c r="AL94" i="41"/>
  <c r="AZ97" i="41"/>
  <c r="BA97" i="41"/>
  <c r="X100" i="41"/>
  <c r="BG83" i="41"/>
  <c r="BH83" i="41"/>
  <c r="R98" i="41"/>
  <c r="Q98" i="41"/>
  <c r="AE86" i="41"/>
  <c r="AF86" i="41"/>
  <c r="BG97" i="41"/>
  <c r="BH97" i="41"/>
  <c r="AL93" i="41"/>
  <c r="BF98" i="41"/>
  <c r="AY90" i="41"/>
  <c r="BF95" i="41"/>
  <c r="AY89" i="41"/>
  <c r="AD84" i="41"/>
  <c r="W82" i="41"/>
  <c r="AY91" i="41"/>
  <c r="BF105" i="41" a="1"/>
  <c r="BF105" i="41" s="1"/>
  <c r="AM47" i="15" s="1"/>
  <c r="R82" i="41"/>
  <c r="BF96" i="41"/>
  <c r="AD91" i="41"/>
  <c r="X87" i="41"/>
  <c r="W84" i="41"/>
  <c r="BH84" i="41"/>
  <c r="BG84" i="41"/>
  <c r="X85" i="41"/>
  <c r="Y85" i="41"/>
  <c r="AS92" i="41"/>
  <c r="BA88" i="41"/>
  <c r="AT80" i="41"/>
  <c r="AT77" i="41"/>
  <c r="R96" i="41"/>
  <c r="AS88" i="41"/>
  <c r="AZ77" i="41"/>
  <c r="BA85" i="41"/>
  <c r="AT85" i="41"/>
  <c r="BA102" i="41"/>
  <c r="BF89" i="41"/>
  <c r="Y80" i="41"/>
  <c r="AZ81" i="41"/>
  <c r="BH77" i="41"/>
  <c r="AF80" i="41"/>
  <c r="AL77" i="41"/>
  <c r="AL86" i="41"/>
  <c r="R100" i="41"/>
  <c r="BA83" i="41"/>
  <c r="AE81" i="41"/>
  <c r="X62" i="24"/>
  <c r="BI58" i="24"/>
  <c r="X96" i="41"/>
  <c r="AL81" i="41"/>
  <c r="BH82" i="41"/>
  <c r="AZ78" i="41"/>
  <c r="BJ105" i="41"/>
  <c r="Y95" i="41"/>
  <c r="AE77" i="41"/>
  <c r="AM98" i="41"/>
  <c r="AZ100" i="41"/>
  <c r="X97" i="41"/>
  <c r="X99" i="41"/>
  <c r="Q78" i="41"/>
  <c r="AL96" i="41"/>
  <c r="AS89" i="41"/>
  <c r="R99" i="41"/>
  <c r="BH99" i="41"/>
  <c r="AZ87" i="41"/>
  <c r="AT102" i="41"/>
  <c r="AE88" i="41"/>
  <c r="AL99" i="41"/>
  <c r="AF102" i="41"/>
  <c r="BH87" i="41"/>
  <c r="AF89" i="41"/>
  <c r="BG78" i="41"/>
  <c r="AS99" i="41"/>
  <c r="X88" i="41"/>
  <c r="AT86" i="41"/>
  <c r="Y79" i="41"/>
  <c r="X102" i="41"/>
  <c r="AF87" i="41"/>
  <c r="X81" i="41"/>
  <c r="AM84" i="41"/>
  <c r="X90" i="41"/>
  <c r="AL102" i="41"/>
  <c r="X77" i="41"/>
  <c r="AM76" i="41"/>
  <c r="AT91" i="41"/>
  <c r="Y76" i="41"/>
  <c r="AF94" i="41"/>
  <c r="X109" i="24"/>
  <c r="AF79" i="41"/>
  <c r="AM87" i="41"/>
  <c r="AT82" i="41"/>
  <c r="R80" i="41"/>
  <c r="BG88" i="41"/>
  <c r="BG80" i="41"/>
  <c r="BG90" i="41"/>
  <c r="BH94" i="41"/>
  <c r="X94" i="41"/>
  <c r="AL97" i="41"/>
  <c r="AF92" i="41"/>
  <c r="N107" i="41"/>
  <c r="N106" i="41"/>
  <c r="AL41" i="15"/>
  <c r="R79" i="41"/>
  <c r="Q95" i="41"/>
  <c r="AE83" i="41"/>
  <c r="AT100" i="41" l="1"/>
  <c r="AS100" i="41"/>
  <c r="AT98" i="41"/>
  <c r="AS98" i="41"/>
  <c r="AS101" i="41"/>
  <c r="AT101" i="41"/>
  <c r="R101" i="41"/>
  <c r="Q101" i="41"/>
  <c r="AF82" i="41"/>
  <c r="AE82" i="41"/>
  <c r="X84" i="41"/>
  <c r="Y84" i="41"/>
  <c r="AE84" i="41"/>
  <c r="AF84" i="41"/>
  <c r="BA89" i="41"/>
  <c r="AZ89" i="41"/>
  <c r="AF91" i="41"/>
  <c r="AE91" i="41"/>
  <c r="BG95" i="41"/>
  <c r="BH95" i="41"/>
  <c r="BG96" i="41"/>
  <c r="BH96" i="41"/>
  <c r="BA90" i="41"/>
  <c r="AZ90" i="41"/>
  <c r="BH98" i="41"/>
  <c r="BG98" i="41"/>
  <c r="BA91" i="41"/>
  <c r="AZ91" i="41"/>
  <c r="Y82" i="41"/>
  <c r="X82" i="41"/>
  <c r="BH89" i="41"/>
  <c r="BG89" i="41"/>
  <c r="AU8" i="15" l="1"/>
  <c r="AK22" i="1"/>
  <c r="AT7" i="15" s="1"/>
  <c r="AU7" i="15" l="1"/>
  <c r="AK25" i="1"/>
  <c r="AT10" i="15" s="1"/>
  <c r="AK69" i="1" l="1"/>
  <c r="AM45" i="1"/>
  <c r="AU10" i="15" l="1"/>
  <c r="AQ45" i="1"/>
  <c r="AT45" i="1"/>
  <c r="BB7" i="15"/>
  <c r="AY45" i="1"/>
  <c r="E10" i="42"/>
  <c r="AK35" i="13" l="1"/>
  <c r="E40" i="42"/>
  <c r="E27" i="42"/>
  <c r="AX45" i="1"/>
  <c r="F27" i="42" l="1"/>
  <c r="AZ45" i="1"/>
  <c r="AK72" i="1"/>
  <c r="BB10" i="15" s="1"/>
  <c r="AK37" i="13" l="1"/>
  <c r="AZ7" i="15"/>
  <c r="C10" i="42"/>
  <c r="AS7" i="15"/>
  <c r="AV7" i="15" s="1"/>
  <c r="AW45" i="1"/>
  <c r="C40" i="42" l="1"/>
  <c r="C27" i="42"/>
  <c r="G27" i="42" s="1"/>
  <c r="BA45" i="1"/>
  <c r="AS10" i="15" l="1"/>
  <c r="AV10" i="15" s="1"/>
  <c r="AZ10" i="15"/>
  <c r="AS85" i="1" l="1"/>
  <c r="C54" i="42"/>
  <c r="C57" i="42" s="1"/>
  <c r="AK19" i="19"/>
  <c r="BB25" i="15" s="1"/>
  <c r="C65" i="42"/>
  <c r="C59" i="42" l="1"/>
  <c r="C62" i="42" s="1"/>
  <c r="C68" i="42"/>
  <c r="C67" i="42"/>
  <c r="C64" i="42" l="1"/>
  <c r="C66" i="42" s="1"/>
  <c r="C69" i="42" s="1"/>
  <c r="E54" i="42" s="1"/>
  <c r="E62" i="42"/>
  <c r="E64" i="42" s="1"/>
  <c r="AE7" i="24"/>
  <c r="AE5" i="24"/>
  <c r="AE10" i="24"/>
  <c r="AE6" i="24"/>
  <c r="AE9" i="24"/>
  <c r="AE8" i="24"/>
  <c r="BA22" i="15"/>
  <c r="BA14" i="15" s="1"/>
  <c r="AK20" i="19"/>
  <c r="E65" i="42" l="1"/>
  <c r="E67" i="42"/>
  <c r="E56" i="42"/>
  <c r="C14" i="42"/>
  <c r="AW49" i="1"/>
  <c r="E55" i="42"/>
  <c r="E58" i="42"/>
  <c r="E59" i="42" s="1"/>
  <c r="E60" i="42" s="1"/>
  <c r="E57" i="42"/>
  <c r="E68" i="42" s="1"/>
  <c r="E66" i="42"/>
  <c r="AE11" i="24"/>
  <c r="AE162" i="24"/>
  <c r="AE161" i="24" s="1"/>
  <c r="AE163" i="24"/>
  <c r="AE160" i="24"/>
  <c r="B18" i="42"/>
  <c r="AN61" i="1"/>
  <c r="AY21" i="15"/>
  <c r="BC14" i="15" s="1"/>
  <c r="AE164" i="24"/>
  <c r="AE159" i="24"/>
  <c r="E69" i="42" l="1"/>
  <c r="AM49" i="1"/>
  <c r="AT49" i="1" s="1"/>
  <c r="AK65" i="1"/>
  <c r="C31" i="42"/>
  <c r="C44" i="42"/>
  <c r="E61" i="42"/>
  <c r="AK86" i="1"/>
  <c r="E14" i="42" s="1"/>
  <c r="F14" i="42" s="1"/>
  <c r="F13" i="42"/>
  <c r="G13" i="42" s="1"/>
  <c r="F15" i="42"/>
  <c r="F11" i="42"/>
  <c r="G11" i="42" s="1"/>
  <c r="F16" i="42"/>
  <c r="G16" i="42" s="1"/>
  <c r="F10" i="42"/>
  <c r="BE14" i="15"/>
  <c r="BD14" i="15"/>
  <c r="AE18" i="24" l="1"/>
  <c r="G14" i="42"/>
  <c r="AY49" i="1"/>
  <c r="H15" i="42"/>
  <c r="H17" i="42" s="1"/>
  <c r="G15" i="42"/>
  <c r="G10" i="42"/>
  <c r="E31" i="42" l="1"/>
  <c r="F31" i="42" s="1"/>
  <c r="G31" i="42" s="1"/>
  <c r="E44" i="42"/>
  <c r="AF6" i="24" l="1"/>
  <c r="AF9" i="24"/>
  <c r="AF10" i="24"/>
  <c r="AF7" i="24"/>
  <c r="AF8" i="24"/>
  <c r="AF5" i="24"/>
  <c r="AF11" i="24" l="1"/>
  <c r="AK24" i="1" l="1"/>
  <c r="AK14" i="1"/>
  <c r="AT9" i="15" l="1"/>
  <c r="AU9" i="15" s="1"/>
  <c r="AU21" i="15" s="1"/>
  <c r="AE43" i="6"/>
  <c r="AD42" i="35"/>
  <c r="AD14" i="35"/>
  <c r="AD6" i="35"/>
  <c r="AK27" i="1"/>
  <c r="AK15" i="4"/>
  <c r="AK9" i="4"/>
  <c r="AK26" i="19" s="1"/>
  <c r="AE51" i="6" l="1"/>
  <c r="AE52" i="6" s="1"/>
  <c r="AE36" i="6"/>
  <c r="AE37" i="6" s="1"/>
  <c r="AE38" i="6" s="1"/>
  <c r="AK34" i="19"/>
  <c r="AK30" i="19"/>
  <c r="AK32" i="19"/>
  <c r="AK27" i="19"/>
  <c r="AK28" i="19" s="1"/>
  <c r="X32" i="37"/>
  <c r="AE122" i="6"/>
  <c r="AE121" i="6" s="1"/>
  <c r="AE83" i="6"/>
  <c r="AE92" i="6" s="1"/>
  <c r="AE6" i="35"/>
  <c r="AE42" i="6"/>
  <c r="AE46" i="6"/>
  <c r="AK22" i="4"/>
  <c r="AE124" i="6"/>
  <c r="AE125" i="6" s="1"/>
  <c r="AE14" i="35"/>
  <c r="AE82" i="6"/>
  <c r="AE91" i="6" s="1"/>
  <c r="AE123" i="6"/>
  <c r="AE120" i="6" s="1"/>
  <c r="X40" i="37"/>
  <c r="AT13" i="15"/>
  <c r="AK74" i="1"/>
  <c r="BB13" i="15" s="1"/>
  <c r="AK36" i="1"/>
  <c r="AK37" i="1"/>
  <c r="AK41" i="1"/>
  <c r="AE42" i="35"/>
  <c r="AD35" i="35"/>
  <c r="AD27" i="35"/>
  <c r="AK31" i="19" l="1"/>
  <c r="AM47" i="1"/>
  <c r="AK61" i="1"/>
  <c r="AY9" i="15"/>
  <c r="BA9" i="15" s="1"/>
  <c r="AK71" i="1"/>
  <c r="AE60" i="6"/>
  <c r="AF42" i="35"/>
  <c r="AG42" i="35" s="1"/>
  <c r="AH42" i="35" s="1"/>
  <c r="AI42" i="35" s="1"/>
  <c r="AT21" i="15"/>
  <c r="AR13" i="15" s="1"/>
  <c r="AE126" i="6"/>
  <c r="AE40" i="6"/>
  <c r="AE41" i="6"/>
  <c r="AE118" i="6"/>
  <c r="AK83" i="1"/>
  <c r="AK42" i="1"/>
  <c r="AE79" i="6"/>
  <c r="V11" i="27"/>
  <c r="AE89" i="6"/>
  <c r="V8" i="27"/>
  <c r="AE101" i="6"/>
  <c r="AE84" i="6"/>
  <c r="AE94" i="6" s="1"/>
  <c r="AF6" i="35"/>
  <c r="Y32" i="37"/>
  <c r="Y40" i="37"/>
  <c r="AF14" i="35"/>
  <c r="AV13" i="15"/>
  <c r="AE27" i="35"/>
  <c r="V10" i="27"/>
  <c r="AE102" i="6"/>
  <c r="AE113" i="6"/>
  <c r="V16" i="27"/>
  <c r="AK34" i="4" s="1"/>
  <c r="AE35" i="35"/>
  <c r="V14" i="27"/>
  <c r="AE112" i="6"/>
  <c r="X53" i="37"/>
  <c r="X47" i="37"/>
  <c r="X67" i="37" s="1"/>
  <c r="X60" i="37"/>
  <c r="AK33" i="19"/>
  <c r="AK35" i="19" s="1"/>
  <c r="AF35" i="35" l="1"/>
  <c r="AG35" i="35" s="1"/>
  <c r="AH35" i="35" s="1"/>
  <c r="AI35" i="35" s="1"/>
  <c r="AY19" i="15"/>
  <c r="BA19" i="15" s="1"/>
  <c r="BC19" i="15" s="1"/>
  <c r="AY12" i="15"/>
  <c r="BA12" i="15" s="1"/>
  <c r="BC12" i="15" s="1"/>
  <c r="AY8" i="15"/>
  <c r="BA8" i="15" s="1"/>
  <c r="BC8" i="15" s="1"/>
  <c r="AY16" i="15"/>
  <c r="AK66" i="1"/>
  <c r="AY11" i="15"/>
  <c r="BA11" i="15" s="1"/>
  <c r="BC11" i="15" s="1"/>
  <c r="AS84" i="1"/>
  <c r="AS83" i="1" s="1"/>
  <c r="AY10" i="15"/>
  <c r="BA10" i="15" s="1"/>
  <c r="BC10" i="15" s="1"/>
  <c r="AY13" i="15"/>
  <c r="BA13" i="15" s="1"/>
  <c r="BC13" i="15" s="1"/>
  <c r="AY18" i="15"/>
  <c r="BA18" i="15" s="1"/>
  <c r="BC18" i="15" s="1"/>
  <c r="AY17" i="15"/>
  <c r="BA17" i="15" s="1"/>
  <c r="BC17" i="15" s="1"/>
  <c r="AY20" i="15"/>
  <c r="BA20" i="15" s="1"/>
  <c r="BC20" i="15" s="1"/>
  <c r="AQ47" i="1"/>
  <c r="AT47" i="1"/>
  <c r="AT61" i="1" s="1"/>
  <c r="AQ49" i="1" s="1"/>
  <c r="AM61" i="1"/>
  <c r="BB9" i="15"/>
  <c r="E12" i="42"/>
  <c r="AY47" i="1"/>
  <c r="AF27" i="35"/>
  <c r="AG27" i="35" s="1"/>
  <c r="AH27" i="35" s="1"/>
  <c r="AI27" i="35" s="1"/>
  <c r="AK84" i="1"/>
  <c r="AE85" i="6"/>
  <c r="V6" i="27" s="1"/>
  <c r="AE119" i="6"/>
  <c r="AE63" i="6"/>
  <c r="AC6" i="36"/>
  <c r="AE90" i="6"/>
  <c r="V15" i="27" s="1"/>
  <c r="AE105" i="6"/>
  <c r="V18" i="27" s="1"/>
  <c r="AK26" i="4" s="1"/>
  <c r="AE106" i="6"/>
  <c r="V13" i="27" s="1"/>
  <c r="Y60" i="37"/>
  <c r="AE114" i="6"/>
  <c r="AE88" i="6"/>
  <c r="BE13" i="15"/>
  <c r="AE110" i="6"/>
  <c r="V19" i="27"/>
  <c r="Z32" i="37"/>
  <c r="AG6" i="35"/>
  <c r="Y47" i="37"/>
  <c r="Y67" i="37" s="1"/>
  <c r="Y53" i="37"/>
  <c r="Z40" i="37"/>
  <c r="AG14" i="35"/>
  <c r="AE115" i="6"/>
  <c r="X49" i="37"/>
  <c r="AE103" i="6"/>
  <c r="V9" i="27"/>
  <c r="V7" i="27" s="1"/>
  <c r="AE93" i="6"/>
  <c r="AR16" i="15"/>
  <c r="AR18" i="15"/>
  <c r="AR20" i="15"/>
  <c r="AR19" i="15"/>
  <c r="AR8" i="15"/>
  <c r="AR9" i="15"/>
  <c r="AR11" i="15"/>
  <c r="AR10" i="15"/>
  <c r="AR7" i="15"/>
  <c r="AR17" i="15"/>
  <c r="AR12" i="15"/>
  <c r="AY7" i="15" l="1"/>
  <c r="AX49" i="1"/>
  <c r="AZ49" i="1" s="1"/>
  <c r="BA49" i="1" s="1"/>
  <c r="BD18" i="15"/>
  <c r="BE18" i="15"/>
  <c r="BD12" i="15"/>
  <c r="BE12" i="15"/>
  <c r="AX47" i="1"/>
  <c r="AQ61" i="1"/>
  <c r="AR47" i="1" s="1"/>
  <c r="BE19" i="15"/>
  <c r="BD19" i="15"/>
  <c r="AK40" i="13"/>
  <c r="N6" i="36" s="1"/>
  <c r="BE10" i="15"/>
  <c r="BD10" i="15"/>
  <c r="AE111" i="6"/>
  <c r="E29" i="42"/>
  <c r="E42" i="42"/>
  <c r="E47" i="42" s="1"/>
  <c r="BE11" i="15"/>
  <c r="BD11" i="15"/>
  <c r="AK36" i="13"/>
  <c r="AC26" i="36"/>
  <c r="AC35" i="36"/>
  <c r="E17" i="42"/>
  <c r="F12" i="42"/>
  <c r="BA7" i="15"/>
  <c r="BC7" i="15" s="1"/>
  <c r="AE75" i="6"/>
  <c r="AE66" i="6"/>
  <c r="AE65" i="6"/>
  <c r="AE64" i="6"/>
  <c r="BC9" i="15"/>
  <c r="BD20" i="15"/>
  <c r="BE20" i="15"/>
  <c r="BB15" i="15"/>
  <c r="BA16" i="15"/>
  <c r="AY15" i="15"/>
  <c r="AY22" i="15" s="1"/>
  <c r="BD17" i="15"/>
  <c r="BE17" i="15"/>
  <c r="BD8" i="15"/>
  <c r="BE8" i="15"/>
  <c r="AE109" i="6"/>
  <c r="V20" i="27"/>
  <c r="AA40" i="37"/>
  <c r="AH14" i="35"/>
  <c r="Z47" i="37"/>
  <c r="Z67" i="37" s="1"/>
  <c r="Z53" i="37"/>
  <c r="AK30" i="4"/>
  <c r="AK32" i="4" s="1"/>
  <c r="AK33" i="4"/>
  <c r="Z60" i="37"/>
  <c r="Y49" i="37"/>
  <c r="AA32" i="37"/>
  <c r="AH6" i="35"/>
  <c r="AR15" i="15"/>
  <c r="AR21" i="15" s="1"/>
  <c r="AR49" i="1" l="1"/>
  <c r="BB22" i="15"/>
  <c r="BB26" i="15" s="1"/>
  <c r="Z49" i="37"/>
  <c r="E34" i="42"/>
  <c r="F29" i="42"/>
  <c r="BD9" i="15"/>
  <c r="F17" i="42"/>
  <c r="AR50" i="1"/>
  <c r="AR46" i="1"/>
  <c r="BC61" i="1"/>
  <c r="AR45" i="1"/>
  <c r="AO62" i="1"/>
  <c r="AR51" i="1"/>
  <c r="AR48" i="1"/>
  <c r="AE67" i="6"/>
  <c r="AE68" i="6" s="1"/>
  <c r="AE76" i="6"/>
  <c r="AX61" i="1"/>
  <c r="AZ47" i="1"/>
  <c r="AE73" i="6"/>
  <c r="N7" i="36"/>
  <c r="N8" i="36"/>
  <c r="N26" i="36"/>
  <c r="BC16" i="15"/>
  <c r="BA15" i="15"/>
  <c r="BC15" i="15" s="1"/>
  <c r="BE15" i="15" s="1"/>
  <c r="AE69" i="6"/>
  <c r="AE74" i="6" s="1"/>
  <c r="C12" i="42"/>
  <c r="AS9" i="15"/>
  <c r="AZ9" i="15"/>
  <c r="BE9" i="15" s="1"/>
  <c r="AW47" i="1"/>
  <c r="BE7" i="15"/>
  <c r="BD7" i="15"/>
  <c r="AB40" i="37"/>
  <c r="AI14" i="35"/>
  <c r="AC40" i="37" s="1"/>
  <c r="AA60" i="37"/>
  <c r="AB32" i="37"/>
  <c r="AI6" i="35"/>
  <c r="AC32" i="37" s="1"/>
  <c r="AA53" i="37"/>
  <c r="AA47" i="37"/>
  <c r="AA67" i="37" s="1"/>
  <c r="C17" i="42" l="1"/>
  <c r="B74" i="42" s="1"/>
  <c r="AE70" i="6"/>
  <c r="AE72" i="6" s="1"/>
  <c r="N9" i="36"/>
  <c r="N29" i="36" s="1"/>
  <c r="BC22" i="15"/>
  <c r="AA49" i="37"/>
  <c r="C29" i="42"/>
  <c r="G29" i="42" s="1"/>
  <c r="G34" i="42" s="1"/>
  <c r="C42" i="42"/>
  <c r="AZ61" i="1"/>
  <c r="AW61" i="1" s="1"/>
  <c r="B75" i="42" s="1"/>
  <c r="BA47" i="1"/>
  <c r="BA61" i="1" s="1"/>
  <c r="AV9" i="15"/>
  <c r="AS21" i="15"/>
  <c r="AV21" i="15" s="1"/>
  <c r="N28" i="36"/>
  <c r="AC8" i="36"/>
  <c r="N10" i="36"/>
  <c r="N27" i="36"/>
  <c r="AC7" i="36"/>
  <c r="F34" i="42"/>
  <c r="G12" i="42"/>
  <c r="G17" i="42" s="1"/>
  <c r="BE22" i="15"/>
  <c r="BE16" i="15"/>
  <c r="BD16" i="15"/>
  <c r="BD15" i="15" s="1"/>
  <c r="BD22" i="15" s="1"/>
  <c r="AR61" i="1"/>
  <c r="AZ22" i="15"/>
  <c r="BC45" i="1"/>
  <c r="BD45" i="1" s="1"/>
  <c r="BC47" i="1"/>
  <c r="BD47" i="1" s="1"/>
  <c r="BE47" i="1" s="1"/>
  <c r="BC50" i="1"/>
  <c r="BD50" i="1" s="1"/>
  <c r="BC49" i="1"/>
  <c r="BD49" i="1" s="1"/>
  <c r="BE49" i="1" s="1"/>
  <c r="BC51" i="1"/>
  <c r="BD51" i="1" s="1"/>
  <c r="BE51" i="1" s="1"/>
  <c r="BG61" i="1"/>
  <c r="AQ62" i="1" s="1"/>
  <c r="BC46" i="1"/>
  <c r="BD46" i="1" s="1"/>
  <c r="BE46" i="1" s="1"/>
  <c r="D47" i="42"/>
  <c r="BC48" i="1"/>
  <c r="BD48" i="1" s="1"/>
  <c r="BE48" i="1" s="1"/>
  <c r="AE78" i="6"/>
  <c r="AB47" i="37"/>
  <c r="AB67" i="37" s="1"/>
  <c r="AB53" i="37"/>
  <c r="AC53" i="37"/>
  <c r="AC47" i="37"/>
  <c r="AC67" i="37" s="1"/>
  <c r="AC60" i="37"/>
  <c r="AB60" i="37"/>
  <c r="C34" i="42" l="1"/>
  <c r="B73" i="42" s="1"/>
  <c r="AB49" i="37"/>
  <c r="BE45" i="1"/>
  <c r="BD61" i="1"/>
  <c r="BC62" i="1" s="1"/>
  <c r="AC27" i="36"/>
  <c r="AC36" i="36"/>
  <c r="AC9" i="36"/>
  <c r="D45" i="42"/>
  <c r="F45" i="42" s="1"/>
  <c r="D44" i="42"/>
  <c r="F44" i="42" s="1"/>
  <c r="G44" i="42" s="1"/>
  <c r="D40" i="42"/>
  <c r="F40" i="42" s="1"/>
  <c r="D46" i="42"/>
  <c r="F46" i="42" s="1"/>
  <c r="G46" i="42" s="1"/>
  <c r="D42" i="42"/>
  <c r="F42" i="42" s="1"/>
  <c r="G42" i="42" s="1"/>
  <c r="D43" i="42"/>
  <c r="F43" i="42" s="1"/>
  <c r="G43" i="42" s="1"/>
  <c r="D41" i="42"/>
  <c r="F41" i="42" s="1"/>
  <c r="G41" i="42" s="1"/>
  <c r="AE91" i="24"/>
  <c r="AH124" i="24"/>
  <c r="AE92" i="24"/>
  <c r="AE93" i="24"/>
  <c r="B72" i="42"/>
  <c r="F52" i="24"/>
  <c r="BG50" i="1"/>
  <c r="BE50" i="1"/>
  <c r="BG62" i="1"/>
  <c r="AC28" i="36"/>
  <c r="AC37" i="36"/>
  <c r="AC49" i="37"/>
  <c r="BE61" i="1" l="1"/>
  <c r="AC38" i="36"/>
  <c r="AE52" i="24" s="1"/>
  <c r="AC29" i="36"/>
  <c r="G40" i="42"/>
  <c r="F47" i="42"/>
  <c r="C47" i="42" s="1"/>
  <c r="B76" i="42" s="1"/>
  <c r="F55" i="24"/>
  <c r="F56" i="24"/>
  <c r="F58" i="24"/>
  <c r="F57" i="24"/>
  <c r="F59" i="24"/>
  <c r="F62" i="24" s="1"/>
  <c r="F54" i="24"/>
  <c r="H45" i="42"/>
  <c r="H47" i="42" s="1"/>
  <c r="G45" i="42"/>
  <c r="G47" i="42" l="1"/>
  <c r="AE58" i="24"/>
  <c r="AE55" i="24"/>
  <c r="AE57" i="24"/>
  <c r="AE59" i="24"/>
  <c r="AE62" i="24" s="1"/>
  <c r="AE54" i="24"/>
  <c r="AE5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Caputo Antonio</author>
  </authors>
  <commentList>
    <comment ref="AN49" authorId="0" shapeId="0" xr:uid="{1793B8C5-5C98-4671-9849-0A74D1CD26EF}">
      <text>
        <r>
          <rPr>
            <b/>
            <sz val="9"/>
            <color indexed="81"/>
            <rFont val="Tahoma"/>
            <family val="2"/>
          </rPr>
          <t>Caputo Antonio:</t>
        </r>
        <r>
          <rPr>
            <sz val="9"/>
            <color indexed="81"/>
            <rFont val="Tahoma"/>
            <family val="2"/>
          </rPr>
          <t xml:space="preserve">
Il pompaggio è un consumo differito; le emissioni per la sua produzione sono incluse nella produzione dalle fonti primarie. Deve essere rispettata la condizione Immesso+residuo=richiesta, pertanto l'inclusione della produzione elettrica da pompaggi nell'immesso in rete comporta l'esclusione dal residuo.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Antonio Caputo</author>
  </authors>
  <commentList>
    <comment ref="I42" authorId="0" shapeId="0" xr:uid="{00000000-0006-0000-1B00-000001000000}">
      <text>
        <r>
          <rPr>
            <b/>
            <sz val="9"/>
            <color indexed="81"/>
            <rFont val="Tahoma"/>
            <family val="2"/>
          </rPr>
          <t>Antonio Caputo:</t>
        </r>
        <r>
          <rPr>
            <sz val="9"/>
            <color indexed="81"/>
            <rFont val="Tahoma"/>
            <family val="2"/>
          </rPr>
          <t xml:space="preserve">
21500 valore che rende ragionevoli le efficienze calcolate.
Valore Terna 17750</t>
        </r>
      </text>
    </comment>
    <comment ref="J55" authorId="0" shapeId="0" xr:uid="{00000000-0006-0000-1B00-000002000000}">
      <text>
        <r>
          <rPr>
            <b/>
            <sz val="9"/>
            <color indexed="81"/>
            <rFont val="Tahoma"/>
            <family val="2"/>
          </rPr>
          <t>Antonio Caputo:</t>
        </r>
        <r>
          <rPr>
            <sz val="9"/>
            <color indexed="81"/>
            <rFont val="Tahoma"/>
            <family val="2"/>
          </rPr>
          <t xml:space="preserve">
valore mediano tra 2003 e 2004 Il valore 1.883 dà risultati assurdi.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Caputo Antonio</author>
    <author>Antonio Caputo</author>
    <author xml:space="preserve"> Antonio</author>
  </authors>
  <commentList>
    <comment ref="K5" authorId="0" shapeId="0" xr:uid="{9A25B92D-8316-4946-82EC-63D311BD6CE7}">
      <text>
        <r>
          <rPr>
            <b/>
            <sz val="9"/>
            <color indexed="81"/>
            <rFont val="Tahoma"/>
            <family val="2"/>
          </rPr>
          <t>Caputo Antonio:</t>
        </r>
        <r>
          <rPr>
            <sz val="9"/>
            <color indexed="81"/>
            <rFont val="Tahoma"/>
            <family val="2"/>
          </rPr>
          <t xml:space="preserve">
nel GN c'è anche il biometano</t>
        </r>
      </text>
    </comment>
    <comment ref="A48" authorId="0" shapeId="0" xr:uid="{F18CAE53-1242-417E-9CEB-45CB24004575}">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49" authorId="1" shapeId="0" xr:uid="{F5118F04-E5E8-436B-B553-4AE911CF2C6E}">
      <text>
        <r>
          <rPr>
            <b/>
            <sz val="9"/>
            <color indexed="81"/>
            <rFont val="Tahoma"/>
            <family val="2"/>
          </rPr>
          <t>Antonio Caputo:</t>
        </r>
        <r>
          <rPr>
            <sz val="9"/>
            <color indexed="81"/>
            <rFont val="Tahoma"/>
            <family val="2"/>
          </rPr>
          <t xml:space="preserve">
ripartizione di altri combustibili gassosi e solidi secondo le categorie terna</t>
        </r>
      </text>
    </comment>
    <comment ref="A74" authorId="1" shapeId="0" xr:uid="{AB531909-E283-45F1-ADC6-5991742046BD}">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99" authorId="0" shapeId="0" xr:uid="{5EC4C056-EAF7-419A-8FBD-F4DDC52DCEE8}">
      <text>
        <r>
          <rPr>
            <b/>
            <sz val="9"/>
            <color indexed="81"/>
            <rFont val="Tahoma"/>
            <family val="2"/>
          </rPr>
          <t>Caputo Antonio:</t>
        </r>
        <r>
          <rPr>
            <sz val="9"/>
            <color indexed="81"/>
            <rFont val="Tahoma"/>
            <family val="2"/>
          </rPr>
          <t xml:space="preserve">
nel GN c'è anche il biometano</t>
        </r>
      </text>
    </comment>
    <comment ref="A142" authorId="0" shapeId="0" xr:uid="{5F1A1116-F8B7-4226-A1A4-0AAF2936E43E}">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143" authorId="1" shapeId="0" xr:uid="{75D199B9-146B-4F54-B1E4-5A380CF21CF4}">
      <text>
        <r>
          <rPr>
            <b/>
            <sz val="9"/>
            <color indexed="81"/>
            <rFont val="Tahoma"/>
            <family val="2"/>
          </rPr>
          <t>Antonio Caputo:</t>
        </r>
        <r>
          <rPr>
            <sz val="9"/>
            <color indexed="81"/>
            <rFont val="Tahoma"/>
            <family val="2"/>
          </rPr>
          <t xml:space="preserve">
ripartizione di altri combustibili gassosi e solidi secondo le categorie terna</t>
        </r>
      </text>
    </comment>
    <comment ref="A167" authorId="1" shapeId="0" xr:uid="{89F3A5D4-34FB-43BA-9C97-EAE82BDD228A}">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191" authorId="0" shapeId="0" xr:uid="{BD003849-3FD9-4233-BC9F-480279B64987}">
      <text>
        <r>
          <rPr>
            <b/>
            <sz val="9"/>
            <color indexed="81"/>
            <rFont val="Tahoma"/>
            <family val="2"/>
          </rPr>
          <t>Caputo Antonio:</t>
        </r>
        <r>
          <rPr>
            <sz val="9"/>
            <color indexed="81"/>
            <rFont val="Tahoma"/>
            <family val="2"/>
          </rPr>
          <t xml:space="preserve">
nel GN c'è anche il biometano</t>
        </r>
      </text>
    </comment>
    <comment ref="A234" authorId="0" shapeId="0" xr:uid="{86973B1F-2430-4C16-BB7E-7D00021BED65}">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235" authorId="1" shapeId="0" xr:uid="{EB15D93D-18B1-4B2B-9A0D-3CC2FA21BF3E}">
      <text>
        <r>
          <rPr>
            <b/>
            <sz val="9"/>
            <color indexed="81"/>
            <rFont val="Tahoma"/>
            <family val="2"/>
          </rPr>
          <t>Antonio Caputo:</t>
        </r>
        <r>
          <rPr>
            <sz val="9"/>
            <color indexed="81"/>
            <rFont val="Tahoma"/>
            <family val="2"/>
          </rPr>
          <t xml:space="preserve">
ripartizione di altri combustibili gassosi e solidi secondo le categorie terna</t>
        </r>
      </text>
    </comment>
    <comment ref="A259" authorId="1" shapeId="0" xr:uid="{0A2F845C-D1A6-40CD-AC71-37C2FE1F4367}">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283" authorId="0" shapeId="0" xr:uid="{1C0E73DB-C9EE-4B1A-AD5F-DDE37C3FE3E3}">
      <text>
        <r>
          <rPr>
            <b/>
            <sz val="9"/>
            <color indexed="81"/>
            <rFont val="Tahoma"/>
            <family val="2"/>
          </rPr>
          <t>Caputo Antonio:</t>
        </r>
        <r>
          <rPr>
            <sz val="9"/>
            <color indexed="81"/>
            <rFont val="Tahoma"/>
            <family val="2"/>
          </rPr>
          <t xml:space="preserve">
nel GN c'è anche il biometano</t>
        </r>
      </text>
    </comment>
    <comment ref="A326" authorId="0" shapeId="0" xr:uid="{45FB4483-D30A-4019-912B-1685B5B86270}">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327" authorId="1" shapeId="0" xr:uid="{EF240F7A-BB64-4E1C-B7A5-E36689334FA1}">
      <text>
        <r>
          <rPr>
            <b/>
            <sz val="9"/>
            <color indexed="81"/>
            <rFont val="Tahoma"/>
            <family val="2"/>
          </rPr>
          <t>Antonio Caputo:</t>
        </r>
        <r>
          <rPr>
            <sz val="9"/>
            <color indexed="81"/>
            <rFont val="Tahoma"/>
            <family val="2"/>
          </rPr>
          <t xml:space="preserve">
ripartizione di altri combustibili gassosi e solidi secondo le categorie terna</t>
        </r>
      </text>
    </comment>
    <comment ref="A351" authorId="1" shapeId="0" xr:uid="{F8C7D791-3AC5-4926-B17E-A96FCD247A4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375" authorId="0" shapeId="0" xr:uid="{00000000-0006-0000-1C00-000001000000}">
      <text>
        <r>
          <rPr>
            <b/>
            <sz val="9"/>
            <color indexed="81"/>
            <rFont val="Tahoma"/>
            <family val="2"/>
          </rPr>
          <t>Caputo Antonio:</t>
        </r>
        <r>
          <rPr>
            <sz val="9"/>
            <color indexed="81"/>
            <rFont val="Tahoma"/>
            <family val="2"/>
          </rPr>
          <t xml:space="preserve">
nel GN c'è anche il biometano</t>
        </r>
      </text>
    </comment>
    <comment ref="V419" authorId="1" shapeId="0" xr:uid="{00000000-0006-0000-1C00-000002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443" authorId="1" shapeId="0" xr:uid="{00000000-0006-0000-1C00-00000300000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467" authorId="0" shapeId="0" xr:uid="{00000000-0006-0000-1C00-000004000000}">
      <text>
        <r>
          <rPr>
            <b/>
            <sz val="9"/>
            <color indexed="81"/>
            <rFont val="Tahoma"/>
            <family val="2"/>
          </rPr>
          <t>Caputo Antonio:</t>
        </r>
        <r>
          <rPr>
            <sz val="9"/>
            <color indexed="81"/>
            <rFont val="Tahoma"/>
            <family val="2"/>
          </rPr>
          <t xml:space="preserve">
nel GN c'è anche il biometano</t>
        </r>
      </text>
    </comment>
    <comment ref="V511" authorId="1" shapeId="0" xr:uid="{00000000-0006-0000-1C00-000005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535" authorId="1" shapeId="0" xr:uid="{00000000-0006-0000-1C00-000006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603" authorId="1" shapeId="0" xr:uid="{00000000-0006-0000-1C00-00000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627" authorId="1" shapeId="0" xr:uid="{00000000-0006-0000-1C00-000008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691" authorId="1" shapeId="0" xr:uid="{00000000-0006-0000-1C00-000009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712" authorId="1" shapeId="0" xr:uid="{00000000-0006-0000-1C00-00000A000000}">
      <text>
        <r>
          <rPr>
            <b/>
            <sz val="9"/>
            <color indexed="81"/>
            <rFont val="Tahoma"/>
            <family val="2"/>
          </rPr>
          <t>Antonio Caputo:</t>
        </r>
        <r>
          <rPr>
            <sz val="9"/>
            <color indexed="81"/>
            <rFont val="Tahoma"/>
            <family val="2"/>
          </rPr>
          <t xml:space="preserve">
Da serie bilancio Eurostat 
</t>
        </r>
        <r>
          <rPr>
            <b/>
            <sz val="9"/>
            <color indexed="81"/>
            <rFont val="Tahoma"/>
            <family val="2"/>
          </rPr>
          <t>riga 640</t>
        </r>
      </text>
    </comment>
    <comment ref="AC767" authorId="2" shapeId="0" xr:uid="{00000000-0006-0000-1C00-00000B000000}">
      <text>
        <r>
          <rPr>
            <b/>
            <sz val="8"/>
            <color indexed="81"/>
            <rFont val="Tahoma"/>
            <family val="2"/>
          </rPr>
          <t xml:space="preserve"> Antonio:</t>
        </r>
        <r>
          <rPr>
            <sz val="8"/>
            <color indexed="81"/>
            <rFont val="Tahoma"/>
            <family val="2"/>
          </rPr>
          <t xml:space="preserve">
per il 50% sono considerati biodegradabili</t>
        </r>
      </text>
    </comment>
    <comment ref="AC770" authorId="2" shapeId="0" xr:uid="{00000000-0006-0000-1C00-00000C000000}">
      <text>
        <r>
          <rPr>
            <b/>
            <sz val="8"/>
            <color indexed="81"/>
            <rFont val="Tahoma"/>
            <family val="2"/>
          </rPr>
          <t xml:space="preserve"> Antonio:</t>
        </r>
        <r>
          <rPr>
            <sz val="8"/>
            <color indexed="81"/>
            <rFont val="Tahoma"/>
            <family val="2"/>
          </rPr>
          <t xml:space="preserve">
per il 50% sono considerati biodegradabili</t>
        </r>
      </text>
    </comment>
    <comment ref="AC771" authorId="2" shapeId="0" xr:uid="{00000000-0006-0000-1C00-00000D000000}">
      <text>
        <r>
          <rPr>
            <b/>
            <sz val="8"/>
            <color indexed="81"/>
            <rFont val="Tahoma"/>
            <family val="2"/>
          </rPr>
          <t xml:space="preserve"> Antonio:</t>
        </r>
        <r>
          <rPr>
            <sz val="8"/>
            <color indexed="81"/>
            <rFont val="Tahoma"/>
            <family val="2"/>
          </rPr>
          <t xml:space="preserve">
per il 50% sono considerati biodegradabili</t>
        </r>
      </text>
    </comment>
    <comment ref="AB773" authorId="2" shapeId="0" xr:uid="{00000000-0006-0000-1C00-00000E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776" authorId="1" shapeId="0" xr:uid="{00000000-0006-0000-1C00-00000F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797" authorId="1" shapeId="0" xr:uid="{00000000-0006-0000-1C00-000010000000}">
      <text>
        <r>
          <rPr>
            <b/>
            <sz val="9"/>
            <color indexed="81"/>
            <rFont val="Tahoma"/>
            <family val="2"/>
          </rPr>
          <t>Antonio Caputo:</t>
        </r>
        <r>
          <rPr>
            <sz val="9"/>
            <color indexed="81"/>
            <rFont val="Tahoma"/>
            <family val="2"/>
          </rPr>
          <t xml:space="preserve">
Da serie bilancio Eurostat</t>
        </r>
      </text>
    </comment>
    <comment ref="AB826" authorId="1" shapeId="0" xr:uid="{00000000-0006-0000-1C00-000011000000}">
      <text>
        <r>
          <rPr>
            <b/>
            <sz val="9"/>
            <color indexed="81"/>
            <rFont val="Tahoma"/>
            <family val="2"/>
          </rPr>
          <t>Antonio Caputo:</t>
        </r>
        <r>
          <rPr>
            <sz val="9"/>
            <color indexed="81"/>
            <rFont val="Tahoma"/>
            <family val="2"/>
          </rPr>
          <t xml:space="preserve">
fe di quadratura perché cella X198=0</t>
        </r>
      </text>
    </comment>
    <comment ref="AC852" authorId="2" shapeId="0" xr:uid="{00000000-0006-0000-1C00-000012000000}">
      <text>
        <r>
          <rPr>
            <b/>
            <sz val="8"/>
            <color indexed="81"/>
            <rFont val="Tahoma"/>
            <family val="2"/>
          </rPr>
          <t xml:space="preserve"> Antonio:</t>
        </r>
        <r>
          <rPr>
            <sz val="8"/>
            <color indexed="81"/>
            <rFont val="Tahoma"/>
            <family val="2"/>
          </rPr>
          <t xml:space="preserve">
per il 50% sono considerati biodegradabili</t>
        </r>
      </text>
    </comment>
    <comment ref="AC855" authorId="2" shapeId="0" xr:uid="{00000000-0006-0000-1C00-000013000000}">
      <text>
        <r>
          <rPr>
            <b/>
            <sz val="8"/>
            <color indexed="81"/>
            <rFont val="Tahoma"/>
            <family val="2"/>
          </rPr>
          <t xml:space="preserve"> Antonio:</t>
        </r>
        <r>
          <rPr>
            <sz val="8"/>
            <color indexed="81"/>
            <rFont val="Tahoma"/>
            <family val="2"/>
          </rPr>
          <t xml:space="preserve">
per il 50% sono considerati biodegradabili</t>
        </r>
      </text>
    </comment>
    <comment ref="AC856" authorId="2" shapeId="0" xr:uid="{00000000-0006-0000-1C00-000014000000}">
      <text>
        <r>
          <rPr>
            <b/>
            <sz val="8"/>
            <color indexed="81"/>
            <rFont val="Tahoma"/>
            <family val="2"/>
          </rPr>
          <t xml:space="preserve"> Antonio:</t>
        </r>
        <r>
          <rPr>
            <sz val="8"/>
            <color indexed="81"/>
            <rFont val="Tahoma"/>
            <family val="2"/>
          </rPr>
          <t xml:space="preserve">
per il 50% sono considerati biodegradabili</t>
        </r>
      </text>
    </comment>
    <comment ref="AB858" authorId="2" shapeId="0" xr:uid="{00000000-0006-0000-1C00-000015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861" authorId="1" shapeId="0" xr:uid="{00000000-0006-0000-1C00-000016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945" authorId="1" shapeId="0" xr:uid="{00000000-0006-0000-1C00-00001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1028" authorId="1" shapeId="0" xr:uid="{00000000-0006-0000-1C00-000018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M1071" authorId="1" shapeId="0" xr:uid="{00000000-0006-0000-1C00-000019000000}">
      <text>
        <r>
          <rPr>
            <b/>
            <sz val="9"/>
            <color indexed="81"/>
            <rFont val="Tahoma"/>
            <family val="2"/>
          </rPr>
          <t>Antonio Caputo:</t>
        </r>
        <r>
          <rPr>
            <sz val="9"/>
            <color indexed="81"/>
            <rFont val="Tahoma"/>
            <family val="2"/>
          </rPr>
          <t xml:space="preserve">
diversamente dagli altri anni nei petroliferi sono inclusi i gas di sintesi, mentre negli altri anni sono negli altri combustibili</t>
        </r>
      </text>
    </comment>
    <comment ref="V1111" authorId="1" shapeId="0" xr:uid="{00000000-0006-0000-1C00-00001A000000}">
      <text>
        <r>
          <rPr>
            <b/>
            <sz val="9"/>
            <color indexed="81"/>
            <rFont val="Tahoma"/>
            <family val="2"/>
          </rPr>
          <t>Antonio Caputo:</t>
        </r>
        <r>
          <rPr>
            <sz val="9"/>
            <color indexed="81"/>
            <rFont val="Tahoma"/>
            <family val="2"/>
          </rPr>
          <t xml:space="preserve">
ripartizione di altri combustibili gassosi e solidi secondo le categorie terna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Caputo Antonio</author>
  </authors>
  <commentList>
    <comment ref="A38" authorId="0" shapeId="0" xr:uid="{E15C9AAD-D09E-4BC8-9505-9CD6AA88F8DE}">
      <text>
        <r>
          <rPr>
            <b/>
            <sz val="9"/>
            <color indexed="81"/>
            <rFont val="Tahoma"/>
            <family val="2"/>
          </rPr>
          <t>Caputo Antonio:</t>
        </r>
        <r>
          <rPr>
            <sz val="9"/>
            <color indexed="81"/>
            <rFont val="Tahoma"/>
            <family val="2"/>
          </rPr>
          <t xml:space="preserve">
In terna è il consumo per elettricità e gas e nel modello è nel commerciale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<sst xmlns="http://schemas.openxmlformats.org/spreadsheetml/2006/main" count="5970" uniqueCount="856">
  <si>
    <t>Fonte</t>
  </si>
  <si>
    <t>Idroelettrica</t>
  </si>
  <si>
    <t>Geotermica</t>
  </si>
  <si>
    <t>Eolica e fotovoltaica</t>
  </si>
  <si>
    <t>Totale da combustibili</t>
  </si>
  <si>
    <t>Solidi</t>
  </si>
  <si>
    <t>Gas naturale</t>
  </si>
  <si>
    <t>Gas derivati</t>
  </si>
  <si>
    <t>Prodotti petroliferi</t>
  </si>
  <si>
    <t>TOTALE</t>
  </si>
  <si>
    <t>Combustibili</t>
  </si>
  <si>
    <t>Altri combustibili (solidi)</t>
  </si>
  <si>
    <t>Altri combustibili (gassosi)</t>
  </si>
  <si>
    <t>Consumo specifico medio dei combustibili fossili per la produzione elettrica netta.</t>
  </si>
  <si>
    <t>Consumo specifico medio dei combustibili fossili per la produzione elettrica lorda.</t>
  </si>
  <si>
    <t>Impianti</t>
  </si>
  <si>
    <t>Solo produzione energia elettrica</t>
  </si>
  <si>
    <t>a combustione interna (CI)</t>
  </si>
  <si>
    <t>a turbine a gas (TG)</t>
  </si>
  <si>
    <t>a vapore a condensazione (C)</t>
  </si>
  <si>
    <t>a ciclo combinato (CC)</t>
  </si>
  <si>
    <t>-</t>
  </si>
  <si>
    <t>ripotenziato (RP)</t>
  </si>
  <si>
    <t>Produzione combinata energia elettrica e calore</t>
  </si>
  <si>
    <t>a combustione interna (CIC)</t>
  </si>
  <si>
    <t>a turbine a gas (TGC)</t>
  </si>
  <si>
    <t>a ciclo combinato (CCC)</t>
  </si>
  <si>
    <t>a vapore a contropressione (CPC)</t>
  </si>
  <si>
    <t>a vapore a condensazione con spillamento (CSC)</t>
  </si>
  <si>
    <r>
      <t>Produzione elettrica netta per tipologia di impianto</t>
    </r>
    <r>
      <rPr>
        <sz val="12"/>
        <color theme="1"/>
        <rFont val="Times"/>
        <family val="1"/>
      </rPr>
      <t>.</t>
    </r>
  </si>
  <si>
    <t>(stechiometrico)</t>
  </si>
  <si>
    <t>Gas Naturale (secco) IPCC ’96</t>
  </si>
  <si>
    <t xml:space="preserve">    minimo </t>
  </si>
  <si>
    <t xml:space="preserve">    massimo</t>
  </si>
  <si>
    <t>Fattori di emissione nazionali</t>
  </si>
  <si>
    <t>Olio combustibile, IPCC, 1996</t>
  </si>
  <si>
    <t>Gas Naturale,  IPCC '06   media</t>
  </si>
  <si>
    <t>Olio combustibile,  IPCC '06   media</t>
  </si>
  <si>
    <t>minimo</t>
  </si>
  <si>
    <t>massimo</t>
  </si>
  <si>
    <r>
      <t>t CO</t>
    </r>
    <r>
      <rPr>
        <vertAlign val="subscript"/>
        <sz val="12"/>
        <color indexed="8"/>
        <rFont val="Times New Roman"/>
        <family val="1"/>
      </rPr>
      <t>2</t>
    </r>
    <r>
      <rPr>
        <sz val="12"/>
        <color indexed="8"/>
        <rFont val="Times New Roman"/>
        <family val="1"/>
      </rPr>
      <t xml:space="preserve"> / TJ</t>
    </r>
  </si>
  <si>
    <r>
      <t>t CO</t>
    </r>
    <r>
      <rPr>
        <vertAlign val="subscript"/>
        <sz val="12"/>
        <color indexed="8"/>
        <rFont val="Times New Roman"/>
        <family val="1"/>
      </rPr>
      <t>2</t>
    </r>
    <r>
      <rPr>
        <sz val="12"/>
        <color indexed="8"/>
        <rFont val="Times New Roman"/>
        <family val="1"/>
      </rPr>
      <t xml:space="preserve"> / t</t>
    </r>
  </si>
  <si>
    <r>
      <t>t CO</t>
    </r>
    <r>
      <rPr>
        <vertAlign val="subscript"/>
        <sz val="12"/>
        <color theme="1"/>
        <rFont val="Times New Roman"/>
        <family val="1"/>
      </rPr>
      <t>2</t>
    </r>
    <r>
      <rPr>
        <sz val="12"/>
        <color theme="1"/>
        <rFont val="Times New Roman"/>
        <family val="1"/>
      </rPr>
      <t xml:space="preserve"> / TJ</t>
    </r>
  </si>
  <si>
    <r>
      <t>t CO</t>
    </r>
    <r>
      <rPr>
        <vertAlign val="subscript"/>
        <sz val="12"/>
        <color theme="1"/>
        <rFont val="Times New Roman"/>
        <family val="1"/>
      </rPr>
      <t>2</t>
    </r>
    <r>
      <rPr>
        <sz val="12"/>
        <color theme="1"/>
        <rFont val="Times New Roman"/>
        <family val="1"/>
      </rPr>
      <t xml:space="preserve"> / 10</t>
    </r>
    <r>
      <rPr>
        <vertAlign val="superscript"/>
        <sz val="12"/>
        <color theme="1"/>
        <rFont val="Times New Roman"/>
        <family val="1"/>
      </rPr>
      <t>3</t>
    </r>
    <r>
      <rPr>
        <sz val="12"/>
        <color theme="1"/>
        <rFont val="Times New Roman"/>
        <family val="1"/>
      </rPr>
      <t xml:space="preserve">  Stdm</t>
    </r>
    <r>
      <rPr>
        <vertAlign val="superscript"/>
        <sz val="12"/>
        <color theme="1"/>
        <rFont val="Times New Roman"/>
        <family val="1"/>
      </rPr>
      <t>3</t>
    </r>
  </si>
  <si>
    <r>
      <t>t CO</t>
    </r>
    <r>
      <rPr>
        <vertAlign val="subscript"/>
        <sz val="12"/>
        <color theme="1"/>
        <rFont val="Times New Roman"/>
        <family val="1"/>
      </rPr>
      <t>2</t>
    </r>
    <r>
      <rPr>
        <sz val="12"/>
        <color theme="1"/>
        <rFont val="Times New Roman"/>
        <family val="1"/>
      </rPr>
      <t xml:space="preserve"> / tep</t>
    </r>
  </si>
  <si>
    <r>
      <t>t CO</t>
    </r>
    <r>
      <rPr>
        <vertAlign val="subscript"/>
        <sz val="12"/>
        <color theme="1"/>
        <rFont val="Times New Roman"/>
        <family val="1"/>
      </rPr>
      <t xml:space="preserve">2 </t>
    </r>
    <r>
      <rPr>
        <sz val="12"/>
        <color theme="1"/>
        <rFont val="Times New Roman"/>
        <family val="1"/>
      </rPr>
      <t>/ TJ</t>
    </r>
  </si>
  <si>
    <r>
      <t>t CO</t>
    </r>
    <r>
      <rPr>
        <vertAlign val="subscript"/>
        <sz val="12"/>
        <color theme="1"/>
        <rFont val="Times New Roman"/>
        <family val="1"/>
      </rPr>
      <t>2</t>
    </r>
    <r>
      <rPr>
        <sz val="12"/>
        <color theme="1"/>
        <rFont val="Times New Roman"/>
        <family val="1"/>
      </rPr>
      <t xml:space="preserve"> / t</t>
    </r>
  </si>
  <si>
    <t>Coefficiente di ossidazione</t>
  </si>
  <si>
    <r>
      <t>t CO</t>
    </r>
    <r>
      <rPr>
        <vertAlign val="subscript"/>
        <sz val="12"/>
        <color indexed="8"/>
        <rFont val="Times New Roman"/>
        <family val="1"/>
      </rPr>
      <t>2</t>
    </r>
    <r>
      <rPr>
        <sz val="12"/>
        <color indexed="8"/>
        <rFont val="Times New Roman"/>
        <family val="1"/>
      </rPr>
      <t xml:space="preserve"> / tep</t>
    </r>
  </si>
  <si>
    <t>Totale</t>
  </si>
  <si>
    <t>Anno</t>
  </si>
  <si>
    <t>Consumi elettrici</t>
  </si>
  <si>
    <r>
      <t>g CO</t>
    </r>
    <r>
      <rPr>
        <b/>
        <vertAlign val="subscript"/>
        <sz val="12"/>
        <rFont val="Times New Roman"/>
        <family val="1"/>
      </rPr>
      <t>2</t>
    </r>
    <r>
      <rPr>
        <b/>
        <sz val="12"/>
        <rFont val="Times New Roman"/>
        <family val="1"/>
      </rPr>
      <t>/kWh</t>
    </r>
  </si>
  <si>
    <t>Fonte energetica</t>
  </si>
  <si>
    <t>Eolica</t>
  </si>
  <si>
    <t>Fotovoltaica</t>
  </si>
  <si>
    <t>Torna indietro</t>
  </si>
  <si>
    <t>COMBUSTIBILI</t>
  </si>
  <si>
    <t>CARBONE ESTERO</t>
  </si>
  <si>
    <t>CARBONE NAZIONALE</t>
  </si>
  <si>
    <t>LIGNITE</t>
  </si>
  <si>
    <t>CARBONE SUB-BITUMINOSO</t>
  </si>
  <si>
    <t>GAS NATURALE</t>
  </si>
  <si>
    <t>Gas Naturale</t>
  </si>
  <si>
    <t>Gas Derivati</t>
  </si>
  <si>
    <t>CHEROSENE</t>
  </si>
  <si>
    <t>COKE DI PETROLIO</t>
  </si>
  <si>
    <t>DISTILLATI LEGGERI</t>
  </si>
  <si>
    <t>GAS DI PETROLIO LIQUEFATTO</t>
  </si>
  <si>
    <t>GAS DI RAFFINERIA</t>
  </si>
  <si>
    <t>GASOLIO</t>
  </si>
  <si>
    <t>NAFTA</t>
  </si>
  <si>
    <t>OLIO COMBUSTIBILE</t>
  </si>
  <si>
    <t>ORIMULSION</t>
  </si>
  <si>
    <t>PETROLIO GREZZO</t>
  </si>
  <si>
    <t>Prodotti Petroliferi</t>
  </si>
  <si>
    <t>RSU / RSAU, RIFIUTI SOLIDI URBANI O ASSIMILABILI [1]</t>
  </si>
  <si>
    <t>Totale E.E. (+altre FER) [4]</t>
  </si>
  <si>
    <r>
      <t>g CO</t>
    </r>
    <r>
      <rPr>
        <b/>
        <vertAlign val="subscript"/>
        <sz val="10"/>
        <rFont val="Arial"/>
        <family val="2"/>
      </rPr>
      <t>2</t>
    </r>
    <r>
      <rPr>
        <b/>
        <sz val="10"/>
        <rFont val="Arial"/>
        <family val="2"/>
      </rPr>
      <t>/ kWh lorda</t>
    </r>
  </si>
  <si>
    <r>
      <t>Produzione termoelettrica lorda per tipologia di impianto</t>
    </r>
    <r>
      <rPr>
        <sz val="12"/>
        <color theme="1"/>
        <rFont val="Times"/>
        <family val="1"/>
      </rPr>
      <t>.</t>
    </r>
  </si>
  <si>
    <t>Idroelettrica (a)</t>
  </si>
  <si>
    <t>Termoelettrica (b)</t>
  </si>
  <si>
    <r>
      <t>Mt CO</t>
    </r>
    <r>
      <rPr>
        <b/>
        <vertAlign val="subscript"/>
        <sz val="11"/>
        <color theme="1"/>
        <rFont val="Times New Roman"/>
        <family val="1"/>
      </rPr>
      <t>2</t>
    </r>
  </si>
  <si>
    <r>
      <t>g CO</t>
    </r>
    <r>
      <rPr>
        <b/>
        <vertAlign val="subscript"/>
        <sz val="12"/>
        <rFont val="Times New Roman"/>
        <family val="1"/>
      </rPr>
      <t>2</t>
    </r>
    <r>
      <rPr>
        <b/>
        <sz val="12"/>
        <rFont val="Times New Roman"/>
        <family val="1"/>
      </rPr>
      <t>/kWh lorda</t>
    </r>
  </si>
  <si>
    <t>Produzione lorda</t>
  </si>
  <si>
    <t>di cui da pompaggi</t>
  </si>
  <si>
    <t>Servizi ausiliari</t>
  </si>
  <si>
    <t>Produzione netta</t>
  </si>
  <si>
    <t>Destinata a pompaggi</t>
  </si>
  <si>
    <t>Produzione destinata al consumo</t>
  </si>
  <si>
    <t>Energia richiesta</t>
  </si>
  <si>
    <t>Perdite di rete</t>
  </si>
  <si>
    <t>2010, pci 8190 kcal/m3</t>
  </si>
  <si>
    <t>Gas di raffineria</t>
  </si>
  <si>
    <t>Olio combustibile</t>
  </si>
  <si>
    <t>Carbone da vapore</t>
  </si>
  <si>
    <t>1990-2004</t>
  </si>
  <si>
    <t>1990-1999</t>
  </si>
  <si>
    <t>2000-2004</t>
  </si>
  <si>
    <t>Gas di altoforno</t>
  </si>
  <si>
    <t>Gas di cokeria</t>
  </si>
  <si>
    <t>Gas di acciaieria</t>
  </si>
  <si>
    <t>Idrocarburi pesanti per gassificazione</t>
  </si>
  <si>
    <t>1999-2005</t>
  </si>
  <si>
    <t>Gas di sintesi</t>
  </si>
  <si>
    <t>Gas residui da processi chimici</t>
  </si>
  <si>
    <t>1990-2007</t>
  </si>
  <si>
    <t>Coke di petrolio</t>
  </si>
  <si>
    <t>antonio.caputo@isprambiente.it</t>
  </si>
  <si>
    <t>Agricoltura e Pesca</t>
  </si>
  <si>
    <t>Industria</t>
  </si>
  <si>
    <t>Domestico</t>
  </si>
  <si>
    <t>Saldo import/export</t>
  </si>
  <si>
    <r>
      <t>t CO</t>
    </r>
    <r>
      <rPr>
        <vertAlign val="subscript"/>
        <sz val="12"/>
        <color indexed="8"/>
        <rFont val="Times New Roman"/>
        <family val="1"/>
      </rPr>
      <t>2</t>
    </r>
    <r>
      <rPr>
        <sz val="12"/>
        <color indexed="8"/>
        <rFont val="Times New Roman"/>
        <family val="1"/>
      </rPr>
      <t xml:space="preserve"> / 10</t>
    </r>
    <r>
      <rPr>
        <vertAlign val="superscript"/>
        <sz val="12"/>
        <color indexed="8"/>
        <rFont val="Times New Roman"/>
        <family val="1"/>
      </rPr>
      <t>3</t>
    </r>
    <r>
      <rPr>
        <sz val="12"/>
        <color indexed="8"/>
        <rFont val="Times New Roman"/>
        <family val="1"/>
      </rPr>
      <t xml:space="preserve"> std m</t>
    </r>
    <r>
      <rPr>
        <vertAlign val="superscript"/>
        <sz val="12"/>
        <color indexed="8"/>
        <rFont val="Times New Roman"/>
        <family val="1"/>
      </rPr>
      <t>3</t>
    </r>
  </si>
  <si>
    <t>1990-2005</t>
  </si>
  <si>
    <t>di cui autoproduttori</t>
  </si>
  <si>
    <t>TWh</t>
  </si>
  <si>
    <t>GAS DA ESTRAZIONE</t>
  </si>
  <si>
    <t>ALTRI COMBUSTIBILI</t>
  </si>
  <si>
    <t>ALTRI COMBUSTIBILI GASSOSI</t>
  </si>
  <si>
    <t>ALTRI COMBUSTIBILI, SOLIDI</t>
  </si>
  <si>
    <t>GAS RESIDUI DI PROCESSI CHIMICI</t>
  </si>
  <si>
    <t>MJ/kWh</t>
  </si>
  <si>
    <t>Prodotti petroliferi*</t>
  </si>
  <si>
    <t>Altri combustibili (solidi)*</t>
  </si>
  <si>
    <t>Altri combustibili (gassosi)*</t>
  </si>
  <si>
    <t>* Secondo classificazione dei combustibili utilizzata da TERNA</t>
  </si>
  <si>
    <t>Gas derivati*</t>
  </si>
  <si>
    <t>BIODIESEL</t>
  </si>
  <si>
    <t>BIOMASSE DA RIFIUTI COMPLETAMENTE BIODEGRADABILI</t>
  </si>
  <si>
    <t>CDR</t>
  </si>
  <si>
    <t>COLTURE E RIFIUTI AGRO INDUSTRIALI</t>
  </si>
  <si>
    <t>RIFIUTI GENERICI CER NON ALTROVE CLASSIFICATI</t>
  </si>
  <si>
    <t>RIFIUTI INDUSTRIALI NON BIODEGRADABILI</t>
  </si>
  <si>
    <t>RIFIUTI LIQUIDI BIODEGRADABILI</t>
  </si>
  <si>
    <t>RSU/RSAU</t>
  </si>
  <si>
    <t>BIOGAS DA DEIEZIONI ANIMALI</t>
  </si>
  <si>
    <t>BIOGAS DA FANGHI DI DEPURAZIONE</t>
  </si>
  <si>
    <t>BIOGAS DA RIFIUTI NON RSU</t>
  </si>
  <si>
    <t>GAS DA PIROLISI O GASSIFICAZIONE DI BIOMASSE/RIFIUTI</t>
  </si>
  <si>
    <t>GAS DA ACCIAIERIA A OSSIGENO</t>
  </si>
  <si>
    <t>GAS D'ALTOFORNO</t>
  </si>
  <si>
    <t>GAS DI COKERIA</t>
  </si>
  <si>
    <t>Petroliferi</t>
  </si>
  <si>
    <t>TERNA</t>
  </si>
  <si>
    <t>EUROSTAT</t>
  </si>
  <si>
    <t>2015, pci 8190 kcal/m3</t>
  </si>
  <si>
    <t>Bioenergie</t>
  </si>
  <si>
    <t>GW</t>
  </si>
  <si>
    <t>.</t>
  </si>
  <si>
    <t>Tipologia di impianto</t>
  </si>
  <si>
    <t>turbo espansione (TE)</t>
  </si>
  <si>
    <t>altro genere (V)</t>
  </si>
  <si>
    <r>
      <t>Potenza efficiente lorda degli impianti termoelettrici per tipologia di impianto</t>
    </r>
    <r>
      <rPr>
        <sz val="12"/>
        <color theme="1"/>
        <rFont val="Times"/>
        <family val="1"/>
      </rPr>
      <t>.</t>
    </r>
  </si>
  <si>
    <t>Raggruppamento dei combustibili secondo le categorie utilizzate da Terna e da Eurostat (nelle successive tabelle e grafici sono utilizzate le categorie Eurostat se non diversamente indicato).</t>
  </si>
  <si>
    <r>
      <t>Produzione elettrica lorda</t>
    </r>
    <r>
      <rPr>
        <b/>
        <vertAlign val="superscript"/>
        <sz val="12"/>
        <rFont val="Times New Roman"/>
        <family val="1"/>
      </rPr>
      <t>2</t>
    </r>
  </si>
  <si>
    <r>
      <t>Produzione termoelettrica lorda</t>
    </r>
    <r>
      <rPr>
        <b/>
        <vertAlign val="superscript"/>
        <sz val="12"/>
        <rFont val="Times New Roman"/>
        <family val="1"/>
      </rPr>
      <t>1</t>
    </r>
  </si>
  <si>
    <r>
      <rPr>
        <vertAlign val="superscript"/>
        <sz val="12"/>
        <rFont val="Times New Roman"/>
        <family val="1"/>
      </rPr>
      <t>1</t>
    </r>
    <r>
      <rPr>
        <sz val="12"/>
        <rFont val="Times New Roman"/>
        <family val="1"/>
      </rPr>
      <t xml:space="preserve"> comprensiva della quota di elettricità prodotta da bioenergie</t>
    </r>
  </si>
  <si>
    <t>GWh lordi</t>
  </si>
  <si>
    <t>ktep elettrici</t>
  </si>
  <si>
    <t>GWh lordi stima</t>
  </si>
  <si>
    <t>scarto</t>
  </si>
  <si>
    <t>PJ elettrici</t>
  </si>
  <si>
    <t>ktep totali (+calore)</t>
  </si>
  <si>
    <t>Calore introdotto (ktep)</t>
  </si>
  <si>
    <t>TJ</t>
  </si>
  <si>
    <t>x = 34578 - y</t>
  </si>
  <si>
    <t>(34578 ktep - y ) / 8.624 + y / 6.502 = 191458 GWh</t>
  </si>
  <si>
    <t>(34578 x 41.868 / 8.624) - (y / 8.624) + y / 6.502 = 191458 GWh</t>
  </si>
  <si>
    <t>167870 - y x (1/8.624 - 1 / 6.502) = 191458</t>
  </si>
  <si>
    <t>- y = (191458 - 167870) / -0.04</t>
  </si>
  <si>
    <t xml:space="preserve">y = </t>
  </si>
  <si>
    <t>x + y = 34578 ktep</t>
  </si>
  <si>
    <t>x - solo elettricità ; y - cogenerative</t>
  </si>
  <si>
    <t>x =</t>
  </si>
  <si>
    <t>GWh</t>
  </si>
  <si>
    <t>ktep</t>
  </si>
  <si>
    <t>ktep input destinati al calore</t>
  </si>
  <si>
    <t>x / 8.624 MJ/kWh + y / 6.502 MJ/kWh = 191458 GWh</t>
  </si>
  <si>
    <t>1 ktep =</t>
  </si>
  <si>
    <t>cogenerative</t>
  </si>
  <si>
    <t>non cogenerative</t>
  </si>
  <si>
    <t>MJ/kWh elettriche</t>
  </si>
  <si>
    <t>MJ/kWh cogenerative</t>
  </si>
  <si>
    <t>Mcal/kWh elettriche</t>
  </si>
  <si>
    <t>Mcal/kWh cogenerative</t>
  </si>
  <si>
    <t>GN</t>
  </si>
  <si>
    <t>GD</t>
  </si>
  <si>
    <t>Dati 2015 lorda</t>
  </si>
  <si>
    <t>Tot</t>
  </si>
  <si>
    <t>Petrol</t>
  </si>
  <si>
    <t>Al gas</t>
  </si>
  <si>
    <t>Al sol</t>
  </si>
  <si>
    <t>t CO2/TJ</t>
  </si>
  <si>
    <t>tep</t>
  </si>
  <si>
    <t>DISTILLATI LEGGERI - 3295 - Other Oil Products</t>
  </si>
  <si>
    <t>GAS DA ESTRAZIONE - 3295 - Other Oil Products</t>
  </si>
  <si>
    <t>ALTRI COMBUSTIBILI GASSOSI - 3295 - Other Oil Products</t>
  </si>
  <si>
    <t>ALTRI COMBUSTIBILI, SOLIDI - 3295 - Other Oil Products</t>
  </si>
  <si>
    <t>GAS RESIDUI DI PROCESSI CHIMICI - 3295 - Other Oil Products</t>
  </si>
  <si>
    <t>ALTRI COMBUSTIBILI, BIOLIQUIDI</t>
  </si>
  <si>
    <t>OLII VEGETALI GREZZI</t>
  </si>
  <si>
    <t>BIOGAS DA ATTIVITA' AGRICOLE e FORESTALI</t>
  </si>
  <si>
    <t>BIOGAS DA COLTURE E RIFIUTI AGRO INDUSTR.</t>
  </si>
  <si>
    <t>BIOGAS DA FORSU (Frazione Organica RSU)</t>
  </si>
  <si>
    <t>BIOGAS DA RIFIUTI SOLIDI URBANI</t>
  </si>
  <si>
    <t>BIOGAS DA RIFIUTI SOLIDI URBANI (smaltiti in discarica)</t>
  </si>
  <si>
    <t>BIOMASSE SOLIDE</t>
  </si>
  <si>
    <t>RIFIUTI SOLIDI URBANI</t>
  </si>
  <si>
    <t>RSU / RSAU, RIFIUTI SOLIDI URBANI O ASSIMILABILI</t>
  </si>
  <si>
    <t>Mt CO2</t>
  </si>
  <si>
    <t>g CO2/kWh 2015</t>
  </si>
  <si>
    <t>GAS DI SINTESI DA PROCESSI DI GASSIFICAZIONE - 3295 - Other Oil Products</t>
  </si>
  <si>
    <t>GD secondo terna</t>
  </si>
  <si>
    <t>Petrol secondo terna</t>
  </si>
  <si>
    <t>Al sol secondo terna</t>
  </si>
  <si>
    <t>Al gas secondo terna</t>
  </si>
  <si>
    <t>Dati 2010 lorda</t>
  </si>
  <si>
    <t>ALTRI COMBUSTIBILI - 3295 - Other Oil Products</t>
  </si>
  <si>
    <t>IDROGENO - 3295 - Other Oil Products</t>
  </si>
  <si>
    <t>Dati 2005 lorda</t>
  </si>
  <si>
    <t>Dati 2000 lorda</t>
  </si>
  <si>
    <t>Altri</t>
  </si>
  <si>
    <t>g CO2/kWh 2000</t>
  </si>
  <si>
    <t>g CO2/kWh 2005</t>
  </si>
  <si>
    <t>g CO2/kWh 2010</t>
  </si>
  <si>
    <t>STIMA, SONO CAMBIATI I TOTALI DI PRODUZIONE GN E QUANTITA' ENERGETICHE DI TUTTI RISPETTO AL RAPPORTO DEL 2000</t>
  </si>
  <si>
    <t>dati pubblicati da TERNA nel 2000</t>
  </si>
  <si>
    <t>dati comunicati da TERNA nei questionari del 2016</t>
  </si>
  <si>
    <t>Dati 2016 lorda</t>
  </si>
  <si>
    <t>g CO2/kWh 2016</t>
  </si>
  <si>
    <t>TJ input non cog</t>
  </si>
  <si>
    <t>TJ input cogen</t>
  </si>
  <si>
    <t>ktep cogen</t>
  </si>
  <si>
    <t>ktep non cogen</t>
  </si>
  <si>
    <t>Consumi specifici - centrali non cogenerative (Mcal/kWh elettrici)</t>
  </si>
  <si>
    <t>Consumi specifici - centrali cogenerative (Mcal/kWh elettrici)</t>
  </si>
  <si>
    <t>- per produzione elettrica</t>
  </si>
  <si>
    <t>- per produzione di calore</t>
  </si>
  <si>
    <t>- centrali cogenerative</t>
  </si>
  <si>
    <t xml:space="preserve"> - centrali non cogenerative</t>
  </si>
  <si>
    <t>in ingresso</t>
  </si>
  <si>
    <t>sui dati 2015</t>
  </si>
  <si>
    <t>Altri solidi</t>
  </si>
  <si>
    <t>Altri gassosi</t>
  </si>
  <si>
    <t>g CO2/kWh</t>
  </si>
  <si>
    <t>Consumo di energia - parco termoelettrico (ktep)</t>
  </si>
  <si>
    <t>Consumo di energia per la produzione elettrica</t>
  </si>
  <si>
    <t>Ore equivalenti medie annue</t>
  </si>
  <si>
    <r>
      <t>h</t>
    </r>
    <r>
      <rPr>
        <b/>
        <vertAlign val="subscript"/>
        <sz val="12"/>
        <rFont val="Times New Roman"/>
        <family val="1"/>
      </rPr>
      <t>eq</t>
    </r>
  </si>
  <si>
    <t>TJ totali</t>
  </si>
  <si>
    <t>Calore prodotto (ktep)</t>
  </si>
  <si>
    <t>Consumo di energia totale nelle cogenerative e calore prodotto (ktep)</t>
  </si>
  <si>
    <t>Consumo totale energia (ktep)</t>
  </si>
  <si>
    <t>Consumi per energia elettrica</t>
  </si>
  <si>
    <t>Consumo di energia destinata alla produzione elettrica per tipologia di impianto e tipologia di combustibile. Classificazione dei combustibili secondo Terna.</t>
  </si>
  <si>
    <t>Consumo di energia delle centrali cogenerative per tipologia di impianto e tipologia di combustibile. Classificazione dei combustibili secondo Terna.</t>
  </si>
  <si>
    <t>CO2 per produzione calore (Mt)</t>
  </si>
  <si>
    <t>FE g CO2/kWht</t>
  </si>
  <si>
    <t>CO2 per produzione calore+elc (Mt)</t>
  </si>
  <si>
    <t>FE g CO2/kWh</t>
  </si>
  <si>
    <t>FE g CO2/kWh (elc+heat)</t>
  </si>
  <si>
    <t>Impianti non cogenerativi</t>
  </si>
  <si>
    <t>Impianti cogenerativi</t>
  </si>
  <si>
    <t>Efficienza ele</t>
  </si>
  <si>
    <t>Efficienza ele+cal</t>
  </si>
  <si>
    <t>Eff. Totale parco</t>
  </si>
  <si>
    <t>g CO2/kWh (elettricità e calore)</t>
  </si>
  <si>
    <t>g CO2/kWh (calore)</t>
  </si>
  <si>
    <t>Per informazioni:</t>
  </si>
  <si>
    <t>0. Raggruppamento dei combustibili secondo le categorie utilizzate da Terna e da Eurostat</t>
  </si>
  <si>
    <t>Produzione lorda di energia elettrica da impianti cogenerativi e non cogenerativi.</t>
  </si>
  <si>
    <t>Carbone</t>
  </si>
  <si>
    <t>Carbone sub-bituminoso</t>
  </si>
  <si>
    <t>Lignite</t>
  </si>
  <si>
    <t>Gas da acciaieria a ossigeno</t>
  </si>
  <si>
    <t>Gas da estrazione</t>
  </si>
  <si>
    <t>Gas d'altoforno</t>
  </si>
  <si>
    <t>Cherosene</t>
  </si>
  <si>
    <t>Gas di petrolio liquefatto</t>
  </si>
  <si>
    <t>Gasolio</t>
  </si>
  <si>
    <t>Nafta</t>
  </si>
  <si>
    <t>Orimulsion</t>
  </si>
  <si>
    <t>Petrolio grezzo</t>
  </si>
  <si>
    <t>Altri bioliquidi</t>
  </si>
  <si>
    <t>Altri combustibili solidi</t>
  </si>
  <si>
    <t>Biodiesel</t>
  </si>
  <si>
    <t>Biomasse da rifiuti completamente biodegradabili</t>
  </si>
  <si>
    <t>Gas di sintesi da processi di gassificazione</t>
  </si>
  <si>
    <t>Gas residui di processi chimici</t>
  </si>
  <si>
    <t>Oli vegetali grezzi</t>
  </si>
  <si>
    <t>Rifiuti generici CER non altrove classificati</t>
  </si>
  <si>
    <t>Rifiuti industriali non biodegradabili</t>
  </si>
  <si>
    <t>Rifiuti liquidi biodegradabili</t>
  </si>
  <si>
    <t>Altri combustibili gassosi</t>
  </si>
  <si>
    <t>Biogas da attività agricole e forestali</t>
  </si>
  <si>
    <t>Biogas da deiezioni animali</t>
  </si>
  <si>
    <t>Biogas da fanghi di depurazione</t>
  </si>
  <si>
    <t>Biogas da FORSU</t>
  </si>
  <si>
    <t>Biogas da rifiuti non RSU</t>
  </si>
  <si>
    <t>Gas da pirolisi o gassificazione di biomasse/rifiuti</t>
  </si>
  <si>
    <t>Gas serra</t>
  </si>
  <si>
    <t>GHG</t>
  </si>
  <si>
    <t>Contaminanti atmosferici</t>
  </si>
  <si>
    <t>kt</t>
  </si>
  <si>
    <t>Composti organici volatili non metanici - COVNM</t>
  </si>
  <si>
    <t>Carbone, IPCC 2006,         media</t>
  </si>
  <si>
    <t>Carbone, IPCC 1996</t>
  </si>
  <si>
    <r>
      <t>Mt CO</t>
    </r>
    <r>
      <rPr>
        <b/>
        <vertAlign val="subscript"/>
        <sz val="12"/>
        <color theme="1"/>
        <rFont val="Times New Roman"/>
        <family val="1"/>
      </rPr>
      <t>2eq</t>
    </r>
  </si>
  <si>
    <r>
      <t>Anidride carbonica - CO</t>
    </r>
    <r>
      <rPr>
        <b/>
        <vertAlign val="subscript"/>
        <sz val="12"/>
        <color theme="1"/>
        <rFont val="Times New Roman"/>
        <family val="1"/>
      </rPr>
      <t>2</t>
    </r>
  </si>
  <si>
    <r>
      <t>Metano - CH</t>
    </r>
    <r>
      <rPr>
        <b/>
        <vertAlign val="subscript"/>
        <sz val="12"/>
        <color theme="1"/>
        <rFont val="Times New Roman"/>
        <family val="1"/>
      </rPr>
      <t>4</t>
    </r>
  </si>
  <si>
    <r>
      <t>Protossido di azoto - N</t>
    </r>
    <r>
      <rPr>
        <b/>
        <vertAlign val="subscript"/>
        <sz val="12"/>
        <color theme="1"/>
        <rFont val="Times New Roman"/>
        <family val="1"/>
      </rPr>
      <t>2</t>
    </r>
    <r>
      <rPr>
        <b/>
        <sz val="12"/>
        <color theme="1"/>
        <rFont val="Times New Roman"/>
        <family val="1"/>
      </rPr>
      <t>O</t>
    </r>
  </si>
  <si>
    <r>
      <t>Ossidi di azoto - NO</t>
    </r>
    <r>
      <rPr>
        <b/>
        <vertAlign val="subscript"/>
        <sz val="12"/>
        <color theme="1"/>
        <rFont val="Times New Roman"/>
        <family val="1"/>
      </rPr>
      <t>x</t>
    </r>
  </si>
  <si>
    <r>
      <t>Ossidi di zolfo - SO</t>
    </r>
    <r>
      <rPr>
        <b/>
        <vertAlign val="subscript"/>
        <sz val="12"/>
        <color theme="1"/>
        <rFont val="Times New Roman"/>
        <family val="1"/>
      </rPr>
      <t>x</t>
    </r>
  </si>
  <si>
    <r>
      <t>Ammoniaca - NH</t>
    </r>
    <r>
      <rPr>
        <b/>
        <vertAlign val="subscript"/>
        <sz val="12"/>
        <color theme="1"/>
        <rFont val="Times New Roman"/>
        <family val="1"/>
      </rPr>
      <t>3</t>
    </r>
  </si>
  <si>
    <r>
      <t>Materiale particolato - PM</t>
    </r>
    <r>
      <rPr>
        <b/>
        <vertAlign val="subscript"/>
        <sz val="12"/>
        <color theme="1"/>
        <rFont val="Times New Roman"/>
        <family val="1"/>
      </rPr>
      <t>10</t>
    </r>
  </si>
  <si>
    <t>g CO2eq/kWh*</t>
  </si>
  <si>
    <t>Calcolo DEFINITIVO</t>
  </si>
  <si>
    <t>GWh (calore)</t>
  </si>
  <si>
    <t>Monossido di carbonio - CO</t>
  </si>
  <si>
    <t>* energia elettrica totale al netto dai pompaggi + calore in kWh</t>
  </si>
  <si>
    <t>20. Consumo di energia destinata alla produzione elettrica per tipologia di impianto e tipologia di combustibile</t>
  </si>
  <si>
    <t>21. Consumo di energia delle centrali cogenerative per tipologia di impianto e tipologia di combustibile</t>
  </si>
  <si>
    <t>24. Efficienza elettrica e totale per tipologia di impianto e tipologia di combustibile</t>
  </si>
  <si>
    <t>22. Produzione di calore delle centrali cogenerative per tipologia di impianto e tipologia di combustibile</t>
  </si>
  <si>
    <t>23. Consumi energetici ed efficienza del parco termoelettrico</t>
  </si>
  <si>
    <t>mg/kWh*</t>
  </si>
  <si>
    <t>Idroelettrica (no pompaggi)</t>
  </si>
  <si>
    <t>Anidride carbonica - CO2</t>
  </si>
  <si>
    <t>Metano - CH4</t>
  </si>
  <si>
    <t>Protossido di azoto - N2O</t>
  </si>
  <si>
    <t>QUADRATURA CONSUMI ELETTRICI CON EUROSTAT</t>
  </si>
  <si>
    <t>Autoproduzione</t>
  </si>
  <si>
    <t>Emissioni da consumi elettrici (Mt CO2eq)</t>
  </si>
  <si>
    <t>Servizi</t>
  </si>
  <si>
    <t>Residenziale</t>
  </si>
  <si>
    <t>Trasporti</t>
  </si>
  <si>
    <t>Dati 2017 lorda</t>
  </si>
  <si>
    <t>Liquidi da gas naturale</t>
  </si>
  <si>
    <t>g CO2eq/kWh</t>
  </si>
  <si>
    <t>Fattori di emissione per la produzione termoelettrica lorda per tipologia di impianto e tipologia di combustibile. Classificazione dei combustibili secondo Terna.</t>
  </si>
  <si>
    <t>Fattori di emissione per produzione lorda di energia elettrica e calore delle centrali cogenerative per tipologia di impianto e tipologia di combustibile. Classificazione dei combustibili secondo Terna.</t>
  </si>
  <si>
    <t>Fattori di emissioni di contaminanti atmosferici dal settore elettrico per la produzione lorda di energia elettrica e calore.</t>
  </si>
  <si>
    <t>Efficienza di conversione di calore nelle CHP</t>
  </si>
  <si>
    <t>Rendimento totale</t>
  </si>
  <si>
    <t>Rendimento elettrico</t>
  </si>
  <si>
    <t>Rend. totale - parco termoelettrico</t>
  </si>
  <si>
    <t>p - stime provvisorie</t>
  </si>
  <si>
    <t>Dati 2018 lorda</t>
  </si>
  <si>
    <t>celle combustibili (CEL)</t>
  </si>
  <si>
    <t>a celle combustibile (CEC)</t>
  </si>
  <si>
    <t>celle combustibili con cogenerazione (CEC)</t>
  </si>
  <si>
    <t>a celle combustibili (CEL)</t>
  </si>
  <si>
    <t>a celle combustibili con cogenerazione (CEC)</t>
  </si>
  <si>
    <t>Totale in primaria</t>
  </si>
  <si>
    <t>fattore conversione solo termoelettrico</t>
  </si>
  <si>
    <t>Produzione lorda + netto import/export</t>
  </si>
  <si>
    <t>fattore conversione in primaria incluso import</t>
  </si>
  <si>
    <t>Coke di petrolio (nelle raffinerie)</t>
  </si>
  <si>
    <t>Biometano*</t>
  </si>
  <si>
    <t>* Dal 2017 si registra la produzione di energia elettrica biometano. Terna conteggia la produzionde da biometano nel gas naturale riportato in Tabella 1. L’energia elettrica da biometano è calcolata da GSE in base all’incidenza del biometano rispetto ai consumi di gas naturale per la generazione elettrica ed è conteggiata ai soli fini del monitoraggio della Direttiva 2009/28/CE.</t>
  </si>
  <si>
    <t>g CO2/kWh 2018</t>
  </si>
  <si>
    <t>g CO2/kWh 2017</t>
  </si>
  <si>
    <t>DATO AGGIORNATO</t>
  </si>
  <si>
    <t>FC_E - Final consumption - energy use (ktep)</t>
  </si>
  <si>
    <t>NRG_CM_E - Energy sector - coal mines - energy use</t>
  </si>
  <si>
    <t>NRG_OIL_NG_E - Energy sector - oil and natural gas extraction plants - energy use</t>
  </si>
  <si>
    <t>NRG_CO_E - Energy sector - coke ovens - energy use</t>
  </si>
  <si>
    <t>NRG_PR_E - Energy sector - petroleum refineries (oil refineries) - energy use</t>
  </si>
  <si>
    <t>NRG_NI_E - Energy sector - nuclear industry - energy use</t>
  </si>
  <si>
    <t>NRG_NSP_E - Energy sector - not elsewhere specified - energy use</t>
  </si>
  <si>
    <t>Fattore emissione consumi elettrici</t>
  </si>
  <si>
    <t>Produzione elettrica da impianti non cogenerativi</t>
  </si>
  <si>
    <t>Produzione elettrica da impianti cogenerativi</t>
  </si>
  <si>
    <t>RENDIMENTO TERMICO</t>
  </si>
  <si>
    <t>Dati 2019 lorda</t>
  </si>
  <si>
    <t>quadratura</t>
  </si>
  <si>
    <t>di cui biometano</t>
  </si>
  <si>
    <t>Civile</t>
  </si>
  <si>
    <t>Consumi finali di gas naturale - ktep</t>
  </si>
  <si>
    <t>Consumi finali totali</t>
  </si>
  <si>
    <t>% elc su consumi totali</t>
  </si>
  <si>
    <t>% consumi finali GN</t>
  </si>
  <si>
    <t>di cui trasporti (+ magazzinaggio)</t>
  </si>
  <si>
    <t>Agricoltura</t>
  </si>
  <si>
    <t>Industria + costruzioni</t>
  </si>
  <si>
    <t>Value added, gross</t>
  </si>
  <si>
    <t>Current prices, billion euro</t>
  </si>
  <si>
    <t>billion/TWh</t>
  </si>
  <si>
    <t>Emissioni di contaminanti atmosferici dal settore elettrico per la produzione di energia elettrica e calore.</t>
  </si>
  <si>
    <t>Rend. elettrico - parco termoelettrico</t>
  </si>
  <si>
    <t>Rend. elettrico equivalente - parco termoelettrico</t>
  </si>
  <si>
    <t>Rend. elettrico - centrali cogenerative</t>
  </si>
  <si>
    <t>Rend. elettrico equivalente - centrali cogenerative</t>
  </si>
  <si>
    <t>Rend. totale - centrali cogenerative</t>
  </si>
  <si>
    <t>Rend. elettrico - centrali non cogenerative</t>
  </si>
  <si>
    <t>Dati 2020 lorda</t>
  </si>
  <si>
    <t>g CO2/kWh 2020</t>
  </si>
  <si>
    <t>g CO2/kWh 2019</t>
  </si>
  <si>
    <t>2020, pci 8190 kcal/m3</t>
  </si>
  <si>
    <t>0 - 1 MW</t>
  </si>
  <si>
    <t>1 - 10 MW</t>
  </si>
  <si>
    <t>&gt; 10 MW</t>
  </si>
  <si>
    <t>Sola produzione di energia elettrica</t>
  </si>
  <si>
    <t xml:space="preserve"> - Solidi</t>
  </si>
  <si>
    <t>rifiuti solidi urbani biodegradabili(b)</t>
  </si>
  <si>
    <t>biomasse solide</t>
  </si>
  <si>
    <t xml:space="preserve"> - Biogas</t>
  </si>
  <si>
    <t>da rifiuti</t>
  </si>
  <si>
    <t>da fanghi</t>
  </si>
  <si>
    <t>da deiezioni animali</t>
  </si>
  <si>
    <t>da attività agricole e forestali</t>
  </si>
  <si>
    <t xml:space="preserve"> - Bioliquidi</t>
  </si>
  <si>
    <t>oli vegetali grezzi</t>
  </si>
  <si>
    <t>altri bioliquidi</t>
  </si>
  <si>
    <t>Cogenerazione</t>
  </si>
  <si>
    <t>rifiuti solidi urbani biodegradabili</t>
  </si>
  <si>
    <t>Costruzioni</t>
  </si>
  <si>
    <t>Estrattive</t>
  </si>
  <si>
    <t>cambio metodo terna</t>
  </si>
  <si>
    <t>Consumi industria (dettaglio)</t>
  </si>
  <si>
    <t>Manifatturiere</t>
  </si>
  <si>
    <t>Energia, acqua, rifiuti</t>
  </si>
  <si>
    <t>Dati 2021 lorda</t>
  </si>
  <si>
    <t>da pompaggio (puro e misto)</t>
  </si>
  <si>
    <t>2021, pci 8190 kcal/m3</t>
  </si>
  <si>
    <t>1990-2016</t>
  </si>
  <si>
    <t>Calore prodotto (GWh)</t>
  </si>
  <si>
    <t>Calore prodotto</t>
  </si>
  <si>
    <t>Calore utile (GWh)</t>
  </si>
  <si>
    <t>Efficienza di recupero termico</t>
  </si>
  <si>
    <t>Efficienza di recupero termico (calore utile/calore prodotto)</t>
  </si>
  <si>
    <t>Rendimento elettrico, rendimento totale ed efficienza di recupero termico per tipologia di impianto e tipologia di combustibile. Per gli impianti cogenerativi e per l'intero parco termoelettrico è riportato il rendimento elettrico equivalente. Classificazione dei combustibili secondo Terna.</t>
  </si>
  <si>
    <t>Produzione di calore delle centrali cogenerative e rendimento termico per tipologia di impianto e tipologia di combustibile. Classificazione dei combustibili secondo Terna.</t>
  </si>
  <si>
    <t>Rendimento termico</t>
  </si>
  <si>
    <t>Servizi (senza trasporti)</t>
  </si>
  <si>
    <t>Trasporti (+magazzinaggio)</t>
  </si>
  <si>
    <t>Electricity efficiency - CHP</t>
  </si>
  <si>
    <t>Electricity efficiency - No CHP</t>
  </si>
  <si>
    <t>Electricity efficiency - Power plants</t>
  </si>
  <si>
    <t>Total efficiency - Power plants</t>
  </si>
  <si>
    <t>Equivalent electrical efficiency - Power plants</t>
  </si>
  <si>
    <t>Equivalent electrical efficiency - CHP</t>
  </si>
  <si>
    <t>Total efficiency - CHP</t>
  </si>
  <si>
    <t>Dati 2022 lorda</t>
  </si>
  <si>
    <t>Prodotti petrol</t>
  </si>
  <si>
    <t>Coal</t>
  </si>
  <si>
    <t>Bio</t>
  </si>
  <si>
    <t>TWh netti</t>
  </si>
  <si>
    <t>potenza efficiente netta</t>
  </si>
  <si>
    <t>Dati 2010</t>
  </si>
  <si>
    <t>Dati 2015</t>
  </si>
  <si>
    <t>% cogenerativa</t>
  </si>
  <si>
    <t>Quota produzione cicli combianti</t>
  </si>
  <si>
    <t>Cicli combinati (produzione)</t>
  </si>
  <si>
    <t>Cicli combinati (potenza)</t>
  </si>
  <si>
    <t>Quota potenza cicli combinati</t>
  </si>
  <si>
    <t>AL</t>
  </si>
  <si>
    <t>CSC</t>
  </si>
  <si>
    <t>CPC</t>
  </si>
  <si>
    <t>CCC</t>
  </si>
  <si>
    <t>TGC</t>
  </si>
  <si>
    <t>CIC</t>
  </si>
  <si>
    <t>RP</t>
  </si>
  <si>
    <t>CC</t>
  </si>
  <si>
    <t>C</t>
  </si>
  <si>
    <t>TG</t>
  </si>
  <si>
    <t>CI</t>
  </si>
  <si>
    <t>Potenza lorda</t>
  </si>
  <si>
    <t>Consumo totale centrali</t>
  </si>
  <si>
    <t>g/kWh</t>
  </si>
  <si>
    <t xml:space="preserve"> PM10</t>
  </si>
  <si>
    <t xml:space="preserve"> NH3</t>
  </si>
  <si>
    <t xml:space="preserve"> N2O</t>
  </si>
  <si>
    <t xml:space="preserve"> CH4</t>
  </si>
  <si>
    <t xml:space="preserve"> CO</t>
  </si>
  <si>
    <t xml:space="preserve"> COVNM</t>
  </si>
  <si>
    <t xml:space="preserve"> SOx</t>
  </si>
  <si>
    <t xml:space="preserve"> NOx</t>
  </si>
  <si>
    <t>Stima F.E. (E.E. totale)</t>
  </si>
  <si>
    <t>Stima F.E. (E.E. da termoelettrico compresa geotermia)</t>
  </si>
  <si>
    <t>t</t>
  </si>
  <si>
    <t>Stima Emissioni (E.E.)</t>
  </si>
  <si>
    <t>Stime Mario (elettrico) kt</t>
  </si>
  <si>
    <t>% differenze</t>
  </si>
  <si>
    <t>Differenze (kt)</t>
  </si>
  <si>
    <t>Stima Emissioni (E.E. + calore)</t>
  </si>
  <si>
    <t>Rapporto tra HEAT/E.E.</t>
  </si>
  <si>
    <t>%</t>
  </si>
  <si>
    <t>Scarto della stima sulle emissioni di CO2 calcolate</t>
  </si>
  <si>
    <t>Mt</t>
  </si>
  <si>
    <r>
      <t xml:space="preserve">Emissioni CO2 da elettricità </t>
    </r>
    <r>
      <rPr>
        <b/>
        <sz val="11"/>
        <color rgb="FFFF0000"/>
        <rFont val="Calibri"/>
        <family val="2"/>
        <scheme val="minor"/>
      </rPr>
      <t>calcolate</t>
    </r>
  </si>
  <si>
    <r>
      <t xml:space="preserve">Emissioni CO2 da elettricità </t>
    </r>
    <r>
      <rPr>
        <b/>
        <sz val="11"/>
        <color rgb="FFFF0000"/>
        <rFont val="Calibri"/>
        <family val="2"/>
        <scheme val="minor"/>
      </rPr>
      <t>stimate</t>
    </r>
  </si>
  <si>
    <t xml:space="preserve"> CO2 - Emis. E.E. e calore (SNAP 0101+0102 / CRF 1.A.1.a)</t>
  </si>
  <si>
    <t>Consumo per la produzione di calore</t>
  </si>
  <si>
    <t>Produzione elettrica lorda totale al netto da pompaggi</t>
  </si>
  <si>
    <t>Produzione termoelettrica lorda (compresa geotermia)</t>
  </si>
  <si>
    <t>Consumo TERNA totale (E.E. e calore)</t>
  </si>
  <si>
    <t>Consumo TERNA per produzione termoelettrica</t>
  </si>
  <si>
    <t>Consumo energetico - CRF 1.A.1.a (E.E. e calore)</t>
  </si>
  <si>
    <t>UM</t>
  </si>
  <si>
    <t>Emissioni da E.E. e calore (SNAP 0101+0102 / CRF 1.A.1.a)</t>
  </si>
  <si>
    <t>Quantità</t>
  </si>
  <si>
    <t>Stima fattore conversione in energia primaria</t>
  </si>
  <si>
    <t>2022, pci 8190 kcal/m3</t>
  </si>
  <si>
    <t>Consumi di energia elettrica per settore (TWh).</t>
  </si>
  <si>
    <t>Consumi Terna</t>
  </si>
  <si>
    <t>Elettricità e gas</t>
  </si>
  <si>
    <t>t CO2 / TJ</t>
  </si>
  <si>
    <t>t CO2 / t</t>
  </si>
  <si>
    <t>t CO2 / toe</t>
  </si>
  <si>
    <t>2005-2012</t>
  </si>
  <si>
    <t>Rifiuti industriali</t>
  </si>
  <si>
    <t>elc/fuel tot</t>
  </si>
  <si>
    <t>elc+heat/fuel tot</t>
  </si>
  <si>
    <t>elc/fuel elc</t>
  </si>
  <si>
    <t>Calore</t>
  </si>
  <si>
    <t>Elettricità CHP</t>
  </si>
  <si>
    <t>Elettricità no CHP</t>
  </si>
  <si>
    <t>Rend totale</t>
  </si>
  <si>
    <t>Rend el. eq.</t>
  </si>
  <si>
    <t>Rend tot</t>
  </si>
  <si>
    <t>variazione annuale</t>
  </si>
  <si>
    <t>Rend totale CHP</t>
  </si>
  <si>
    <t>Rend el. eq. CHP</t>
  </si>
  <si>
    <t>Rend el. no CHP</t>
  </si>
  <si>
    <t>Rend el. Eq. CHP</t>
  </si>
  <si>
    <t>Elettricità termo tot</t>
  </si>
  <si>
    <t>Elettricità totale</t>
  </si>
  <si>
    <t>GWh totali</t>
  </si>
  <si>
    <t>H/E CHP</t>
  </si>
  <si>
    <t>Energia elettrica prodotta GWh</t>
  </si>
  <si>
    <t>Energia consumata TJ</t>
  </si>
  <si>
    <t>H/E tot</t>
  </si>
  <si>
    <t>Rifiuti solidi urbani (quota fossile)</t>
  </si>
  <si>
    <r>
      <t>Perdite di rete</t>
    </r>
    <r>
      <rPr>
        <b/>
        <vertAlign val="superscript"/>
        <sz val="12"/>
        <rFont val="Times New Roman"/>
        <family val="1"/>
      </rPr>
      <t>4</t>
    </r>
  </si>
  <si>
    <t>TITOLO</t>
  </si>
  <si>
    <t>Fattori di emissione per la produzione ed il consumo di energia elettrica in Italia</t>
  </si>
  <si>
    <t>PERIODO DI RIFERIMENTO</t>
  </si>
  <si>
    <t>ABSTRACT</t>
  </si>
  <si>
    <t>AUTORE</t>
  </si>
  <si>
    <t>ISPRA</t>
  </si>
  <si>
    <t>DATA DI PUBBLICAZIONE</t>
  </si>
  <si>
    <t>SITO WEB</t>
  </si>
  <si>
    <t>https://emissioni.sina.isprambiente.it</t>
  </si>
  <si>
    <t>Altre fonti termoelettrico</t>
  </si>
  <si>
    <t>Pompaggi</t>
  </si>
  <si>
    <r>
      <t>Consumi elettrici</t>
    </r>
    <r>
      <rPr>
        <b/>
        <vertAlign val="superscript"/>
        <sz val="12"/>
        <rFont val="Times New Roman"/>
        <family val="1"/>
      </rPr>
      <t>3</t>
    </r>
  </si>
  <si>
    <r>
      <t>Produzione termoelettrica lorda e calore</t>
    </r>
    <r>
      <rPr>
        <b/>
        <vertAlign val="superscript"/>
        <sz val="12"/>
        <rFont val="Times New Roman"/>
        <family val="1"/>
      </rPr>
      <t>1,5</t>
    </r>
  </si>
  <si>
    <r>
      <t>Produzione elettrica lorda e calore</t>
    </r>
    <r>
      <rPr>
        <b/>
        <vertAlign val="superscript"/>
        <sz val="12"/>
        <rFont val="Times New Roman"/>
        <family val="1"/>
      </rPr>
      <t>2,5</t>
    </r>
  </si>
  <si>
    <r>
      <t>Produzione di calore</t>
    </r>
    <r>
      <rPr>
        <b/>
        <vertAlign val="superscript"/>
        <sz val="12"/>
        <rFont val="Times New Roman"/>
        <family val="1"/>
      </rPr>
      <t>5</t>
    </r>
  </si>
  <si>
    <t>Produzione termoelettrica lorda
(solo fossili)</t>
  </si>
  <si>
    <r>
      <rPr>
        <vertAlign val="superscript"/>
        <sz val="12"/>
        <rFont val="Times New Roman"/>
        <family val="1"/>
      </rPr>
      <t>3</t>
    </r>
    <r>
      <rPr>
        <sz val="12"/>
        <rFont val="Times New Roman"/>
        <family val="1"/>
      </rPr>
      <t xml:space="preserve"> incluse le perdite di rete e la quota importata</t>
    </r>
  </si>
  <si>
    <r>
      <rPr>
        <vertAlign val="superscript"/>
        <sz val="12"/>
        <rFont val="Times New Roman"/>
        <family val="1"/>
      </rPr>
      <t>4</t>
    </r>
    <r>
      <rPr>
        <sz val="12"/>
        <rFont val="Times New Roman"/>
        <family val="1"/>
      </rPr>
      <t xml:space="preserve"> fattore di emissione della produzione elettrica per la quota di perdite di energia elettrica prodotta</t>
    </r>
  </si>
  <si>
    <r>
      <rPr>
        <vertAlign val="superscript"/>
        <sz val="12"/>
        <rFont val="Times New Roman"/>
        <family val="1"/>
      </rPr>
      <t>5</t>
    </r>
    <r>
      <rPr>
        <sz val="12"/>
        <rFont val="Times New Roman"/>
        <family val="1"/>
      </rPr>
      <t xml:space="preserve"> considerate anche le emissioni di CO2 per la produzione di calore (calore convertito in kWh)</t>
    </r>
  </si>
  <si>
    <t>Dati 2023 lorda</t>
  </si>
  <si>
    <t>Benzina</t>
  </si>
  <si>
    <t>2023, pci 8190 kcal/m3</t>
  </si>
  <si>
    <t>Percentuale della produzione termoelettrica lorda per combustibile. * stime Ispra su dati preliminari Terna.</t>
  </si>
  <si>
    <r>
      <t>Andamento del fattore di emissione di CO</t>
    </r>
    <r>
      <rPr>
        <i/>
        <vertAlign val="subscript"/>
        <sz val="12"/>
        <color theme="1"/>
        <rFont val="Times New Roman"/>
        <family val="1"/>
      </rPr>
      <t>2</t>
    </r>
    <r>
      <rPr>
        <i/>
        <sz val="12"/>
        <color theme="1"/>
        <rFont val="Times New Roman"/>
        <family val="1"/>
      </rPr>
      <t xml:space="preserve"> in grammi per kWh elettrico prodotto (lordo) e consumato. 
La produzione termoelettrica comprende anche la generazione da biomasse, bioliquidi e biogas.
Nella produzione elettrica totale è compresa la generazione elettrica da fonti rinnovabili.
Nei consumi elettrici sono considerate le perdite di rete, l'energia richiesta dai servizi ausiliari e la quota di energia elettrica importata.
* stime preliminari Ispra.</t>
    </r>
  </si>
  <si>
    <t>Consumi energetici e rendimenti del parco termoelettrico. * stime preliminari</t>
  </si>
  <si>
    <t>Emissioni di gas serra dal settore elettrico per la produzione di energia elettrica e calore. Le emissioni storiche possono essere soggette a revisioni. * stime preliminari</t>
  </si>
  <si>
    <r>
      <t>Variazione annuale rispetto al 1990 della produzione termoelettrica e delle emissioni di CO</t>
    </r>
    <r>
      <rPr>
        <i/>
        <vertAlign val="subscript"/>
        <sz val="12"/>
        <color theme="1"/>
        <rFont val="Times"/>
      </rPr>
      <t>2</t>
    </r>
    <r>
      <rPr>
        <i/>
        <sz val="12"/>
        <color theme="1"/>
        <rFont val="Times"/>
        <family val="1"/>
      </rPr>
      <t xml:space="preserve"> per combustibile (1990=100). * stime Ispra su dati preliminari Terna.</t>
    </r>
  </si>
  <si>
    <r>
      <t>Andamento della quota di CO</t>
    </r>
    <r>
      <rPr>
        <i/>
        <vertAlign val="subscript"/>
        <sz val="12"/>
        <color theme="1"/>
        <rFont val="Times"/>
      </rPr>
      <t>2</t>
    </r>
    <r>
      <rPr>
        <i/>
        <sz val="12"/>
        <color theme="1"/>
        <rFont val="Times"/>
        <family val="1"/>
      </rPr>
      <t xml:space="preserve"> da produzione termoelettrica per combustibile. * stime Ispra su dati preliminari Terna.</t>
    </r>
  </si>
  <si>
    <t>Media ponderata: Idrocarburi pesanti per gassificazione+Gas di sintesi</t>
  </si>
  <si>
    <t>Accumuli stand alone</t>
  </si>
  <si>
    <t>di cui da accumuli stand alone</t>
  </si>
  <si>
    <t>Stima di emissioni di gas serra dal settore elettrico per la produzione di energia elettrica.* stime preliminari</t>
  </si>
  <si>
    <t>Stima dei fattori di emissione di gas serra dal settore elettrico per il consumo elettrico.* stime preliminari</t>
  </si>
  <si>
    <t>Dati di autoproduzione e autoconsumo di energia elettrica.</t>
  </si>
  <si>
    <r>
      <rPr>
        <vertAlign val="superscript"/>
        <sz val="12"/>
        <rFont val="Times New Roman"/>
        <family val="1"/>
      </rPr>
      <t>2</t>
    </r>
    <r>
      <rPr>
        <sz val="12"/>
        <rFont val="Times New Roman"/>
        <family val="1"/>
      </rPr>
      <t xml:space="preserve"> incluse rinnovabili, al netto di apporti da pompaggio e da accumulo</t>
    </r>
  </si>
  <si>
    <t>Gas naturale**</t>
  </si>
  <si>
    <t>** La quota di produzione elettrica da biometano nel 2017 e 2018 ha emissioni zero.</t>
  </si>
  <si>
    <t>Assorbita da accumuli stand alone</t>
  </si>
  <si>
    <t>Cessioni degli Autoproduttori</t>
  </si>
  <si>
    <t>dato Terna</t>
  </si>
  <si>
    <t>Note</t>
  </si>
  <si>
    <t>Valori di default per tutti gli anni</t>
  </si>
  <si>
    <t>IPCC, 2006</t>
  </si>
  <si>
    <t>GPL/Distillati leggeri</t>
  </si>
  <si>
    <t>Naphta</t>
  </si>
  <si>
    <t>Kerosene</t>
  </si>
  <si>
    <t>* stime preliminari</t>
  </si>
  <si>
    <t>Fattori di emissione medi nazionali per contenuto di energia primaria nel combustibile.</t>
  </si>
  <si>
    <t>2025*</t>
  </si>
  <si>
    <t>Simple Moving Average</t>
  </si>
  <si>
    <t>alpha</t>
  </si>
  <si>
    <t>forecast</t>
  </si>
  <si>
    <t>s.e.</t>
  </si>
  <si>
    <t>lower</t>
  </si>
  <si>
    <t>upper</t>
  </si>
  <si>
    <t>MAE</t>
  </si>
  <si>
    <t>MSE</t>
  </si>
  <si>
    <t>MAPE</t>
  </si>
  <si>
    <t>Produzione lorda per combustibile/fonte, consumi di energia elettrica e emissioni di CO2. * Stime Ispra su dati Terna.</t>
  </si>
  <si>
    <t>Quota della produzione elettrica lorda nazionale per fonte.* Stime Ispra su dati Terna.</t>
  </si>
  <si>
    <t>1. Dati di produzione e consumo di energia elettrica</t>
  </si>
  <si>
    <t>2. Produzione elettrica lorda per fonte</t>
  </si>
  <si>
    <t>3. Produzione termoelettrica lorda per combustibile</t>
  </si>
  <si>
    <t>4.  Produzione elettrica lorda e potenza efficiente lorda per fonte rinnovabile</t>
  </si>
  <si>
    <t>5. Fattori di emissione medi nazionali per energia primaria nel combustibile</t>
  </si>
  <si>
    <t>11. Percentuale della produzione termoelettrica lorda per combustibile (grafico)</t>
  </si>
  <si>
    <t>12. Produzione lorda per combustibile/fonte, consumi di energia elettrica e emissioni di CO2 (grafico)</t>
  </si>
  <si>
    <t>13. Produzione lorda di energia elettrica da impianti cogenerativi e non cogenerativi (grafico)</t>
  </si>
  <si>
    <t>14. Quota della produzione elettrica lorda nazionale per fonte (grafico)</t>
  </si>
  <si>
    <t>15. Andamento della quota di emissioni da produzione termoelettrica per combustibile (grafico)</t>
  </si>
  <si>
    <t xml:space="preserve">16. Variazione annuale indicizzata (1990 = 100) della produzione termoelettrica e delle emissioni per combustibile (grafico) </t>
  </si>
  <si>
    <t>17. Andamento del fattore di emissione di anidride carbonica per kWh elettrico prodotto e consumato (grafico)</t>
  </si>
  <si>
    <t>18. Fattori di emissione per la produzione elettrica per tipologia di impianto e tipologia di combustibile</t>
  </si>
  <si>
    <t>19. Fattori di emissione per produzione di elettricità e calore da centrali cogenerative per tipologia di impianto e tipologia di combustibile</t>
  </si>
  <si>
    <t>Average:</t>
  </si>
  <si>
    <t>Deviation (95% CI, absolute):</t>
  </si>
  <si>
    <t>Deviation (95% CI, relative):</t>
  </si>
  <si>
    <t>Nucleare</t>
  </si>
  <si>
    <t>Totale termoelettrico</t>
  </si>
  <si>
    <t>[4] incluse rinnovabili, al netto di apporti da pompaggio e da accumulo.</t>
  </si>
  <si>
    <t>Totale al netto di pompaggi e accumuli</t>
  </si>
  <si>
    <t>(a) La differenza rispetto ai dati riportati in Tabella 4 è dovuta al contributo dei pompaggi.</t>
  </si>
  <si>
    <t>(b) La differenza rispetto ai dati riportati in Tabella 3 è dovuta al contributo di "altre fonti di energia".</t>
  </si>
  <si>
    <t>di cui bioenergie</t>
  </si>
  <si>
    <t>Mix nazionale della produzione elettrica lorda (TWh)</t>
  </si>
  <si>
    <t>Mix nazionale della produzione elettrica netta (TWh)</t>
  </si>
  <si>
    <r>
      <t>Fattori di emissioni di anidride carbonica da produzione termoelettrica netta per categoria di combustibile</t>
    </r>
    <r>
      <rPr>
        <sz val="12"/>
        <color theme="1"/>
        <rFont val="Times New Roman"/>
        <family val="1"/>
      </rPr>
      <t>.</t>
    </r>
    <r>
      <rPr>
        <i/>
        <sz val="12"/>
        <color theme="1"/>
        <rFont val="Times New Roman"/>
        <family val="1"/>
      </rPr>
      <t xml:space="preserve"> * stime preliminari Ispra.</t>
    </r>
  </si>
  <si>
    <r>
      <t>g CO</t>
    </r>
    <r>
      <rPr>
        <b/>
        <vertAlign val="subscript"/>
        <sz val="12"/>
        <rFont val="Times New Roman"/>
        <family val="1"/>
      </rPr>
      <t>2</t>
    </r>
    <r>
      <rPr>
        <b/>
        <sz val="12"/>
        <rFont val="Times New Roman"/>
        <family val="1"/>
      </rPr>
      <t>/kWh netta</t>
    </r>
  </si>
  <si>
    <t>Fonti primarie</t>
  </si>
  <si>
    <t>En. prim TJ</t>
  </si>
  <si>
    <t>fattore conversione della produzione nazionale</t>
  </si>
  <si>
    <t>En. prim PJ</t>
  </si>
  <si>
    <t>% perdite di rete su energia consumata</t>
  </si>
  <si>
    <t>Bioenergia</t>
  </si>
  <si>
    <t>Geotermia</t>
  </si>
  <si>
    <r>
      <t>Mt CO</t>
    </r>
    <r>
      <rPr>
        <b/>
        <vertAlign val="subscript"/>
        <sz val="12"/>
        <color theme="1"/>
        <rFont val="Times New Roman"/>
        <family val="1"/>
      </rPr>
      <t>2</t>
    </r>
  </si>
  <si>
    <t>MJ/kWh lorda</t>
  </si>
  <si>
    <t>MJ/kWh netta</t>
  </si>
  <si>
    <t>Consumo specifico di combustibili per la produzione elettrica lorda</t>
  </si>
  <si>
    <t>Consumo specifico di combustibili per la produzione elettrica netta</t>
  </si>
  <si>
    <t>Totale termoelettrico fossile</t>
  </si>
  <si>
    <t>Rinnovabili termiche</t>
  </si>
  <si>
    <t>FE produzione netta</t>
  </si>
  <si>
    <t>FE produzione lorda</t>
  </si>
  <si>
    <t>di cui lignite</t>
  </si>
  <si>
    <t>Produzione lorda al  netto di pompaggi e accumuli</t>
  </si>
  <si>
    <t>A</t>
  </si>
  <si>
    <t>F</t>
  </si>
  <si>
    <t>H</t>
  </si>
  <si>
    <t>a1</t>
  </si>
  <si>
    <t>a2</t>
  </si>
  <si>
    <t>B=A-(a1+a2)</t>
  </si>
  <si>
    <t>d1</t>
  </si>
  <si>
    <t>d2</t>
  </si>
  <si>
    <t>E=D-(d1+d2)</t>
  </si>
  <si>
    <t>G=E+F</t>
  </si>
  <si>
    <t>I=G-H</t>
  </si>
  <si>
    <t>J=A/D</t>
  </si>
  <si>
    <t>a1*=a1/AxA*</t>
  </si>
  <si>
    <t>d1*=d1/DxD*</t>
  </si>
  <si>
    <t>d2*=d2/DxD*</t>
  </si>
  <si>
    <t>a2*=a2/AxA*</t>
  </si>
  <si>
    <t>C*=C/AxA*</t>
  </si>
  <si>
    <t>D=A-C</t>
  </si>
  <si>
    <t>D*=A*-C*</t>
  </si>
  <si>
    <t>G*=E*+F*</t>
  </si>
  <si>
    <t>J*=A*/D*</t>
  </si>
  <si>
    <t>F*=0</t>
  </si>
  <si>
    <t>% prod. lorda (escl. pomp. e acc.) su prod. per consumo</t>
  </si>
  <si>
    <t>H*=H</t>
  </si>
  <si>
    <t>I*=I</t>
  </si>
  <si>
    <t>E*=E+F</t>
  </si>
  <si>
    <t>Totale destinata al consumo</t>
  </si>
  <si>
    <t>Totale produzione netta</t>
  </si>
  <si>
    <t>Totale produzione lorda</t>
  </si>
  <si>
    <t>Idroelettrica destinata al consumo</t>
  </si>
  <si>
    <t>Fotovoltaica destinata al consumo</t>
  </si>
  <si>
    <t>% produzione lorda su produzione per consumo</t>
  </si>
  <si>
    <r>
      <t>t CO</t>
    </r>
    <r>
      <rPr>
        <b/>
        <vertAlign val="subscript"/>
        <sz val="12"/>
        <color theme="1"/>
        <rFont val="Times New Roman"/>
        <family val="1"/>
      </rPr>
      <t>2</t>
    </r>
  </si>
  <si>
    <t>K=B/E</t>
  </si>
  <si>
    <t>L=H/I</t>
  </si>
  <si>
    <t>K*=B*/E*</t>
  </si>
  <si>
    <t>L*=H*/I*</t>
  </si>
  <si>
    <t>A*=IxJx(1+L)</t>
  </si>
  <si>
    <t>B*=A*-(a1*+a2*) = IxKx(1+L)</t>
  </si>
  <si>
    <t>2026*</t>
  </si>
  <si>
    <t>2027*</t>
  </si>
  <si>
    <t>2028*</t>
  </si>
  <si>
    <t>2029*</t>
  </si>
  <si>
    <t>2030*</t>
  </si>
  <si>
    <t>Dati 2024 lorda</t>
  </si>
  <si>
    <r>
      <t>Stima delle emissioni di CO</t>
    </r>
    <r>
      <rPr>
        <i/>
        <vertAlign val="subscript"/>
        <sz val="12"/>
        <color theme="1"/>
        <rFont val="Times New Roman"/>
        <family val="1"/>
      </rPr>
      <t>2</t>
    </r>
    <r>
      <rPr>
        <i/>
        <sz val="12"/>
        <color theme="1"/>
        <rFont val="Times New Roman"/>
        <family val="1"/>
      </rPr>
      <t xml:space="preserve"> per la produzione elettrica da mix di energia elettrica consumata. Ipotesi di produzione interna dell'energia consumata.</t>
    </r>
  </si>
  <si>
    <t>MWh consumati</t>
  </si>
  <si>
    <t>MWh prodotti*</t>
  </si>
  <si>
    <t>* produzione lorda, esclusi pompaggi e accumuli, incluse perdite di rete.</t>
  </si>
  <si>
    <t>combustione esterna (CE)</t>
  </si>
  <si>
    <t>celle combustibili (CEC)</t>
  </si>
  <si>
    <t>ore equivalenti</t>
  </si>
  <si>
    <t>Torna all'indice</t>
  </si>
  <si>
    <t>2024, pci 8190 kcal/m3</t>
  </si>
  <si>
    <t>Formule per il calcolo della produzione elettrica nell'ipotesi di produzione interna dell'energia consumata.</t>
  </si>
  <si>
    <t>1990-2024</t>
  </si>
  <si>
    <t>media</t>
  </si>
  <si>
    <t>1.96 s.d</t>
  </si>
  <si>
    <t>Min</t>
  </si>
  <si>
    <t>Max</t>
  </si>
  <si>
    <r>
      <t>kt CO</t>
    </r>
    <r>
      <rPr>
        <b/>
        <vertAlign val="subscript"/>
        <sz val="12"/>
        <color theme="1"/>
        <rFont val="Times New Roman"/>
        <family val="1"/>
      </rPr>
      <t>2</t>
    </r>
  </si>
  <si>
    <t>GAS DI SINTESI DA PROCESSI DI GASSIFICAZIONE</t>
  </si>
  <si>
    <t>Stima energia primaria (TWh)</t>
  </si>
  <si>
    <t>Altre fonti</t>
  </si>
  <si>
    <t>Fonti rinnovabili</t>
  </si>
  <si>
    <t>Final electricity consumption Eurostat (TWh)</t>
  </si>
  <si>
    <t>Energy sector (TWh)</t>
  </si>
  <si>
    <t>6. Emissioni di CO2 da produzione di energia elettrica dal settore termoelettrico per combustibile</t>
  </si>
  <si>
    <t>10. Emissioni di gas serra dal settore elettrico per la produzione di energia elettrica e calore</t>
  </si>
  <si>
    <t>9. Fattore di emissione nazionale di CO2 per la produzione elettrica, produzione di calore e dei consumi elettrici</t>
  </si>
  <si>
    <t>8. Fattori di emissioni di anidride carbonica da produzione termoelettrica lorda per combustibile</t>
  </si>
  <si>
    <t>7. Fattori di emissioni di anidride carbonica da produzione termoelettrica lorda per categoria di combustibile</t>
  </si>
  <si>
    <t>Altre fonti (no RES)</t>
  </si>
  <si>
    <r>
      <t>Emissioni di CO</t>
    </r>
    <r>
      <rPr>
        <vertAlign val="subscript"/>
        <sz val="11"/>
        <color theme="1"/>
        <rFont val="Times"/>
      </rPr>
      <t>2</t>
    </r>
    <r>
      <rPr>
        <sz val="11"/>
        <color theme="1"/>
        <rFont val="Times"/>
        <family val="1"/>
      </rPr>
      <t xml:space="preserve"> riferite alla quota di energia combustibile per la produzione elettrica. § Nel 2017 e 2018 il fattore di emissione del gas naturale comprende la quota di produzione elettrica da biometano che non ha emissioni di CO</t>
    </r>
    <r>
      <rPr>
        <vertAlign val="subscript"/>
        <sz val="11"/>
        <color theme="1"/>
        <rFont val="Times"/>
      </rPr>
      <t>2</t>
    </r>
    <r>
      <rPr>
        <sz val="11"/>
        <color theme="1"/>
        <rFont val="Times"/>
        <family val="1"/>
      </rPr>
      <t>.</t>
    </r>
  </si>
  <si>
    <t>CDR[1]</t>
  </si>
  <si>
    <t>RIFIUTI GENERICI CER NON ALTROVE CLASSIFICATI[1]</t>
  </si>
  <si>
    <t>CDR-CSS (quota fossile)</t>
  </si>
  <si>
    <t>Altre fonti di energia (non emissive)</t>
  </si>
  <si>
    <t>tasso medio</t>
  </si>
  <si>
    <t>% media</t>
  </si>
  <si>
    <t>Variazione media annuale 2005-2024</t>
  </si>
  <si>
    <t>C0129 - Other bituminous coal</t>
  </si>
  <si>
    <t>C0210 - Sub-bituminous coal</t>
  </si>
  <si>
    <t>C0220 - Lignite</t>
  </si>
  <si>
    <t>G3000 - Natural gas</t>
  </si>
  <si>
    <t>Gas derivati </t>
  </si>
  <si>
    <t>C0379 - Other recovered gases</t>
  </si>
  <si>
    <t>O4699 - Other oil products n.e.c.</t>
  </si>
  <si>
    <t>C0371 - Blast furnace gas</t>
  </si>
  <si>
    <t>C0350 - Coke oven gas</t>
  </si>
  <si>
    <t>O4669 - Other kerosene</t>
  </si>
  <si>
    <t>O4694 - Petroleum coke</t>
  </si>
  <si>
    <t>O4630 - Liquefied petroleum gases</t>
  </si>
  <si>
    <t>O4610 - Refinery gas</t>
  </si>
  <si>
    <t>O4671XR5220B - Gas oil and diesel oil (excluding biofuel portion)</t>
  </si>
  <si>
    <t>O4640 - Naphtha</t>
  </si>
  <si>
    <t>O4680 - Fuel oil</t>
  </si>
  <si>
    <t>O4695 - Bitumen</t>
  </si>
  <si>
    <t>O4100_TOT - Crude oil</t>
  </si>
  <si>
    <t>R5290 - Other liquid biofuels</t>
  </si>
  <si>
    <t>R5220P - Pure biodiesels</t>
  </si>
  <si>
    <t>R5110-5150_W6000RI - Primary solid biofuels</t>
  </si>
  <si>
    <t>Biomasse solide</t>
  </si>
  <si>
    <t>W6210_W6220 - Renewable and non-renewable municipal waste</t>
  </si>
  <si>
    <t>W6100 - Industrial waste (non-renewable)</t>
  </si>
  <si>
    <t>R5300 - Biogases</t>
  </si>
  <si>
    <t>Biogas da RSU smaltiti in discarica</t>
  </si>
  <si>
    <t>Rifiuti e bioenergie</t>
  </si>
  <si>
    <t>mix residuale</t>
  </si>
  <si>
    <t>Rifiuti non rinnovabili</t>
  </si>
  <si>
    <r>
      <t>Errore medio assoluto</t>
    </r>
    <r>
      <rPr>
        <b/>
        <vertAlign val="superscript"/>
        <sz val="12"/>
        <rFont val="Times New Roman"/>
        <family val="1"/>
      </rPr>
      <t>1</t>
    </r>
  </si>
  <si>
    <t>Rifiuti e bioenergie (rifiuti bio-degradabili, biogas e biomasse di origine vegetale)</t>
  </si>
  <si>
    <t>Totale combustibili fossili</t>
  </si>
  <si>
    <t>Totale combustibili[2]</t>
  </si>
  <si>
    <t>Totale termoelettrico (+vapore endogeno e altre fonti di calore) [3]</t>
  </si>
  <si>
    <t>[1] il fattore di emissione è relativo alle emissioni dalla quota fossile; il 50% dell'elettricità è considerata prodotta da quota rinnovabile.</t>
  </si>
  <si>
    <t>[2] è considerata la combustione delle biomasse, che formalmente rappresentano fonti rinnovabili con bilancio emissivo pari a zero.</t>
  </si>
  <si>
    <t>[3] è considerata l’energia geotermica (vapore), che rappresenta una fonte rinnovabile con bilancio emissivo pari a zero.</t>
  </si>
  <si>
    <t>Rinnovabili</t>
  </si>
  <si>
    <t>K</t>
  </si>
  <si>
    <t xml:space="preserve"> K</t>
  </si>
  <si>
    <t>K % produzione lorda (esclusi pompaggi e accumuli) su produzione destinata al consumo per fonte.</t>
  </si>
  <si>
    <t>% perdite di rete su energia consumata - L</t>
  </si>
  <si>
    <r>
      <t>FE (kg CO</t>
    </r>
    <r>
      <rPr>
        <b/>
        <vertAlign val="subscript"/>
        <sz val="12"/>
        <color theme="1"/>
        <rFont val="Times New Roman"/>
        <family val="1"/>
      </rPr>
      <t>2</t>
    </r>
    <r>
      <rPr>
        <b/>
        <sz val="12"/>
        <color theme="1"/>
        <rFont val="Times New Roman"/>
        <family val="1"/>
      </rPr>
      <t>/MWh)</t>
    </r>
  </si>
  <si>
    <t>FE residuo</t>
  </si>
  <si>
    <t>L</t>
  </si>
  <si>
    <t>autoconsumo</t>
  </si>
  <si>
    <t>residuale</t>
  </si>
  <si>
    <t>GWh richiesti</t>
  </si>
  <si>
    <t>mg/kWh</t>
  </si>
  <si>
    <t>Richiesti</t>
  </si>
  <si>
    <t>Mann-Kendall Test</t>
  </si>
  <si>
    <t>Sen's Slope</t>
  </si>
  <si>
    <t>DM 224 - 14/07/2023</t>
  </si>
  <si>
    <t>Fonti rinnovabili (res) / Altre fonti (non res)</t>
  </si>
  <si>
    <t>kt CO2</t>
  </si>
  <si>
    <t>Scorie (kg)</t>
  </si>
  <si>
    <t>FE autoc.</t>
  </si>
  <si>
    <t>FE consumi</t>
  </si>
  <si>
    <t>GWh prodotti</t>
  </si>
  <si>
    <t>Fattori di emissione di gas serra dal settore elettrico per la produzione lorda di energia elettrica e calore al netto di pompaggi e accumuli stand alone. * stime preliminari</t>
  </si>
  <si>
    <t>Stima dei fattori di emissione di gas serra dal settore elettrico per la produzione lorda di energia elettrica al netto di pompaggi e accumuli stand alone.* stime preliminari</t>
  </si>
  <si>
    <t>Produzione elettrica lorda per fonte. * stime Terna/GSE e elaborazioni Ispra su dati preliminari Terna.</t>
  </si>
  <si>
    <t>Dati di produzione e consumo di energia elettrica. * stime Terna/GSE e elaborazioni Ispra su dati preliminari Terna.</t>
  </si>
  <si>
    <t>Produzione termoelettrica lorda per combustibile. * stime Terna/GSE e elaborazioni Ispra su dati preliminari Terna.</t>
  </si>
  <si>
    <r>
      <t>Emissioni di CO</t>
    </r>
    <r>
      <rPr>
        <i/>
        <vertAlign val="subscript"/>
        <sz val="12"/>
        <color theme="1"/>
        <rFont val="Times New Roman"/>
        <family val="1"/>
      </rPr>
      <t>2</t>
    </r>
    <r>
      <rPr>
        <i/>
        <sz val="12"/>
        <color theme="1"/>
        <rFont val="Times New Roman"/>
        <family val="1"/>
      </rPr>
      <t xml:space="preserve"> da produzione di energia elettrica dal settore termoelettrico per combustibile. * stime Ispra su dati preliminari Terna/GSE.(1) </t>
    </r>
  </si>
  <si>
    <r>
      <t>Emissioni di CO</t>
    </r>
    <r>
      <rPr>
        <i/>
        <vertAlign val="subscript"/>
        <sz val="12"/>
        <color theme="1"/>
        <rFont val="Times New Roman"/>
        <family val="1"/>
      </rPr>
      <t>2</t>
    </r>
    <r>
      <rPr>
        <i/>
        <sz val="12"/>
        <color theme="1"/>
        <rFont val="Times New Roman"/>
        <family val="1"/>
      </rPr>
      <t xml:space="preserve"> da produzione di calore dal settore termoelettrico per combustibile. * stime Ispra su dati preliminari Terna/GSE.(2)</t>
    </r>
  </si>
  <si>
    <r>
      <t>Emissioni di CO</t>
    </r>
    <r>
      <rPr>
        <i/>
        <vertAlign val="subscript"/>
        <sz val="12"/>
        <color theme="1"/>
        <rFont val="Times New Roman"/>
        <family val="1"/>
      </rPr>
      <t>2</t>
    </r>
    <r>
      <rPr>
        <i/>
        <sz val="12"/>
        <color theme="1"/>
        <rFont val="Times New Roman"/>
        <family val="1"/>
      </rPr>
      <t xml:space="preserve"> dal settore elettrico per la produzione di energia elettrica e calore. * stime Ispra su dati preliminari Terna/GSE.</t>
    </r>
  </si>
  <si>
    <r>
      <t>Emissioni di CO</t>
    </r>
    <r>
      <rPr>
        <i/>
        <vertAlign val="subscript"/>
        <sz val="12"/>
        <color theme="1"/>
        <rFont val="Times New Roman"/>
        <family val="1"/>
      </rPr>
      <t>2</t>
    </r>
    <r>
      <rPr>
        <i/>
        <sz val="12"/>
        <color theme="1"/>
        <rFont val="Times New Roman"/>
        <family val="1"/>
      </rPr>
      <t xml:space="preserve"> da produzione elettrica, emissioni evitate con produzione da fonti rinnovabili e emissioni teoriche senza fonti rinnovabili. * stime Ispra su dati preliminari Terna/GSE.</t>
    </r>
  </si>
  <si>
    <r>
      <t>Fattore di emissione nazionale di CO</t>
    </r>
    <r>
      <rPr>
        <i/>
        <vertAlign val="subscript"/>
        <sz val="12"/>
        <color theme="1"/>
        <rFont val="Times New Roman"/>
        <family val="1"/>
      </rPr>
      <t>2</t>
    </r>
    <r>
      <rPr>
        <i/>
        <sz val="12"/>
        <color theme="1"/>
        <rFont val="Times New Roman"/>
        <family val="1"/>
      </rPr>
      <t xml:space="preserve"> per la produzione elettrica, produzione di calore e dei consumi elettrici. * stime preliminari</t>
    </r>
  </si>
  <si>
    <t>Fattori di emissioni di anidride carbonica da produzione termoelettrica lorda per combustibile.* stime preliminari.</t>
  </si>
  <si>
    <r>
      <t>Fattori di emissioni di anidride carbonica da produzione termoelettrica lorda per categoria di combustibile</t>
    </r>
    <r>
      <rPr>
        <sz val="12"/>
        <color theme="1"/>
        <rFont val="Times New Roman"/>
        <family val="1"/>
      </rPr>
      <t>.</t>
    </r>
    <r>
      <rPr>
        <i/>
        <sz val="12"/>
        <color theme="1"/>
        <rFont val="Times New Roman"/>
        <family val="1"/>
      </rPr>
      <t xml:space="preserve"> * stime preliminari.</t>
    </r>
  </si>
  <si>
    <t>Produzione elettrica lorda per fonte rinnovabile. La produzione idroelettrica è riportata al netto della produzione da pompaggi. * stime Terna/GSE.</t>
  </si>
  <si>
    <t>Termoelettrica (b)**</t>
  </si>
  <si>
    <t>** comprensiva dei consumi per la produzione di calore.</t>
  </si>
  <si>
    <t>Potenza efficiente lorda per fonte rinnovabile. * stime Terna/GSE.</t>
  </si>
  <si>
    <t>Dati GSE - mix iniziale e residuale</t>
  </si>
  <si>
    <t>mix iniz. %</t>
  </si>
  <si>
    <t>mix resid. %</t>
  </si>
  <si>
    <t>https://www.gse.it/servizi-per-te/fonti-rinnovabili/fuel-mix/documenti</t>
  </si>
  <si>
    <t>Destinata al consumo</t>
  </si>
  <si>
    <t>Richiesta</t>
  </si>
  <si>
    <r>
      <t>Modulo di stima delle emissioni di CO</t>
    </r>
    <r>
      <rPr>
        <i/>
        <vertAlign val="subscript"/>
        <sz val="12"/>
        <color theme="1"/>
        <rFont val="Times New Roman"/>
        <family val="1"/>
      </rPr>
      <t>2</t>
    </r>
    <r>
      <rPr>
        <i/>
        <sz val="12"/>
        <color theme="1"/>
        <rFont val="Times New Roman"/>
        <family val="1"/>
      </rPr>
      <t xml:space="preserve"> per la produzione elettrica da mix di energia elettrica venduta dall'operatore.</t>
    </r>
  </si>
  <si>
    <t>Totale immsso</t>
  </si>
  <si>
    <t>GWh immessi*</t>
  </si>
  <si>
    <t>Controllo sul mix inserito. Il totale deve essere 100%</t>
  </si>
  <si>
    <t>GWh richiesti*</t>
  </si>
  <si>
    <t>*La somma dell'energia immessa in rete e dell'energia richiesta per il mix residuale è ugule all'energia richiesta totale.</t>
  </si>
  <si>
    <t>K - % produzione lorda (esclusi pompaggi e accumuli) su produzione destinata al consumo per fonte.</t>
  </si>
  <si>
    <t xml:space="preserve">Differenza del mix inserito da 100% </t>
  </si>
  <si>
    <r>
      <t>Modulo di stima delle emissioni di CO</t>
    </r>
    <r>
      <rPr>
        <u/>
        <vertAlign val="subscript"/>
        <sz val="11"/>
        <color theme="10"/>
        <rFont val="Calibri"/>
        <family val="2"/>
      </rPr>
      <t>2</t>
    </r>
    <r>
      <rPr>
        <u/>
        <sz val="11"/>
        <color theme="10"/>
        <rFont val="Calibri"/>
        <family val="2"/>
      </rPr>
      <t xml:space="preserve"> per la produzione elettrica da mix di energia elettrica consumata.</t>
    </r>
  </si>
  <si>
    <r>
      <t>Settore elettrico: emissioni di CO</t>
    </r>
    <r>
      <rPr>
        <b/>
        <i/>
        <vertAlign val="subscript"/>
        <sz val="12"/>
        <rFont val="Times New Roman"/>
        <family val="1"/>
      </rPr>
      <t>2</t>
    </r>
    <r>
      <rPr>
        <b/>
        <i/>
        <sz val="12"/>
        <rFont val="Times New Roman"/>
        <family val="1"/>
      </rPr>
      <t xml:space="preserve"> e altri impatti. Edizione 2026. Rapporto 430/2026</t>
    </r>
  </si>
  <si>
    <t xml:space="preserve">Serie storica dei fattori di emissione nazionali (1990-2024 e preliminari 2025) per la produzione ed il consumo di elettricità. </t>
  </si>
  <si>
    <t>GHG totali</t>
  </si>
  <si>
    <t>Industria e costruzioni</t>
  </si>
  <si>
    <t>Settore energetico</t>
  </si>
  <si>
    <t>Autoconsumo termoelettrico</t>
  </si>
  <si>
    <t>Autoconsumo totale - TWh (Terna)</t>
  </si>
  <si>
    <t>Autoconsumo PV - TWh (GSE)</t>
  </si>
  <si>
    <t>Industria+costruzioni</t>
  </si>
  <si>
    <t>2025</t>
  </si>
  <si>
    <t>kg/GWh</t>
  </si>
  <si>
    <t>kg scorie</t>
  </si>
  <si>
    <t>%*</t>
  </si>
  <si>
    <t>Altre fonti (no RES)*</t>
  </si>
  <si>
    <t>L'energia immessa in rete negli anni dal 2021 al 2023 è stimata da Ispra dal mix GSE e dalla quota immessa rispetto alla destinata al consumo del 2024.</t>
  </si>
  <si>
    <t>Altre fonti*</t>
  </si>
  <si>
    <t>*esclusi pompaggi</t>
  </si>
  <si>
    <r>
      <t>Altre fonti (no RES)</t>
    </r>
    <r>
      <rPr>
        <vertAlign val="superscript"/>
        <sz val="12"/>
        <color theme="1"/>
        <rFont val="Times New Roman"/>
        <family val="1"/>
      </rPr>
      <t>2</t>
    </r>
  </si>
  <si>
    <r>
      <t>Altre fonti (no RES)</t>
    </r>
    <r>
      <rPr>
        <vertAlign val="superscript"/>
        <sz val="12"/>
        <color theme="1"/>
        <rFont val="Times New Roman"/>
        <family val="1"/>
      </rPr>
      <t>1</t>
    </r>
  </si>
  <si>
    <t>mix iniz. TWh</t>
  </si>
  <si>
    <t>Autoconsumo TWh</t>
  </si>
  <si>
    <r>
      <rPr>
        <vertAlign val="superscript"/>
        <sz val="12"/>
        <color theme="1"/>
        <rFont val="Times"/>
      </rPr>
      <t>1</t>
    </r>
    <r>
      <rPr>
        <sz val="12"/>
        <color theme="1"/>
        <rFont val="Times"/>
        <family val="1"/>
      </rPr>
      <t xml:space="preserve"> inclusi pompaggi</t>
    </r>
  </si>
  <si>
    <r>
      <t>(1) Emissioni di CO</t>
    </r>
    <r>
      <rPr>
        <vertAlign val="subscript"/>
        <sz val="11"/>
        <color theme="1"/>
        <rFont val="Times"/>
      </rPr>
      <t>2</t>
    </r>
    <r>
      <rPr>
        <sz val="11"/>
        <color theme="1"/>
        <rFont val="Times"/>
        <family val="1"/>
      </rPr>
      <t xml:space="preserve"> riferite alla quota di energia combustibile per la produzione elettrica. Per tutti i calcoli inerenti le emissioni i combustibili sono raggruppati secondo Eurostat.</t>
    </r>
  </si>
  <si>
    <r>
      <t>(2) Emissioni di CO</t>
    </r>
    <r>
      <rPr>
        <vertAlign val="subscript"/>
        <sz val="11"/>
        <color theme="1"/>
        <rFont val="Times"/>
      </rPr>
      <t>2</t>
    </r>
    <r>
      <rPr>
        <sz val="11"/>
        <color theme="1"/>
        <rFont val="Times"/>
        <family val="1"/>
      </rPr>
      <t xml:space="preserve"> riferite alla quota di energia combustibile per la produzione di calore. Per tutti i calcoli inerenti le emissioni i combustibili sono raggruppati secondo Eurostat.</t>
    </r>
  </si>
  <si>
    <r>
      <rPr>
        <vertAlign val="superscript"/>
        <sz val="11"/>
        <color theme="1"/>
        <rFont val="Times"/>
      </rPr>
      <t>1</t>
    </r>
    <r>
      <rPr>
        <sz val="11"/>
        <color theme="1"/>
        <rFont val="Times"/>
        <family val="1"/>
      </rPr>
      <t xml:space="preserve"> errore % medio assoluto: media delle differenze % assolute  dal 1995 tra valore osservato e valore previsto (media dei 5 anni precedenti);</t>
    </r>
    <r>
      <rPr>
        <sz val="11"/>
        <color theme="1"/>
        <rFont val="Times"/>
      </rPr>
      <t xml:space="preserve"> </t>
    </r>
    <r>
      <rPr>
        <vertAlign val="superscript"/>
        <sz val="11"/>
        <color theme="1"/>
        <rFont val="Times"/>
      </rPr>
      <t>2</t>
    </r>
    <r>
      <rPr>
        <sz val="11"/>
        <color theme="1"/>
        <rFont val="Times"/>
      </rPr>
      <t xml:space="preserve"> inclusi pompaggi</t>
    </r>
  </si>
  <si>
    <t xml:space="preserve">* inclusi pompaggi. </t>
  </si>
  <si>
    <t>Altre fonti (no RES)**</t>
  </si>
  <si>
    <t>* produzione lorda, incluse perdite di rete. ** inclusi pompaggi.</t>
  </si>
  <si>
    <t>Prodotti petroliferi (DM 224)</t>
  </si>
  <si>
    <t xml:space="preserve">Metodi e analisi dei dati nel rapporto ISPRA. Il rapporto è parte integrante del presente file excel: </t>
  </si>
  <si>
    <t>Energetico</t>
  </si>
  <si>
    <t>Terziario</t>
  </si>
  <si>
    <t>MK-stat</t>
  </si>
  <si>
    <t>z-stat</t>
  </si>
  <si>
    <t>p-value</t>
  </si>
  <si>
    <t>trend</t>
  </si>
  <si>
    <t>no</t>
  </si>
  <si>
    <t>slope</t>
  </si>
  <si>
    <t>Emissioni di CO2</t>
  </si>
  <si>
    <t>Emissioni evitate</t>
  </si>
  <si>
    <t>Emissioni teoriche senza FER</t>
  </si>
  <si>
    <t/>
  </si>
  <si>
    <t>26.06.2026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</si>
</sst>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 #,##0.00\ _€_-;\-* #,##0.00\ _€_-;_-* &quot;-&quot;??\ _€_-;_-@_-"/>
    <numFmt numFmtId="165" formatCode="_(* #,##0.00_);_(* \(#,##0.00\);_(* &quot;-&quot;??_);_(@_)"/>
    <numFmt numFmtId="166" formatCode="0.000"/>
    <numFmt numFmtId="167" formatCode="#,##0.000"/>
    <numFmt numFmtId="168" formatCode="0.0000000"/>
    <numFmt numFmtId="169" formatCode="_(* #,##0.000_);_(* \(#,##0.000\);_(* &quot;-&quot;??_);_(@_)"/>
    <numFmt numFmtId="170" formatCode="_-* #,##0.0_-;\-* #,##0.0_-;_-* &quot;-&quot;?_-;_-@_-"/>
    <numFmt numFmtId="171" formatCode="#,##0.0"/>
    <numFmt numFmtId="172" formatCode="_-* #,##0.0_-;\-* #,##0.0_-;_-* &quot;-&quot;??_-;_-@_-"/>
    <numFmt numFmtId="173" formatCode="0.0%"/>
    <numFmt numFmtId="174" formatCode="_(* #,##0_);_(* \(#,##0\);_(* &quot;-&quot;??_);_(@_)"/>
    <numFmt numFmtId="175" formatCode="0.0"/>
    <numFmt numFmtId="176" formatCode="#,##0.0000"/>
    <numFmt numFmtId="177" formatCode="_(* #,##0.0000_);_(* \(#,##0.0000\);_(* &quot;-&quot;??_);_(@_)"/>
    <numFmt numFmtId="178" formatCode="_(* #,##0.0_);_(* \(#,##0.0\);_(* &quot;-&quot;?_);_(@_)"/>
    <numFmt numFmtId="179" formatCode="_(* #,##0.0_);_(* \(#,##0.0\);_(* &quot;-&quot;??_);_(@_)"/>
    <numFmt numFmtId="180" formatCode="_-* #,##0.000_-;\-* #,##0.000_-;_-* &quot;-&quot;??_-;_-@_-"/>
    <numFmt numFmtId="181" formatCode="_-* #,##0_-;\-* #,##0_-;_-* &quot;-&quot;??_-;_-@_-"/>
    <numFmt numFmtId="182" formatCode="_-* #,##0_-;\-* #,##0_-;_-* &quot;-&quot;???_-;_-@_-"/>
    <numFmt numFmtId="183" formatCode="0.0000"/>
    <numFmt numFmtId="184" formatCode="_(* #,##0.00000_);_(* \(#,##0.00000\);_(* &quot;-&quot;??_);_(@_)"/>
    <numFmt numFmtId="185" formatCode="_-* #,##0.0000_-;\-* #,##0.0000_-;_-* &quot;-&quot;??_-;_-@_-"/>
    <numFmt numFmtId="186" formatCode="_-* #,##0.00000_-;\-* #,##0.00000_-;_-* &quot;-&quot;??_-;_-@_-"/>
    <numFmt numFmtId="187" formatCode="_(* #,##0.000000_);_(* \(#,##0.000000\);_(* &quot;-&quot;??_);_(@_)"/>
    <numFmt numFmtId="188" formatCode="_-* #,##0.000000000_-;\-* #,##0.000000000_-;_-* &quot;-&quot;??_-;_-@_-"/>
    <numFmt numFmtId="189" formatCode="_-* #,##0.0\ _€_-;\-* #,##0.0\ _€_-;_-* &quot;-&quot;??\ _€_-;_-@_-"/>
    <numFmt numFmtId="190" formatCode="#,##0.00_ ;\-#,##0.00\ "/>
    <numFmt numFmtId="191" formatCode="#,##0.00000"/>
    <numFmt numFmtId="192" formatCode="_-* #,##0.0\ _€_-;\-* #,##0.0\ _€_-;_-* &quot;-&quot;?\ _€_-;_-@_-"/>
    <numFmt numFmtId="193" formatCode="_-* #,##0.000\ _€_-;\-* #,##0.000\ _€_-;_-* &quot;-&quot;??\ _€_-;_-@_-"/>
    <numFmt numFmtId="194" formatCode="_-* #,##0.000000_-;\-* #,##0.000000_-;_-* &quot;-&quot;??_-;_-@_-"/>
    <numFmt numFmtId="195" formatCode="0.0\§"/>
    <numFmt numFmtId="196" formatCode="_(* #,##0.000_);_(* \(#,##0.000\);_(* &quot;-&quot;?_);_(@_)"/>
    <numFmt numFmtId="197" formatCode="#,##0.000000"/>
    <numFmt numFmtId="198" formatCode="0&quot;*&quot;"/>
    <numFmt numFmtId="199" formatCode="0.000%"/>
    <numFmt numFmtId="200" formatCode="0.00000%"/>
    <numFmt numFmtId="201" formatCode="_-* #,##0\ _€_-;\-* #,##0\ _€_-;_-* &quot;-&quot;??\ _€_-;_-@_-"/>
    <numFmt numFmtId="202" formatCode="_-* #,##0.0000\ _€_-;\-* #,##0.0000\ _€_-;_-* &quot;-&quot;??\ _€_-;_-@_-"/>
    <numFmt numFmtId="203" formatCode="#,##0.0_ ;\-#,##0.0\ "/>
    <numFmt numFmtId="204" formatCode="0.0000000%"/>
    <numFmt numFmtId="205" formatCode="#,##0.000_ ;\-#,##0.000\ "/>
  </numFmts>
  <fonts count="118">
    <font>
      <sz val="11"/>
      <color theme="1"/>
      <name val="Calibri"/>
      <family val="2"/>
      <scheme val="minor"/>
    </font>
    <font>
      <i/>
      <sz val="12"/>
      <color theme="1"/>
      <name val="Times"/>
      <family val="1"/>
    </font>
    <font>
      <sz val="12"/>
      <color theme="1"/>
      <name val="Times"/>
      <family val="1"/>
    </font>
    <font>
      <b/>
      <sz val="12"/>
      <name val="Times"/>
      <family val="1"/>
    </font>
    <font>
      <b/>
      <i/>
      <sz val="12"/>
      <name val="Times"/>
      <family val="1"/>
    </font>
    <font>
      <sz val="12"/>
      <name val="Times"/>
      <family val="1"/>
    </font>
    <font>
      <sz val="11"/>
      <color theme="1"/>
      <name val="Calibri"/>
      <family val="2"/>
      <scheme val="minor"/>
    </font>
    <font>
      <b/>
      <sz val="10"/>
      <name val="Arial"/>
      <family val="2"/>
    </font>
    <font>
      <sz val="10"/>
      <name val="Arial"/>
      <family val="2"/>
    </font>
    <font>
      <sz val="11"/>
      <color theme="1"/>
      <name val="Times"/>
      <family val="1"/>
    </font>
    <font>
      <sz val="12"/>
      <color theme="1"/>
      <name val="Times New Roman"/>
      <family val="1"/>
    </font>
    <font>
      <vertAlign val="subscript"/>
      <sz val="12"/>
      <color theme="1"/>
      <name val="Times New Roman"/>
      <family val="1"/>
    </font>
    <font>
      <b/>
      <sz val="12"/>
      <color theme="1"/>
      <name val="Times New Roman"/>
      <family val="1"/>
    </font>
    <font>
      <i/>
      <sz val="12"/>
      <color theme="1"/>
      <name val="Times New Roman"/>
      <family val="1"/>
    </font>
    <font>
      <vertAlign val="subscript"/>
      <sz val="12"/>
      <color indexed="8"/>
      <name val="Times New Roman"/>
      <family val="1"/>
    </font>
    <font>
      <sz val="12"/>
      <color indexed="8"/>
      <name val="Times New Roman"/>
      <family val="1"/>
    </font>
    <font>
      <sz val="10"/>
      <color theme="1"/>
      <name val="Times New Roman"/>
      <family val="1"/>
    </font>
    <font>
      <vertAlign val="superscript"/>
      <sz val="12"/>
      <color indexed="8"/>
      <name val="Times New Roman"/>
      <family val="1"/>
    </font>
    <font>
      <vertAlign val="superscript"/>
      <sz val="12"/>
      <color theme="1"/>
      <name val="Times New Roman"/>
      <family val="1"/>
    </font>
    <font>
      <b/>
      <sz val="12"/>
      <name val="Times New Roman"/>
      <family val="1"/>
    </font>
    <font>
      <b/>
      <vertAlign val="superscript"/>
      <sz val="12"/>
      <name val="Times New Roman"/>
      <family val="1"/>
    </font>
    <font>
      <sz val="12"/>
      <name val="Times New Roman"/>
      <family val="1"/>
    </font>
    <font>
      <vertAlign val="superscript"/>
      <sz val="12"/>
      <name val="Times New Roman"/>
      <family val="1"/>
    </font>
    <font>
      <b/>
      <vertAlign val="subscript"/>
      <sz val="12"/>
      <name val="Times New Roman"/>
      <family val="1"/>
    </font>
    <font>
      <b/>
      <i/>
      <sz val="12"/>
      <name val="Times New Roman"/>
      <family val="1"/>
    </font>
    <font>
      <i/>
      <sz val="12"/>
      <name val="Times New Roman"/>
      <family val="1"/>
    </font>
    <font>
      <sz val="12"/>
      <color rgb="FF000000"/>
      <name val="Times New Roman"/>
      <family val="1"/>
    </font>
    <font>
      <u/>
      <sz val="11"/>
      <color theme="10"/>
      <name val="Calibri"/>
      <family val="2"/>
    </font>
    <font>
      <u/>
      <sz val="12"/>
      <color theme="10"/>
      <name val="Times New Roman"/>
      <family val="1"/>
    </font>
    <font>
      <sz val="9"/>
      <name val="Arial"/>
      <family val="2"/>
    </font>
    <font>
      <b/>
      <sz val="9"/>
      <name val="Arial"/>
      <family val="2"/>
    </font>
    <font>
      <sz val="11"/>
      <name val="Times New Roman"/>
      <family val="1"/>
    </font>
    <font>
      <b/>
      <vertAlign val="subscript"/>
      <sz val="10"/>
      <name val="Arial"/>
      <family val="2"/>
    </font>
    <font>
      <b/>
      <sz val="11"/>
      <color theme="1"/>
      <name val="Calibri"/>
      <family val="2"/>
      <scheme val="minor"/>
    </font>
    <font>
      <i/>
      <sz val="11"/>
      <color theme="1"/>
      <name val="Times New Roman"/>
      <family val="1"/>
    </font>
    <font>
      <sz val="11"/>
      <color theme="1"/>
      <name val="Times New Roman"/>
      <family val="1"/>
    </font>
    <font>
      <b/>
      <sz val="11"/>
      <color theme="1"/>
      <name val="Times New Roman"/>
      <family val="1"/>
    </font>
    <font>
      <b/>
      <vertAlign val="subscript"/>
      <sz val="11"/>
      <color theme="1"/>
      <name val="Times New Roman"/>
      <family val="1"/>
    </font>
    <font>
      <i/>
      <vertAlign val="subscript"/>
      <sz val="12"/>
      <color theme="1"/>
      <name val="Times New Roman"/>
      <family val="1"/>
    </font>
    <font>
      <b/>
      <u/>
      <sz val="12"/>
      <color theme="10"/>
      <name val="Times New Roman"/>
      <family val="1"/>
    </font>
    <font>
      <b/>
      <sz val="12"/>
      <color theme="1"/>
      <name val="Times"/>
      <family val="1"/>
    </font>
    <font>
      <sz val="11"/>
      <name val="Calibri"/>
      <family val="2"/>
      <scheme val="minor"/>
    </font>
    <font>
      <i/>
      <sz val="12"/>
      <name val="Times"/>
      <family val="1"/>
    </font>
    <font>
      <b/>
      <sz val="11"/>
      <name val="Times New Roman"/>
      <family val="1"/>
    </font>
    <font>
      <sz val="10"/>
      <color rgb="FF000000"/>
      <name val="Arial"/>
      <family val="2"/>
    </font>
    <font>
      <b/>
      <sz val="10"/>
      <color theme="1"/>
      <name val="Arial"/>
      <family val="2"/>
    </font>
    <font>
      <sz val="10"/>
      <color theme="1"/>
      <name val="Arial"/>
      <family val="2"/>
    </font>
    <font>
      <b/>
      <i/>
      <sz val="12"/>
      <name val="Times"/>
      <family val="1"/>
    </font>
    <font>
      <i/>
      <sz val="12"/>
      <color theme="1"/>
      <name val="Times"/>
      <family val="1"/>
    </font>
    <font>
      <sz val="9"/>
      <color indexed="81"/>
      <name val="Tahoma"/>
      <family val="2"/>
    </font>
    <font>
      <b/>
      <sz val="9"/>
      <color indexed="81"/>
      <name val="Tahoma"/>
      <family val="2"/>
    </font>
    <font>
      <sz val="11"/>
      <color rgb="FFFF0000"/>
      <name val="Calibri"/>
      <family val="2"/>
      <scheme val="minor"/>
    </font>
    <font>
      <b/>
      <sz val="11"/>
      <color rgb="FFFF0000"/>
      <name val="Calibri"/>
      <family val="2"/>
      <scheme val="minor"/>
    </font>
    <font>
      <b/>
      <sz val="8"/>
      <color indexed="81"/>
      <name val="Tahoma"/>
      <family val="2"/>
    </font>
    <font>
      <sz val="8"/>
      <color indexed="81"/>
      <name val="Tahoma"/>
      <family val="2"/>
    </font>
    <font>
      <i/>
      <sz val="10"/>
      <color theme="1"/>
      <name val="Calibri"/>
      <family val="2"/>
      <scheme val="minor"/>
    </font>
    <font>
      <b/>
      <sz val="11"/>
      <color rgb="FF15BC08"/>
      <name val="Calibri"/>
      <family val="2"/>
      <scheme val="minor"/>
    </font>
    <font>
      <sz val="11"/>
      <color rgb="FF15BC08"/>
      <name val="Calibri"/>
      <family val="2"/>
      <scheme val="minor"/>
    </font>
    <font>
      <b/>
      <sz val="12"/>
      <name val="Times"/>
      <family val="1"/>
    </font>
    <font>
      <sz val="12"/>
      <color theme="1"/>
      <name val="Times"/>
      <family val="1"/>
    </font>
    <font>
      <sz val="12"/>
      <name val="Times"/>
      <family val="1"/>
    </font>
    <font>
      <b/>
      <i/>
      <sz val="11"/>
      <name val="Times New Roman"/>
      <family val="1"/>
    </font>
    <font>
      <b/>
      <i/>
      <sz val="11"/>
      <color theme="1"/>
      <name val="Times New Roman"/>
      <family val="1"/>
    </font>
    <font>
      <b/>
      <vertAlign val="subscript"/>
      <sz val="12"/>
      <color theme="1"/>
      <name val="Times New Roman"/>
      <family val="1"/>
    </font>
    <font>
      <sz val="12"/>
      <color rgb="FFFF0000"/>
      <name val="Times"/>
      <family val="1"/>
    </font>
    <font>
      <b/>
      <sz val="12"/>
      <color rgb="FFFF0000"/>
      <name val="Times"/>
      <family val="1"/>
    </font>
    <font>
      <strike/>
      <sz val="11"/>
      <color theme="1"/>
      <name val="Calibri"/>
      <family val="2"/>
      <scheme val="minor"/>
    </font>
    <font>
      <b/>
      <sz val="12"/>
      <color rgb="FFFF0000"/>
      <name val="Times New Roman"/>
      <family val="1"/>
    </font>
    <font>
      <b/>
      <sz val="12"/>
      <color rgb="FFFF0000"/>
      <name val="Times"/>
      <family val="1"/>
    </font>
    <font>
      <i/>
      <sz val="11"/>
      <color theme="1"/>
      <name val="Calibri"/>
      <family val="2"/>
      <scheme val="minor"/>
    </font>
    <font>
      <b/>
      <sz val="11"/>
      <name val="Calibri"/>
      <family val="2"/>
      <scheme val="minor"/>
    </font>
    <font>
      <i/>
      <sz val="12"/>
      <name val="Times"/>
      <family val="1"/>
    </font>
    <font>
      <sz val="10"/>
      <color rgb="FFFF0000"/>
      <name val="Arial"/>
      <family val="2"/>
    </font>
    <font>
      <sz val="11"/>
      <name val="Arial"/>
      <family val="2"/>
    </font>
    <font>
      <b/>
      <sz val="10"/>
      <color rgb="FFFF0000"/>
      <name val="Arial"/>
      <family val="2"/>
    </font>
    <font>
      <b/>
      <sz val="12"/>
      <color theme="1"/>
      <name val="Times"/>
      <family val="1"/>
    </font>
    <font>
      <i/>
      <sz val="11"/>
      <name val="Calibri"/>
      <family val="2"/>
      <scheme val="minor"/>
    </font>
    <font>
      <b/>
      <sz val="11"/>
      <color theme="1"/>
      <name val="Times"/>
      <family val="1"/>
    </font>
    <font>
      <i/>
      <sz val="10"/>
      <name val="Arial"/>
      <family val="2"/>
    </font>
    <font>
      <b/>
      <sz val="12"/>
      <name val="Calibri"/>
      <family val="2"/>
      <scheme val="minor"/>
    </font>
    <font>
      <b/>
      <i/>
      <sz val="12"/>
      <color theme="1"/>
      <name val="Calibri"/>
      <family val="2"/>
      <scheme val="minor"/>
    </font>
    <font>
      <b/>
      <sz val="12"/>
      <name val="Times"/>
      <family val="1"/>
    </font>
    <font>
      <sz val="12"/>
      <name val="Times"/>
      <family val="1"/>
    </font>
    <font>
      <i/>
      <sz val="12"/>
      <name val="Times"/>
      <family val="1"/>
    </font>
    <font>
      <b/>
      <sz val="11"/>
      <name val="Arial"/>
      <family val="2"/>
    </font>
    <font>
      <b/>
      <sz val="12"/>
      <color theme="1"/>
      <name val="Times"/>
    </font>
    <font>
      <b/>
      <i/>
      <sz val="12"/>
      <color theme="1"/>
      <name val="Times New Roman"/>
      <family val="1"/>
    </font>
    <font>
      <b/>
      <i/>
      <sz val="11"/>
      <name val="Calibri"/>
      <family val="2"/>
      <scheme val="minor"/>
    </font>
    <font>
      <sz val="11"/>
      <color theme="1"/>
      <name val="Titillium Web Regular"/>
    </font>
    <font>
      <sz val="11"/>
      <color rgb="FF87A1D3"/>
      <name val="Titillium Web Regular"/>
    </font>
    <font>
      <b/>
      <sz val="24"/>
      <color theme="0"/>
      <name val="Titillium Web Regular"/>
    </font>
    <font>
      <sz val="28"/>
      <color theme="0"/>
      <name val="Titillium Web Regular"/>
    </font>
    <font>
      <sz val="18"/>
      <color theme="0"/>
      <name val="Titillium Web Regular"/>
    </font>
    <font>
      <sz val="14"/>
      <color theme="0"/>
      <name val="Titillium Web Regular"/>
    </font>
    <font>
      <u/>
      <sz val="11"/>
      <color theme="10"/>
      <name val="Calibri"/>
      <family val="2"/>
      <scheme val="minor"/>
    </font>
    <font>
      <u/>
      <sz val="14"/>
      <color theme="0"/>
      <name val="Titillium Web Regular"/>
    </font>
    <font>
      <b/>
      <i/>
      <sz val="12"/>
      <color theme="1"/>
      <name val="Times"/>
    </font>
    <font>
      <i/>
      <sz val="10"/>
      <name val="Calibri"/>
      <family val="2"/>
      <scheme val="minor"/>
    </font>
    <font>
      <i/>
      <vertAlign val="subscript"/>
      <sz val="12"/>
      <color theme="1"/>
      <name val="Times"/>
    </font>
    <font>
      <b/>
      <i/>
      <sz val="10"/>
      <name val="Arial"/>
      <family val="2"/>
    </font>
    <font>
      <i/>
      <sz val="9"/>
      <name val="Arial"/>
      <family val="2"/>
    </font>
    <font>
      <i/>
      <sz val="12"/>
      <color theme="1"/>
      <name val="Times"/>
    </font>
    <font>
      <b/>
      <sz val="12"/>
      <name val="Times"/>
    </font>
    <font>
      <sz val="8"/>
      <name val="Calibri"/>
      <family val="2"/>
      <scheme val="minor"/>
    </font>
    <font>
      <i/>
      <sz val="12"/>
      <name val="Times"/>
    </font>
    <font>
      <b/>
      <sz val="12"/>
      <color theme="1"/>
      <name val="Calibri"/>
      <family val="2"/>
      <scheme val="minor"/>
    </font>
    <font>
      <sz val="10"/>
      <name val="Calibri"/>
      <family val="2"/>
      <scheme val="minor"/>
    </font>
    <font>
      <b/>
      <sz val="11"/>
      <color rgb="FF586575"/>
      <name val="Titillium-Light"/>
    </font>
    <font>
      <sz val="12"/>
      <color theme="1"/>
      <name val="Times"/>
    </font>
    <font>
      <vertAlign val="subscript"/>
      <sz val="11"/>
      <color theme="1"/>
      <name val="Times"/>
    </font>
    <font>
      <vertAlign val="superscript"/>
      <sz val="11"/>
      <color theme="1"/>
      <name val="Times"/>
    </font>
    <font>
      <sz val="11"/>
      <color theme="1"/>
      <name val="Times"/>
    </font>
    <font>
      <sz val="12"/>
      <name val="Times"/>
    </font>
    <font>
      <b/>
      <sz val="12"/>
      <color rgb="FFFFFFFF"/>
      <name val="Times New Roman"/>
      <family val="1"/>
    </font>
    <font>
      <sz val="12"/>
      <color rgb="FF333333"/>
      <name val="Times New Roman"/>
      <family val="1"/>
    </font>
    <font>
      <b/>
      <i/>
      <vertAlign val="subscript"/>
      <sz val="12"/>
      <name val="Times New Roman"/>
      <family val="1"/>
    </font>
    <font>
      <u/>
      <vertAlign val="subscript"/>
      <sz val="11"/>
      <color theme="10"/>
      <name val="Calibri"/>
      <family val="2"/>
    </font>
    <font>
      <vertAlign val="superscript"/>
      <sz val="12"/>
      <color theme="1"/>
      <name val="Times"/>
    </font>
  </fonts>
  <fills count="2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00B0F0"/>
        <bgColor indexed="64"/>
      </patternFill>
    </fill>
    <fill>
      <patternFill patternType="solid">
        <fgColor indexed="44"/>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254368"/>
        <bgColor indexed="64"/>
      </patternFill>
    </fill>
    <fill>
      <patternFill patternType="solid">
        <fgColor rgb="FFCCFFCC"/>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00989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bottom style="thin">
        <color indexed="8"/>
      </bottom>
      <diagonal/>
    </border>
    <border>
      <left/>
      <right/>
      <top style="medium">
        <color indexed="64"/>
      </top>
      <bottom style="thin">
        <color indexed="64"/>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double">
        <color indexed="64"/>
      </top>
      <bottom style="thin">
        <color indexed="64"/>
      </bottom>
      <diagonal/>
    </border>
    <border>
      <left/>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s>
  <cellStyleXfs count="9">
    <xf numFmtId="0" fontId="0" fillId="0" borderId="0"/>
    <xf numFmtId="9" fontId="6" fillId="0" borderId="0" applyFont="0" applyFill="0" applyBorder="0" applyAlignment="0" applyProtection="0"/>
    <xf numFmtId="165" fontId="6" fillId="0" borderId="0" applyFont="0" applyFill="0" applyBorder="0" applyAlignment="0" applyProtection="0"/>
    <xf numFmtId="0" fontId="27" fillId="0" borderId="0" applyNumberFormat="0" applyFill="0" applyBorder="0" applyAlignment="0" applyProtection="0">
      <alignment vertical="top"/>
      <protection locked="0"/>
    </xf>
    <xf numFmtId="0" fontId="44" fillId="0" borderId="0"/>
    <xf numFmtId="0" fontId="73" fillId="0" borderId="0"/>
    <xf numFmtId="43" fontId="6" fillId="0" borderId="0" applyFont="0" applyFill="0" applyBorder="0" applyAlignment="0" applyProtection="0"/>
    <xf numFmtId="0" fontId="6" fillId="0" borderId="0"/>
    <xf numFmtId="0" fontId="94" fillId="0" borderId="0" applyNumberFormat="0" applyFill="0" applyBorder="0" applyAlignment="0" applyProtection="0"/>
  </cellStyleXfs>
  <cellXfs count="1119">
    <xf numFmtId="0" fontId="0" fillId="0" borderId="0" xfId="0"/>
    <xf numFmtId="0" fontId="1" fillId="0" borderId="0" xfId="0" applyFont="1"/>
    <xf numFmtId="0" fontId="2" fillId="0" borderId="0" xfId="0" applyFont="1"/>
    <xf numFmtId="0" fontId="3" fillId="0" borderId="1" xfId="0" applyFont="1" applyBorder="1" applyAlignment="1">
      <alignment horizontal="center"/>
    </xf>
    <xf numFmtId="0" fontId="4" fillId="0" borderId="1" xfId="0" applyFont="1" applyBorder="1" applyAlignment="1">
      <alignment horizontal="center"/>
    </xf>
    <xf numFmtId="0" fontId="5" fillId="2" borderId="1" xfId="0" applyFont="1" applyFill="1" applyBorder="1" applyAlignment="1">
      <alignment horizontal="left" indent="1"/>
    </xf>
    <xf numFmtId="0" fontId="3" fillId="0" borderId="1" xfId="0" applyFont="1" applyBorder="1"/>
    <xf numFmtId="0" fontId="5" fillId="2" borderId="1" xfId="0" applyFont="1" applyFill="1" applyBorder="1"/>
    <xf numFmtId="0" fontId="1" fillId="0" borderId="0" xfId="0" applyFont="1" applyAlignment="1">
      <alignment horizontal="left"/>
    </xf>
    <xf numFmtId="0" fontId="7" fillId="0" borderId="1" xfId="0" applyFont="1" applyBorder="1" applyAlignment="1">
      <alignment horizontal="center"/>
    </xf>
    <xf numFmtId="0" fontId="8" fillId="0" borderId="1" xfId="0" applyFont="1" applyBorder="1"/>
    <xf numFmtId="0" fontId="7" fillId="0" borderId="1" xfId="0" applyFont="1" applyBorder="1"/>
    <xf numFmtId="0" fontId="10" fillId="0" borderId="0" xfId="0" applyFont="1"/>
    <xf numFmtId="0" fontId="10" fillId="0" borderId="11" xfId="0" applyFont="1" applyBorder="1" applyAlignment="1">
      <alignment horizontal="center" wrapText="1"/>
    </xf>
    <xf numFmtId="0" fontId="10" fillId="0" borderId="8"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xf>
    <xf numFmtId="167" fontId="10" fillId="0" borderId="8" xfId="0" applyNumberFormat="1" applyFont="1" applyBorder="1" applyAlignment="1">
      <alignment horizontal="center" wrapText="1"/>
    </xf>
    <xf numFmtId="167" fontId="10" fillId="0" borderId="8" xfId="0" applyNumberFormat="1" applyFont="1" applyBorder="1" applyAlignment="1">
      <alignment horizontal="center"/>
    </xf>
    <xf numFmtId="0" fontId="10" fillId="0" borderId="7" xfId="0" applyFont="1" applyBorder="1" applyAlignment="1">
      <alignment horizontal="center" vertical="top" wrapText="1"/>
    </xf>
    <xf numFmtId="0" fontId="10" fillId="0" borderId="9" xfId="0" applyFont="1" applyBorder="1" applyAlignment="1">
      <alignment horizontal="center" vertical="top"/>
    </xf>
    <xf numFmtId="0" fontId="10" fillId="0" borderId="9" xfId="0" applyFont="1" applyBorder="1" applyAlignment="1">
      <alignment horizontal="center" vertical="top" wrapText="1"/>
    </xf>
    <xf numFmtId="0" fontId="10" fillId="0" borderId="7" xfId="0" applyFont="1" applyBorder="1" applyAlignment="1">
      <alignment horizontal="center" vertical="top"/>
    </xf>
    <xf numFmtId="167" fontId="10" fillId="0" borderId="0" xfId="0" applyNumberFormat="1" applyFont="1" applyAlignment="1">
      <alignment horizontal="center" wrapText="1"/>
    </xf>
    <xf numFmtId="167" fontId="10" fillId="0" borderId="0" xfId="0" applyNumberFormat="1" applyFont="1" applyAlignment="1">
      <alignment horizontal="center"/>
    </xf>
    <xf numFmtId="0" fontId="16" fillId="0" borderId="11" xfId="0" applyFont="1" applyBorder="1"/>
    <xf numFmtId="0" fontId="16" fillId="0" borderId="10" xfId="0" applyFont="1" applyBorder="1"/>
    <xf numFmtId="0" fontId="10" fillId="0" borderId="12" xfId="0" applyFont="1" applyBorder="1" applyAlignment="1">
      <alignment horizontal="center" vertical="top"/>
    </xf>
    <xf numFmtId="0" fontId="10" fillId="0" borderId="10" xfId="0" applyFont="1" applyBorder="1" applyAlignment="1">
      <alignment horizontal="center" vertical="top"/>
    </xf>
    <xf numFmtId="166" fontId="10" fillId="0" borderId="8" xfId="0" applyNumberFormat="1" applyFont="1" applyBorder="1" applyAlignment="1">
      <alignment horizontal="center"/>
    </xf>
    <xf numFmtId="166" fontId="10" fillId="0" borderId="13" xfId="0" applyNumberFormat="1" applyFont="1" applyBorder="1" applyAlignment="1">
      <alignment horizontal="center"/>
    </xf>
    <xf numFmtId="166" fontId="10" fillId="0" borderId="10" xfId="0" applyNumberFormat="1" applyFont="1" applyBorder="1" applyAlignment="1">
      <alignment horizontal="center"/>
    </xf>
    <xf numFmtId="166" fontId="10" fillId="0" borderId="11" xfId="0" applyNumberFormat="1" applyFont="1" applyBorder="1" applyAlignment="1">
      <alignment horizontal="center"/>
    </xf>
    <xf numFmtId="166" fontId="10" fillId="0" borderId="0" xfId="0" applyNumberFormat="1" applyFont="1" applyAlignment="1">
      <alignment horizontal="center"/>
    </xf>
    <xf numFmtId="166" fontId="10" fillId="0" borderId="0" xfId="0" applyNumberFormat="1" applyFont="1" applyAlignment="1">
      <alignment horizontal="center" wrapText="1"/>
    </xf>
    <xf numFmtId="0" fontId="10" fillId="0" borderId="10" xfId="0" applyFont="1" applyBorder="1" applyAlignment="1">
      <alignment horizontal="center" wrapText="1"/>
    </xf>
    <xf numFmtId="166" fontId="10" fillId="0" borderId="8" xfId="0" applyNumberFormat="1" applyFont="1" applyBorder="1" applyAlignment="1">
      <alignment horizontal="center" wrapText="1"/>
    </xf>
    <xf numFmtId="166" fontId="10" fillId="0" borderId="13" xfId="0" applyNumberFormat="1" applyFont="1" applyBorder="1" applyAlignment="1">
      <alignment horizontal="center" wrapText="1"/>
    </xf>
    <xf numFmtId="166" fontId="10" fillId="0" borderId="17" xfId="0" applyNumberFormat="1" applyFont="1" applyBorder="1" applyAlignment="1">
      <alignment horizontal="center" wrapText="1"/>
    </xf>
    <xf numFmtId="166" fontId="10" fillId="0" borderId="10" xfId="0" applyNumberFormat="1" applyFont="1" applyBorder="1" applyAlignment="1">
      <alignment horizontal="center" wrapText="1"/>
    </xf>
    <xf numFmtId="0" fontId="10" fillId="0" borderId="0" xfId="0" applyFont="1" applyAlignment="1">
      <alignment horizontal="center"/>
    </xf>
    <xf numFmtId="0" fontId="10" fillId="0" borderId="0" xfId="0" applyFont="1" applyAlignment="1">
      <alignment horizontal="center" wrapText="1"/>
    </xf>
    <xf numFmtId="0" fontId="9" fillId="0" borderId="0" xfId="0" applyFont="1"/>
    <xf numFmtId="0" fontId="19" fillId="0" borderId="1" xfId="0" applyFont="1" applyBorder="1" applyAlignment="1">
      <alignment horizontal="left"/>
    </xf>
    <xf numFmtId="0" fontId="21" fillId="0" borderId="0" xfId="0" applyFont="1"/>
    <xf numFmtId="0" fontId="13" fillId="0" borderId="0" xfId="0" applyFont="1"/>
    <xf numFmtId="0" fontId="19" fillId="0" borderId="1" xfId="0" applyFont="1" applyBorder="1"/>
    <xf numFmtId="0" fontId="28" fillId="0" borderId="0" xfId="3" applyFont="1" applyAlignment="1" applyProtection="1"/>
    <xf numFmtId="0" fontId="29" fillId="0" borderId="1" xfId="0" applyFont="1" applyBorder="1"/>
    <xf numFmtId="172" fontId="0" fillId="0" borderId="1" xfId="2" applyNumberFormat="1" applyFont="1" applyBorder="1"/>
    <xf numFmtId="0" fontId="30" fillId="3" borderId="1" xfId="0" applyFont="1" applyFill="1" applyBorder="1"/>
    <xf numFmtId="172" fontId="7" fillId="3" borderId="1" xfId="2" applyNumberFormat="1" applyFont="1" applyFill="1" applyBorder="1"/>
    <xf numFmtId="0" fontId="30" fillId="3" borderId="1" xfId="0" applyFont="1" applyFill="1" applyBorder="1" applyAlignment="1">
      <alignment wrapText="1"/>
    </xf>
    <xf numFmtId="172" fontId="7" fillId="3" borderId="1" xfId="2" applyNumberFormat="1" applyFont="1" applyFill="1" applyBorder="1" applyAlignment="1">
      <alignment vertical="center"/>
    </xf>
    <xf numFmtId="173" fontId="0" fillId="0" borderId="0" xfId="1" applyNumberFormat="1" applyFont="1"/>
    <xf numFmtId="0" fontId="29" fillId="0" borderId="2" xfId="0" applyFont="1" applyBorder="1"/>
    <xf numFmtId="172" fontId="0" fillId="0" borderId="3" xfId="2" applyNumberFormat="1" applyFont="1" applyBorder="1"/>
    <xf numFmtId="172" fontId="0" fillId="0" borderId="4" xfId="2" applyNumberFormat="1" applyFont="1" applyBorder="1"/>
    <xf numFmtId="0" fontId="30" fillId="3" borderId="5" xfId="0" applyFont="1" applyFill="1" applyBorder="1"/>
    <xf numFmtId="0" fontId="31" fillId="0" borderId="0" xfId="0" applyFont="1"/>
    <xf numFmtId="0" fontId="29" fillId="0" borderId="1" xfId="0" applyFont="1" applyBorder="1" applyAlignment="1">
      <alignment horizontal="center"/>
    </xf>
    <xf numFmtId="0" fontId="3" fillId="0" borderId="2" xfId="0" applyFont="1" applyBorder="1" applyAlignment="1">
      <alignment horizontal="centerContinuous"/>
    </xf>
    <xf numFmtId="0" fontId="3" fillId="0" borderId="3" xfId="0" applyFont="1" applyBorder="1" applyAlignment="1">
      <alignment horizontal="centerContinuous"/>
    </xf>
    <xf numFmtId="0" fontId="3" fillId="0" borderId="4" xfId="0" applyFont="1" applyBorder="1" applyAlignment="1">
      <alignment horizontal="centerContinuous"/>
    </xf>
    <xf numFmtId="165" fontId="10" fillId="0" borderId="0" xfId="2" applyFont="1"/>
    <xf numFmtId="0" fontId="19" fillId="0" borderId="1" xfId="0" applyFont="1" applyBorder="1" applyAlignment="1">
      <alignment horizontal="center"/>
    </xf>
    <xf numFmtId="0" fontId="33" fillId="0" borderId="0" xfId="0" applyFont="1"/>
    <xf numFmtId="0" fontId="5" fillId="0" borderId="1" xfId="0" applyFont="1" applyBorder="1"/>
    <xf numFmtId="0" fontId="35" fillId="0" borderId="0" xfId="0" applyFont="1"/>
    <xf numFmtId="0" fontId="36" fillId="0" borderId="0" xfId="0" applyFont="1"/>
    <xf numFmtId="0" fontId="24" fillId="0" borderId="1" xfId="0" applyFont="1" applyBorder="1"/>
    <xf numFmtId="0" fontId="24" fillId="0" borderId="1" xfId="0" applyFont="1" applyBorder="1" applyAlignment="1">
      <alignment horizontal="center"/>
    </xf>
    <xf numFmtId="0" fontId="19" fillId="0" borderId="2" xfId="0" applyFont="1" applyBorder="1" applyAlignment="1">
      <alignment horizontal="centerContinuous"/>
    </xf>
    <xf numFmtId="0" fontId="19" fillId="0" borderId="3" xfId="0" applyFont="1" applyBorder="1" applyAlignment="1">
      <alignment horizontal="centerContinuous"/>
    </xf>
    <xf numFmtId="0" fontId="19" fillId="0" borderId="4" xfId="0" applyFont="1" applyBorder="1" applyAlignment="1">
      <alignment horizontal="centerContinuous"/>
    </xf>
    <xf numFmtId="0" fontId="36" fillId="0" borderId="2" xfId="0" applyFont="1" applyBorder="1" applyAlignment="1">
      <alignment horizontal="centerContinuous"/>
    </xf>
    <xf numFmtId="0" fontId="36" fillId="0" borderId="3" xfId="0" applyFont="1" applyBorder="1" applyAlignment="1">
      <alignment horizontal="centerContinuous"/>
    </xf>
    <xf numFmtId="0" fontId="10" fillId="0" borderId="1" xfId="0" applyFont="1" applyBorder="1" applyAlignment="1">
      <alignment horizontal="left"/>
    </xf>
    <xf numFmtId="0" fontId="12" fillId="0" borderId="1" xfId="0" applyFont="1" applyBorder="1" applyAlignment="1">
      <alignment horizontal="left"/>
    </xf>
    <xf numFmtId="0" fontId="13" fillId="0" borderId="0" xfId="0" applyFont="1" applyAlignment="1">
      <alignment horizontal="left"/>
    </xf>
    <xf numFmtId="170" fontId="21" fillId="0" borderId="1" xfId="0" applyNumberFormat="1" applyFont="1" applyBorder="1"/>
    <xf numFmtId="0" fontId="10" fillId="0" borderId="1" xfId="0" applyFont="1" applyBorder="1"/>
    <xf numFmtId="0" fontId="25" fillId="0" borderId="1" xfId="0" applyFont="1" applyBorder="1" applyAlignment="1">
      <alignment horizontal="left" indent="6"/>
    </xf>
    <xf numFmtId="0" fontId="21" fillId="0" borderId="1" xfId="0" applyFont="1" applyBorder="1" applyAlignment="1">
      <alignment horizontal="left"/>
    </xf>
    <xf numFmtId="0" fontId="19" fillId="0" borderId="6" xfId="2" applyNumberFormat="1" applyFont="1" applyBorder="1" applyAlignment="1">
      <alignment horizontal="center"/>
    </xf>
    <xf numFmtId="0" fontId="19" fillId="0" borderId="1" xfId="0" applyFont="1" applyBorder="1" applyAlignment="1">
      <alignment horizontal="centerContinuous"/>
    </xf>
    <xf numFmtId="0" fontId="19" fillId="0" borderId="3" xfId="2" applyNumberFormat="1" applyFont="1" applyBorder="1" applyAlignment="1">
      <alignment horizontal="centerContinuous"/>
    </xf>
    <xf numFmtId="0" fontId="19" fillId="0" borderId="4" xfId="2" applyNumberFormat="1" applyFont="1" applyBorder="1" applyAlignment="1">
      <alignment horizontal="centerContinuous"/>
    </xf>
    <xf numFmtId="165" fontId="0" fillId="0" borderId="0" xfId="2" applyFont="1"/>
    <xf numFmtId="0" fontId="10" fillId="0" borderId="9" xfId="0" applyFont="1" applyBorder="1" applyAlignment="1">
      <alignment horizontal="center" wrapText="1"/>
    </xf>
    <xf numFmtId="169" fontId="9" fillId="0" borderId="0" xfId="0" applyNumberFormat="1" applyFont="1"/>
    <xf numFmtId="166" fontId="9" fillId="0" borderId="0" xfId="0" applyNumberFormat="1" applyFont="1"/>
    <xf numFmtId="170" fontId="2" fillId="0" borderId="0" xfId="0" applyNumberFormat="1" applyFont="1"/>
    <xf numFmtId="175" fontId="2" fillId="0" borderId="0" xfId="0" applyNumberFormat="1" applyFont="1"/>
    <xf numFmtId="172" fontId="0" fillId="0" borderId="1" xfId="2" applyNumberFormat="1" applyFont="1" applyBorder="1" applyAlignment="1">
      <alignment horizontal="center" vertical="center"/>
    </xf>
    <xf numFmtId="173" fontId="2" fillId="0" borderId="0" xfId="1" applyNumberFormat="1" applyFont="1"/>
    <xf numFmtId="0" fontId="26" fillId="0" borderId="0" xfId="0" applyFont="1"/>
    <xf numFmtId="0" fontId="39" fillId="0" borderId="0" xfId="3" applyFont="1" applyAlignment="1" applyProtection="1">
      <alignment vertical="top"/>
    </xf>
    <xf numFmtId="174" fontId="10" fillId="0" borderId="0" xfId="0" applyNumberFormat="1" applyFont="1"/>
    <xf numFmtId="176" fontId="10" fillId="0" borderId="0" xfId="0" applyNumberFormat="1" applyFont="1"/>
    <xf numFmtId="165" fontId="9" fillId="0" borderId="0" xfId="2" applyFont="1"/>
    <xf numFmtId="178" fontId="2" fillId="0" borderId="0" xfId="0" applyNumberFormat="1" applyFont="1"/>
    <xf numFmtId="170" fontId="19" fillId="0" borderId="1" xfId="0" applyNumberFormat="1" applyFont="1" applyBorder="1"/>
    <xf numFmtId="0" fontId="40" fillId="0" borderId="1" xfId="0" applyFont="1" applyBorder="1" applyAlignment="1">
      <alignment horizontal="center"/>
    </xf>
    <xf numFmtId="166" fontId="10" fillId="0" borderId="11" xfId="0" applyNumberFormat="1" applyFont="1" applyBorder="1" applyAlignment="1">
      <alignment horizontal="center" wrapText="1"/>
    </xf>
    <xf numFmtId="172" fontId="0" fillId="0" borderId="0" xfId="0" applyNumberFormat="1"/>
    <xf numFmtId="0" fontId="28" fillId="0" borderId="0" xfId="3" applyFont="1" applyAlignment="1" applyProtection="1">
      <alignment horizontal="left" vertical="top"/>
    </xf>
    <xf numFmtId="165" fontId="10" fillId="0" borderId="0" xfId="0" applyNumberFormat="1" applyFont="1"/>
    <xf numFmtId="166" fontId="10" fillId="0" borderId="15" xfId="0" applyNumberFormat="1" applyFont="1" applyBorder="1" applyAlignment="1">
      <alignment horizontal="center"/>
    </xf>
    <xf numFmtId="166" fontId="10" fillId="0" borderId="15" xfId="0" applyNumberFormat="1" applyFont="1" applyBorder="1" applyAlignment="1">
      <alignment horizontal="center" wrapText="1"/>
    </xf>
    <xf numFmtId="166" fontId="10" fillId="0" borderId="9" xfId="0" applyNumberFormat="1" applyFont="1" applyBorder="1" applyAlignment="1">
      <alignment horizontal="center"/>
    </xf>
    <xf numFmtId="166" fontId="10" fillId="0" borderId="0" xfId="0" applyNumberFormat="1" applyFont="1" applyAlignment="1">
      <alignment horizontal="center" vertical="center"/>
    </xf>
    <xf numFmtId="166" fontId="10" fillId="0" borderId="8" xfId="0" applyNumberFormat="1" applyFont="1" applyBorder="1" applyAlignment="1">
      <alignment horizontal="center" vertical="center"/>
    </xf>
    <xf numFmtId="166" fontId="9" fillId="0" borderId="0" xfId="1" applyNumberFormat="1" applyFont="1"/>
    <xf numFmtId="0" fontId="42" fillId="0" borderId="1" xfId="0" applyFont="1" applyBorder="1" applyAlignment="1">
      <alignment horizontal="left" indent="3"/>
    </xf>
    <xf numFmtId="0" fontId="5" fillId="0" borderId="0" xfId="0" applyFont="1"/>
    <xf numFmtId="173" fontId="5" fillId="0" borderId="0" xfId="1" applyNumberFormat="1" applyFont="1"/>
    <xf numFmtId="174" fontId="0" fillId="0" borderId="0" xfId="0" applyNumberFormat="1"/>
    <xf numFmtId="175" fontId="5" fillId="0" borderId="0" xfId="0" applyNumberFormat="1" applyFont="1"/>
    <xf numFmtId="172" fontId="41" fillId="0" borderId="4" xfId="2" applyNumberFormat="1" applyFont="1" applyBorder="1" applyAlignment="1">
      <alignment vertical="center"/>
    </xf>
    <xf numFmtId="0" fontId="10" fillId="0" borderId="12" xfId="0" applyFont="1" applyBorder="1" applyAlignment="1">
      <alignment horizontal="center"/>
    </xf>
    <xf numFmtId="171" fontId="0" fillId="0" borderId="0" xfId="0" applyNumberFormat="1"/>
    <xf numFmtId="171" fontId="3" fillId="0" borderId="1" xfId="0" applyNumberFormat="1" applyFont="1" applyBorder="1"/>
    <xf numFmtId="0" fontId="3" fillId="0" borderId="6" xfId="0" applyFont="1" applyBorder="1" applyAlignment="1">
      <alignment horizontal="center"/>
    </xf>
    <xf numFmtId="0" fontId="4" fillId="0" borderId="6" xfId="0" applyFont="1" applyBorder="1" applyAlignment="1">
      <alignment horizontal="center"/>
    </xf>
    <xf numFmtId="0" fontId="43" fillId="0" borderId="3" xfId="0" applyFont="1" applyBorder="1" applyAlignment="1">
      <alignment horizontal="centerContinuous"/>
    </xf>
    <xf numFmtId="171" fontId="7" fillId="0" borderId="1" xfId="0" applyNumberFormat="1" applyFont="1" applyBorder="1"/>
    <xf numFmtId="3" fontId="8" fillId="0" borderId="0" xfId="0" applyNumberFormat="1" applyFont="1"/>
    <xf numFmtId="165" fontId="5" fillId="0" borderId="1" xfId="2" applyFont="1" applyBorder="1"/>
    <xf numFmtId="165" fontId="42" fillId="0" borderId="1" xfId="2" applyFont="1" applyBorder="1"/>
    <xf numFmtId="165" fontId="3" fillId="0" borderId="1" xfId="2" applyFont="1" applyBorder="1"/>
    <xf numFmtId="1" fontId="2" fillId="0" borderId="0" xfId="0" applyNumberFormat="1" applyFont="1"/>
    <xf numFmtId="2" fontId="0" fillId="0" borderId="0" xfId="0" applyNumberFormat="1"/>
    <xf numFmtId="0" fontId="10" fillId="0" borderId="12" xfId="0" applyFont="1" applyBorder="1" applyAlignment="1">
      <alignment horizontal="center" wrapText="1"/>
    </xf>
    <xf numFmtId="167" fontId="10" fillId="0" borderId="13" xfId="0" applyNumberFormat="1" applyFont="1" applyBorder="1" applyAlignment="1">
      <alignment horizontal="center" wrapText="1"/>
    </xf>
    <xf numFmtId="165" fontId="9" fillId="0" borderId="0" xfId="0" applyNumberFormat="1" applyFont="1"/>
    <xf numFmtId="0" fontId="24" fillId="0" borderId="1" xfId="0" applyFont="1" applyBorder="1" applyAlignment="1">
      <alignment horizontal="left" indent="4"/>
    </xf>
    <xf numFmtId="0" fontId="45" fillId="0" borderId="1" xfId="0" applyFont="1" applyBorder="1" applyAlignment="1">
      <alignment horizontal="center"/>
    </xf>
    <xf numFmtId="0" fontId="45" fillId="0" borderId="1" xfId="0" applyFont="1" applyBorder="1" applyAlignment="1">
      <alignment horizontal="center" vertical="center"/>
    </xf>
    <xf numFmtId="179" fontId="45" fillId="0" borderId="1" xfId="2" applyNumberFormat="1" applyFont="1" applyBorder="1" applyAlignment="1">
      <alignment horizontal="right"/>
    </xf>
    <xf numFmtId="0" fontId="46" fillId="0" borderId="1" xfId="0" applyFont="1" applyBorder="1" applyAlignment="1">
      <alignment horizontal="left"/>
    </xf>
    <xf numFmtId="0" fontId="46" fillId="0" borderId="1" xfId="0" applyFont="1" applyBorder="1" applyAlignment="1">
      <alignment horizontal="center" vertical="center"/>
    </xf>
    <xf numFmtId="179" fontId="46" fillId="0" borderId="1" xfId="2" applyNumberFormat="1" applyFont="1" applyBorder="1" applyAlignment="1">
      <alignment horizontal="right"/>
    </xf>
    <xf numFmtId="179" fontId="46" fillId="0" borderId="1" xfId="2" applyNumberFormat="1" applyFont="1" applyBorder="1" applyAlignment="1">
      <alignment horizontal="left"/>
    </xf>
    <xf numFmtId="171" fontId="5" fillId="0" borderId="1" xfId="0" applyNumberFormat="1" applyFont="1" applyBorder="1"/>
    <xf numFmtId="175" fontId="0" fillId="0" borderId="0" xfId="0" applyNumberFormat="1"/>
    <xf numFmtId="171" fontId="47" fillId="4" borderId="1" xfId="0" applyNumberFormat="1" applyFont="1" applyFill="1" applyBorder="1"/>
    <xf numFmtId="0" fontId="10" fillId="0" borderId="0" xfId="0" applyFont="1" applyAlignment="1">
      <alignment horizontal="centerContinuous"/>
    </xf>
    <xf numFmtId="175" fontId="10" fillId="0" borderId="1" xfId="0" applyNumberFormat="1" applyFont="1" applyBorder="1"/>
    <xf numFmtId="175" fontId="10" fillId="0" borderId="1" xfId="0" applyNumberFormat="1" applyFont="1" applyBorder="1" applyAlignment="1">
      <alignment horizontal="center" vertical="center"/>
    </xf>
    <xf numFmtId="175" fontId="10" fillId="0" borderId="0" xfId="0" applyNumberFormat="1" applyFont="1"/>
    <xf numFmtId="175" fontId="12" fillId="0" borderId="1" xfId="0" applyNumberFormat="1" applyFont="1" applyBorder="1"/>
    <xf numFmtId="175" fontId="12" fillId="0" borderId="1" xfId="0" applyNumberFormat="1" applyFont="1" applyBorder="1" applyAlignment="1">
      <alignment horizontal="center" vertical="center"/>
    </xf>
    <xf numFmtId="179" fontId="35" fillId="0" borderId="5" xfId="2" applyNumberFormat="1" applyFont="1" applyBorder="1"/>
    <xf numFmtId="179" fontId="36" fillId="0" borderId="5" xfId="2" applyNumberFormat="1" applyFont="1" applyBorder="1"/>
    <xf numFmtId="171" fontId="7" fillId="0" borderId="5" xfId="0" applyNumberFormat="1" applyFont="1" applyBorder="1"/>
    <xf numFmtId="171" fontId="8" fillId="0" borderId="1" xfId="0" applyNumberFormat="1" applyFont="1" applyBorder="1"/>
    <xf numFmtId="171" fontId="8" fillId="0" borderId="5" xfId="0" applyNumberFormat="1" applyFont="1" applyBorder="1"/>
    <xf numFmtId="179" fontId="5" fillId="0" borderId="1" xfId="2" applyNumberFormat="1" applyFont="1" applyFill="1" applyBorder="1"/>
    <xf numFmtId="179" fontId="5" fillId="0" borderId="1" xfId="2" applyNumberFormat="1" applyFont="1" applyBorder="1"/>
    <xf numFmtId="179" fontId="42" fillId="0" borderId="1" xfId="2" applyNumberFormat="1" applyFont="1" applyFill="1" applyBorder="1"/>
    <xf numFmtId="179" fontId="42" fillId="0" borderId="1" xfId="2" applyNumberFormat="1" applyFont="1" applyBorder="1"/>
    <xf numFmtId="179" fontId="3" fillId="0" borderId="1" xfId="2" applyNumberFormat="1" applyFont="1" applyBorder="1"/>
    <xf numFmtId="0" fontId="0" fillId="5" borderId="0" xfId="0" applyFill="1"/>
    <xf numFmtId="174" fontId="0" fillId="5" borderId="0" xfId="2" applyNumberFormat="1" applyFont="1" applyFill="1"/>
    <xf numFmtId="174" fontId="0" fillId="0" borderId="0" xfId="2" applyNumberFormat="1" applyFont="1"/>
    <xf numFmtId="43" fontId="0" fillId="0" borderId="0" xfId="0" applyNumberFormat="1"/>
    <xf numFmtId="181" fontId="0" fillId="0" borderId="0" xfId="0" applyNumberFormat="1"/>
    <xf numFmtId="1" fontId="0" fillId="0" borderId="0" xfId="0" applyNumberFormat="1"/>
    <xf numFmtId="166" fontId="0" fillId="0" borderId="0" xfId="0" applyNumberFormat="1"/>
    <xf numFmtId="180" fontId="0" fillId="0" borderId="0" xfId="0" applyNumberFormat="1"/>
    <xf numFmtId="179" fontId="0" fillId="0" borderId="0" xfId="0" applyNumberFormat="1"/>
    <xf numFmtId="167" fontId="7" fillId="0" borderId="18" xfId="0" applyNumberFormat="1" applyFont="1" applyBorder="1"/>
    <xf numFmtId="167" fontId="7" fillId="0" borderId="0" xfId="0" applyNumberFormat="1" applyFont="1"/>
    <xf numFmtId="0" fontId="45" fillId="0" borderId="18" xfId="0" applyFont="1" applyBorder="1" applyAlignment="1">
      <alignment horizontal="center"/>
    </xf>
    <xf numFmtId="183" fontId="0" fillId="0" borderId="0" xfId="0" applyNumberFormat="1"/>
    <xf numFmtId="169" fontId="0" fillId="0" borderId="0" xfId="2" applyNumberFormat="1" applyFont="1"/>
    <xf numFmtId="175" fontId="33" fillId="0" borderId="0" xfId="0" applyNumberFormat="1" applyFont="1"/>
    <xf numFmtId="0" fontId="33" fillId="0" borderId="0" xfId="0" applyFont="1" applyAlignment="1">
      <alignment horizontal="center"/>
    </xf>
    <xf numFmtId="179" fontId="0" fillId="0" borderId="0" xfId="2" applyNumberFormat="1" applyFont="1"/>
    <xf numFmtId="174" fontId="33" fillId="0" borderId="0" xfId="2" applyNumberFormat="1" applyFont="1"/>
    <xf numFmtId="43" fontId="7" fillId="0" borderId="0" xfId="2" applyNumberFormat="1" applyFont="1" applyAlignment="1">
      <alignment horizontal="centerContinuous"/>
    </xf>
    <xf numFmtId="172" fontId="8" fillId="0" borderId="0" xfId="2" applyNumberFormat="1" applyFont="1"/>
    <xf numFmtId="175" fontId="8" fillId="0" borderId="0" xfId="0" applyNumberFormat="1" applyFont="1"/>
    <xf numFmtId="0" fontId="8" fillId="0" borderId="0" xfId="0" applyFont="1"/>
    <xf numFmtId="0" fontId="8" fillId="6" borderId="0" xfId="0" applyFont="1" applyFill="1"/>
    <xf numFmtId="0" fontId="8" fillId="5" borderId="0" xfId="0" applyFont="1" applyFill="1"/>
    <xf numFmtId="4" fontId="8" fillId="0" borderId="0" xfId="0" applyNumberFormat="1" applyFont="1"/>
    <xf numFmtId="165" fontId="33" fillId="0" borderId="0" xfId="2" applyFont="1"/>
    <xf numFmtId="0" fontId="33" fillId="5" borderId="0" xfId="0" applyFont="1" applyFill="1" applyAlignment="1">
      <alignment horizontal="center"/>
    </xf>
    <xf numFmtId="174" fontId="33" fillId="5" borderId="0" xfId="2" applyNumberFormat="1" applyFont="1" applyFill="1"/>
    <xf numFmtId="0" fontId="7" fillId="0" borderId="0" xfId="0" applyFont="1"/>
    <xf numFmtId="165" fontId="33" fillId="5" borderId="0" xfId="2" applyFont="1" applyFill="1"/>
    <xf numFmtId="169" fontId="33" fillId="5" borderId="0" xfId="2" applyNumberFormat="1" applyFont="1" applyFill="1"/>
    <xf numFmtId="169" fontId="0" fillId="5" borderId="0" xfId="2" applyNumberFormat="1" applyFont="1" applyFill="1"/>
    <xf numFmtId="177" fontId="0" fillId="0" borderId="0" xfId="2" applyNumberFormat="1" applyFont="1"/>
    <xf numFmtId="184" fontId="0" fillId="0" borderId="0" xfId="2" applyNumberFormat="1" applyFont="1"/>
    <xf numFmtId="177" fontId="33" fillId="0" borderId="0" xfId="2" applyNumberFormat="1" applyFont="1"/>
    <xf numFmtId="174" fontId="6" fillId="5" borderId="0" xfId="2" applyNumberFormat="1" applyFont="1" applyFill="1"/>
    <xf numFmtId="175" fontId="8" fillId="0" borderId="0" xfId="2" applyNumberFormat="1" applyFont="1" applyFill="1"/>
    <xf numFmtId="165" fontId="8" fillId="0" borderId="0" xfId="2" applyFont="1"/>
    <xf numFmtId="0" fontId="7" fillId="4" borderId="0" xfId="0" applyFont="1" applyFill="1"/>
    <xf numFmtId="169" fontId="0" fillId="0" borderId="0" xfId="0" applyNumberFormat="1"/>
    <xf numFmtId="2" fontId="8" fillId="0" borderId="0" xfId="0" applyNumberFormat="1" applyFont="1"/>
    <xf numFmtId="166" fontId="33" fillId="0" borderId="0" xfId="0" applyNumberFormat="1" applyFont="1"/>
    <xf numFmtId="1" fontId="8" fillId="0" borderId="0" xfId="0" applyNumberFormat="1" applyFont="1"/>
    <xf numFmtId="1" fontId="7" fillId="7" borderId="0" xfId="0" applyNumberFormat="1" applyFont="1" applyFill="1"/>
    <xf numFmtId="0" fontId="8" fillId="0" borderId="0" xfId="0" applyFont="1" applyAlignment="1">
      <alignment horizontal="right"/>
    </xf>
    <xf numFmtId="1" fontId="7" fillId="0" borderId="0" xfId="0" applyNumberFormat="1" applyFont="1"/>
    <xf numFmtId="165" fontId="8" fillId="0" borderId="0" xfId="2" applyFont="1" applyFill="1"/>
    <xf numFmtId="165" fontId="0" fillId="0" borderId="0" xfId="2" applyFont="1" applyFill="1"/>
    <xf numFmtId="175" fontId="7" fillId="8" borderId="0" xfId="0" applyNumberFormat="1" applyFont="1" applyFill="1"/>
    <xf numFmtId="43" fontId="0" fillId="8" borderId="0" xfId="0" applyNumberFormat="1" applyFill="1"/>
    <xf numFmtId="43" fontId="41" fillId="0" borderId="0" xfId="0" applyNumberFormat="1" applyFont="1"/>
    <xf numFmtId="165" fontId="41" fillId="0" borderId="0" xfId="0" applyNumberFormat="1" applyFont="1"/>
    <xf numFmtId="166" fontId="33" fillId="8" borderId="0" xfId="0" applyNumberFormat="1" applyFont="1" applyFill="1"/>
    <xf numFmtId="165" fontId="0" fillId="8" borderId="0" xfId="0" applyNumberFormat="1" applyFill="1"/>
    <xf numFmtId="175" fontId="33" fillId="8" borderId="0" xfId="0" applyNumberFormat="1" applyFont="1" applyFill="1"/>
    <xf numFmtId="165" fontId="33" fillId="8" borderId="0" xfId="2" applyFont="1" applyFill="1"/>
    <xf numFmtId="175" fontId="7" fillId="0" borderId="0" xfId="0" applyNumberFormat="1" applyFont="1"/>
    <xf numFmtId="185" fontId="0" fillId="0" borderId="0" xfId="0" applyNumberFormat="1"/>
    <xf numFmtId="186" fontId="0" fillId="0" borderId="0" xfId="0" applyNumberFormat="1"/>
    <xf numFmtId="184" fontId="33" fillId="0" borderId="0" xfId="2" applyNumberFormat="1" applyFont="1"/>
    <xf numFmtId="0" fontId="33" fillId="8" borderId="0" xfId="0" applyFont="1" applyFill="1"/>
    <xf numFmtId="20" fontId="0" fillId="0" borderId="0" xfId="0" applyNumberFormat="1"/>
    <xf numFmtId="0" fontId="0" fillId="0" borderId="1" xfId="0" applyBorder="1"/>
    <xf numFmtId="0" fontId="33" fillId="0" borderId="1" xfId="0" applyFont="1" applyBorder="1"/>
    <xf numFmtId="174" fontId="41" fillId="0" borderId="1" xfId="0" applyNumberFormat="1" applyFont="1" applyBorder="1"/>
    <xf numFmtId="0" fontId="0" fillId="0" borderId="1" xfId="0" quotePrefix="1" applyBorder="1" applyAlignment="1">
      <alignment horizontal="left" indent="6"/>
    </xf>
    <xf numFmtId="169" fontId="41" fillId="0" borderId="1" xfId="2" applyNumberFormat="1" applyFont="1" applyBorder="1"/>
    <xf numFmtId="169" fontId="6" fillId="0" borderId="1" xfId="2" applyNumberFormat="1" applyFont="1" applyBorder="1"/>
    <xf numFmtId="181" fontId="0" fillId="0" borderId="1" xfId="0" applyNumberFormat="1" applyBorder="1"/>
    <xf numFmtId="174" fontId="55" fillId="0" borderId="1" xfId="0" applyNumberFormat="1" applyFont="1" applyBorder="1"/>
    <xf numFmtId="0" fontId="55" fillId="0" borderId="1" xfId="0" quotePrefix="1" applyFont="1" applyBorder="1" applyAlignment="1">
      <alignment horizontal="left" indent="14"/>
    </xf>
    <xf numFmtId="0" fontId="0" fillId="0" borderId="6" xfId="0" applyBorder="1"/>
    <xf numFmtId="181" fontId="0" fillId="0" borderId="6" xfId="0" applyNumberFormat="1" applyBorder="1"/>
    <xf numFmtId="0" fontId="0" fillId="0" borderId="2" xfId="0" applyBorder="1"/>
    <xf numFmtId="181" fontId="0" fillId="0" borderId="3" xfId="0" applyNumberFormat="1" applyBorder="1"/>
    <xf numFmtId="181" fontId="0" fillId="0" borderId="4" xfId="0" applyNumberFormat="1" applyBorder="1"/>
    <xf numFmtId="0" fontId="52" fillId="0" borderId="0" xfId="0" applyFont="1"/>
    <xf numFmtId="169" fontId="8" fillId="0" borderId="0" xfId="2" applyNumberFormat="1" applyFont="1" applyFill="1" applyBorder="1" applyAlignment="1">
      <alignment horizontal="center"/>
    </xf>
    <xf numFmtId="169" fontId="8" fillId="0" borderId="0" xfId="2" applyNumberFormat="1" applyFont="1"/>
    <xf numFmtId="165" fontId="0" fillId="10" borderId="0" xfId="2" applyFont="1" applyFill="1"/>
    <xf numFmtId="169" fontId="0" fillId="10" borderId="0" xfId="2" applyNumberFormat="1" applyFont="1" applyFill="1"/>
    <xf numFmtId="0" fontId="8" fillId="10" borderId="0" xfId="0" applyFont="1" applyFill="1"/>
    <xf numFmtId="179" fontId="33" fillId="0" borderId="0" xfId="2" applyNumberFormat="1" applyFont="1" applyAlignment="1">
      <alignment horizontal="center"/>
    </xf>
    <xf numFmtId="179" fontId="33" fillId="0" borderId="0" xfId="2" applyNumberFormat="1" applyFont="1" applyAlignment="1"/>
    <xf numFmtId="179" fontId="33" fillId="0" borderId="1" xfId="2" applyNumberFormat="1" applyFont="1" applyBorder="1"/>
    <xf numFmtId="179" fontId="0" fillId="0" borderId="1" xfId="2" applyNumberFormat="1" applyFont="1" applyBorder="1"/>
    <xf numFmtId="179" fontId="33" fillId="0" borderId="6" xfId="2" applyNumberFormat="1" applyFont="1" applyBorder="1" applyAlignment="1">
      <alignment horizontal="center" vertical="top" wrapText="1"/>
    </xf>
    <xf numFmtId="173" fontId="0" fillId="0" borderId="0" xfId="0" applyNumberFormat="1"/>
    <xf numFmtId="0" fontId="33" fillId="0" borderId="1" xfId="0" applyFont="1" applyBorder="1" applyAlignment="1">
      <alignment horizontal="center"/>
    </xf>
    <xf numFmtId="9" fontId="0" fillId="0" borderId="0" xfId="1" applyFont="1"/>
    <xf numFmtId="9" fontId="33" fillId="0" borderId="0" xfId="1" applyFont="1"/>
    <xf numFmtId="173" fontId="33" fillId="0" borderId="0" xfId="1" applyNumberFormat="1" applyFont="1"/>
    <xf numFmtId="0" fontId="58" fillId="0" borderId="6" xfId="0" applyFont="1" applyBorder="1" applyAlignment="1">
      <alignment horizontal="center"/>
    </xf>
    <xf numFmtId="0" fontId="59" fillId="0" borderId="4" xfId="0" applyFont="1" applyBorder="1" applyAlignment="1">
      <alignment horizontal="centerContinuous"/>
    </xf>
    <xf numFmtId="1" fontId="0" fillId="0" borderId="1" xfId="0" applyNumberFormat="1" applyBorder="1"/>
    <xf numFmtId="0" fontId="10" fillId="0" borderId="1" xfId="0" applyFont="1" applyBorder="1" applyAlignment="1">
      <alignment horizontal="centerContinuous"/>
    </xf>
    <xf numFmtId="171" fontId="42" fillId="4" borderId="1" xfId="0" applyNumberFormat="1" applyFont="1" applyFill="1" applyBorder="1"/>
    <xf numFmtId="0" fontId="61" fillId="0" borderId="4" xfId="0" applyFont="1" applyBorder="1" applyAlignment="1">
      <alignment horizontal="centerContinuous"/>
    </xf>
    <xf numFmtId="179" fontId="34" fillId="4" borderId="5" xfId="2" applyNumberFormat="1" applyFont="1" applyFill="1" applyBorder="1"/>
    <xf numFmtId="179" fontId="62" fillId="4" borderId="5" xfId="2" applyNumberFormat="1" applyFont="1" applyFill="1" applyBorder="1"/>
    <xf numFmtId="172" fontId="0" fillId="0" borderId="1" xfId="2" applyNumberFormat="1" applyFont="1" applyFill="1" applyBorder="1"/>
    <xf numFmtId="179" fontId="33" fillId="0" borderId="0" xfId="2" applyNumberFormat="1" applyFont="1"/>
    <xf numFmtId="0" fontId="33" fillId="5" borderId="1" xfId="0" applyFont="1" applyFill="1" applyBorder="1"/>
    <xf numFmtId="0" fontId="33" fillId="5" borderId="0" xfId="0" applyFont="1" applyFill="1" applyAlignment="1">
      <alignment horizontal="left"/>
    </xf>
    <xf numFmtId="165" fontId="0" fillId="0" borderId="0" xfId="0" applyNumberFormat="1"/>
    <xf numFmtId="169" fontId="8" fillId="0" borderId="0" xfId="2" applyNumberFormat="1" applyFont="1" applyFill="1" applyBorder="1"/>
    <xf numFmtId="179" fontId="33" fillId="0" borderId="0" xfId="0" applyNumberFormat="1" applyFont="1"/>
    <xf numFmtId="165" fontId="8" fillId="0" borderId="0" xfId="2" applyFont="1" applyFill="1" applyBorder="1"/>
    <xf numFmtId="169" fontId="33" fillId="0" borderId="1" xfId="2" applyNumberFormat="1" applyFont="1" applyBorder="1"/>
    <xf numFmtId="173" fontId="33" fillId="5" borderId="0" xfId="1" applyNumberFormat="1" applyFont="1" applyFill="1"/>
    <xf numFmtId="0" fontId="8" fillId="0" borderId="18" xfId="0" applyFont="1" applyBorder="1"/>
    <xf numFmtId="167" fontId="7" fillId="0" borderId="1" xfId="0" applyNumberFormat="1" applyFont="1" applyBorder="1"/>
    <xf numFmtId="0" fontId="45" fillId="0" borderId="1" xfId="0" applyFont="1" applyBorder="1" applyAlignment="1">
      <alignment horizontal="left"/>
    </xf>
    <xf numFmtId="171" fontId="8" fillId="0" borderId="0" xfId="0" applyNumberFormat="1" applyFont="1"/>
    <xf numFmtId="173" fontId="9" fillId="0" borderId="0" xfId="1" applyNumberFormat="1" applyFont="1"/>
    <xf numFmtId="172" fontId="8" fillId="10" borderId="0" xfId="2" applyNumberFormat="1" applyFont="1" applyFill="1"/>
    <xf numFmtId="169" fontId="33" fillId="0" borderId="0" xfId="2" applyNumberFormat="1" applyFont="1"/>
    <xf numFmtId="179" fontId="33" fillId="5" borderId="0" xfId="2" applyNumberFormat="1" applyFont="1" applyFill="1"/>
    <xf numFmtId="179" fontId="6" fillId="5" borderId="0" xfId="2" applyNumberFormat="1" applyFont="1" applyFill="1"/>
    <xf numFmtId="0" fontId="12" fillId="0" borderId="0" xfId="0" applyFont="1" applyAlignment="1">
      <alignment horizontal="justify"/>
    </xf>
    <xf numFmtId="0" fontId="12" fillId="0" borderId="11" xfId="0" applyFont="1" applyBorder="1" applyAlignment="1">
      <alignment horizontal="justify"/>
    </xf>
    <xf numFmtId="167" fontId="7" fillId="0" borderId="5" xfId="0" applyNumberFormat="1" applyFont="1" applyBorder="1"/>
    <xf numFmtId="165" fontId="33" fillId="0" borderId="0" xfId="0" applyNumberFormat="1" applyFont="1"/>
    <xf numFmtId="179" fontId="6" fillId="0" borderId="1" xfId="2" applyNumberFormat="1" applyFont="1" applyBorder="1"/>
    <xf numFmtId="187" fontId="0" fillId="0" borderId="0" xfId="2" applyNumberFormat="1" applyFont="1"/>
    <xf numFmtId="168" fontId="0" fillId="0" borderId="0" xfId="0" applyNumberFormat="1"/>
    <xf numFmtId="180" fontId="35" fillId="0" borderId="0" xfId="0" applyNumberFormat="1" applyFont="1"/>
    <xf numFmtId="10" fontId="35" fillId="0" borderId="0" xfId="1" applyNumberFormat="1" applyFont="1"/>
    <xf numFmtId="188" fontId="0" fillId="0" borderId="0" xfId="0" applyNumberFormat="1"/>
    <xf numFmtId="0" fontId="65" fillId="0" borderId="1" xfId="0" applyFont="1" applyBorder="1" applyAlignment="1">
      <alignment horizontal="center"/>
    </xf>
    <xf numFmtId="0" fontId="66" fillId="0" borderId="0" xfId="0" applyFont="1"/>
    <xf numFmtId="179" fontId="19" fillId="0" borderId="0" xfId="2" applyNumberFormat="1" applyFont="1"/>
    <xf numFmtId="0" fontId="3" fillId="0" borderId="0" xfId="0" applyFont="1"/>
    <xf numFmtId="165" fontId="3" fillId="0" borderId="0" xfId="2" applyFont="1" applyBorder="1"/>
    <xf numFmtId="179" fontId="3" fillId="0" borderId="0" xfId="2" applyNumberFormat="1" applyFont="1" applyBorder="1"/>
    <xf numFmtId="173" fontId="5" fillId="0" borderId="0" xfId="0" applyNumberFormat="1" applyFont="1"/>
    <xf numFmtId="10" fontId="64" fillId="0" borderId="0" xfId="0" applyNumberFormat="1" applyFont="1"/>
    <xf numFmtId="10" fontId="68" fillId="0" borderId="0" xfId="0" applyNumberFormat="1" applyFont="1"/>
    <xf numFmtId="170" fontId="0" fillId="0" borderId="0" xfId="0" applyNumberFormat="1"/>
    <xf numFmtId="0" fontId="69" fillId="0" borderId="0" xfId="0" applyFont="1" applyAlignment="1">
      <alignment horizontal="left" indent="2"/>
    </xf>
    <xf numFmtId="175" fontId="69" fillId="0" borderId="0" xfId="0" applyNumberFormat="1" applyFont="1"/>
    <xf numFmtId="0" fontId="69" fillId="0" borderId="0" xfId="0" applyFont="1"/>
    <xf numFmtId="0" fontId="24" fillId="0" borderId="4" xfId="0" applyFont="1" applyBorder="1" applyAlignment="1">
      <alignment horizontal="centerContinuous"/>
    </xf>
    <xf numFmtId="0" fontId="13" fillId="0" borderId="1" xfId="0" applyFont="1" applyBorder="1" applyAlignment="1">
      <alignment horizontal="centerContinuous"/>
    </xf>
    <xf numFmtId="1" fontId="69" fillId="0" borderId="0" xfId="0" applyNumberFormat="1" applyFont="1"/>
    <xf numFmtId="0" fontId="24" fillId="4" borderId="1" xfId="0" applyFont="1" applyFill="1" applyBorder="1" applyAlignment="1">
      <alignment horizontal="center"/>
    </xf>
    <xf numFmtId="175" fontId="13" fillId="4" borderId="1" xfId="0" applyNumberFormat="1" applyFont="1" applyFill="1" applyBorder="1"/>
    <xf numFmtId="1" fontId="69" fillId="4" borderId="1" xfId="0" applyNumberFormat="1" applyFont="1" applyFill="1" applyBorder="1"/>
    <xf numFmtId="0" fontId="3" fillId="0" borderId="0" xfId="0" applyFont="1" applyAlignment="1">
      <alignment horizontal="center"/>
    </xf>
    <xf numFmtId="0" fontId="13" fillId="0" borderId="0" xfId="0" applyFont="1" applyAlignment="1">
      <alignment horizontal="left" vertical="top" wrapText="1"/>
    </xf>
    <xf numFmtId="179" fontId="0" fillId="5" borderId="0" xfId="2" applyNumberFormat="1" applyFont="1" applyFill="1"/>
    <xf numFmtId="173" fontId="13" fillId="0" borderId="0" xfId="1" applyNumberFormat="1" applyFont="1" applyAlignment="1">
      <alignment horizontal="left" vertical="top" wrapText="1"/>
    </xf>
    <xf numFmtId="172" fontId="33" fillId="8" borderId="0" xfId="0" applyNumberFormat="1" applyFont="1" applyFill="1"/>
    <xf numFmtId="172" fontId="33" fillId="5" borderId="0" xfId="0" applyNumberFormat="1" applyFont="1" applyFill="1"/>
    <xf numFmtId="43" fontId="33" fillId="13" borderId="0" xfId="0" applyNumberFormat="1" applyFont="1" applyFill="1"/>
    <xf numFmtId="172" fontId="33" fillId="0" borderId="0" xfId="0" applyNumberFormat="1" applyFont="1"/>
    <xf numFmtId="181" fontId="33" fillId="0" borderId="0" xfId="0" applyNumberFormat="1" applyFont="1"/>
    <xf numFmtId="0" fontId="33" fillId="3" borderId="1" xfId="0" applyFont="1" applyFill="1" applyBorder="1"/>
    <xf numFmtId="169" fontId="33" fillId="3" borderId="1" xfId="2" applyNumberFormat="1" applyFont="1" applyFill="1" applyBorder="1"/>
    <xf numFmtId="179" fontId="33" fillId="3" borderId="1" xfId="2" applyNumberFormat="1" applyFont="1" applyFill="1" applyBorder="1"/>
    <xf numFmtId="0" fontId="3" fillId="8" borderId="0" xfId="0" applyFont="1" applyFill="1" applyAlignment="1">
      <alignment horizontal="center"/>
    </xf>
    <xf numFmtId="4" fontId="5" fillId="0" borderId="0" xfId="0" applyNumberFormat="1" applyFont="1"/>
    <xf numFmtId="171" fontId="5" fillId="0" borderId="0" xfId="0" applyNumberFormat="1" applyFont="1"/>
    <xf numFmtId="4" fontId="3" fillId="0" borderId="0" xfId="0" applyNumberFormat="1" applyFont="1"/>
    <xf numFmtId="166" fontId="2" fillId="0" borderId="0" xfId="0" applyNumberFormat="1" applyFont="1"/>
    <xf numFmtId="2" fontId="0" fillId="5" borderId="0" xfId="0" applyNumberFormat="1" applyFill="1"/>
    <xf numFmtId="181" fontId="0" fillId="5" borderId="0" xfId="0" applyNumberFormat="1" applyFill="1"/>
    <xf numFmtId="174" fontId="0" fillId="5" borderId="0" xfId="0" applyNumberFormat="1" applyFill="1"/>
    <xf numFmtId="182" fontId="0" fillId="5" borderId="0" xfId="0" applyNumberFormat="1" applyFill="1"/>
    <xf numFmtId="10" fontId="0" fillId="5" borderId="0" xfId="1" applyNumberFormat="1" applyFont="1" applyFill="1" applyBorder="1"/>
    <xf numFmtId="179" fontId="6" fillId="0" borderId="0" xfId="2" applyNumberFormat="1" applyFont="1" applyBorder="1"/>
    <xf numFmtId="179" fontId="41" fillId="0" borderId="0" xfId="2" applyNumberFormat="1" applyFont="1" applyBorder="1"/>
    <xf numFmtId="179" fontId="52" fillId="5" borderId="0" xfId="2" applyNumberFormat="1" applyFont="1" applyFill="1" applyBorder="1"/>
    <xf numFmtId="179" fontId="51" fillId="0" borderId="0" xfId="2" applyNumberFormat="1" applyFont="1" applyBorder="1"/>
    <xf numFmtId="179" fontId="0" fillId="0" borderId="0" xfId="2" applyNumberFormat="1" applyFont="1" applyBorder="1"/>
    <xf numFmtId="0" fontId="0" fillId="9" borderId="0" xfId="0" applyFill="1"/>
    <xf numFmtId="179" fontId="0" fillId="9" borderId="0" xfId="2" applyNumberFormat="1" applyFont="1" applyFill="1" applyBorder="1"/>
    <xf numFmtId="0" fontId="51" fillId="0" borderId="0" xfId="0" applyFont="1"/>
    <xf numFmtId="174" fontId="33" fillId="9" borderId="0" xfId="2" applyNumberFormat="1" applyFont="1" applyFill="1" applyBorder="1"/>
    <xf numFmtId="174" fontId="52" fillId="5" borderId="0" xfId="2" applyNumberFormat="1" applyFont="1" applyFill="1" applyBorder="1"/>
    <xf numFmtId="174" fontId="51" fillId="0" borderId="0" xfId="2" applyNumberFormat="1" applyFont="1" applyBorder="1"/>
    <xf numFmtId="174" fontId="0" fillId="0" borderId="0" xfId="2" applyNumberFormat="1" applyFont="1" applyFill="1" applyBorder="1"/>
    <xf numFmtId="174" fontId="0" fillId="0" borderId="0" xfId="2" applyNumberFormat="1" applyFont="1" applyBorder="1"/>
    <xf numFmtId="166" fontId="51" fillId="0" borderId="0" xfId="0" applyNumberFormat="1" applyFont="1"/>
    <xf numFmtId="0" fontId="0" fillId="12" borderId="0" xfId="0" applyFill="1"/>
    <xf numFmtId="166" fontId="51" fillId="12" borderId="0" xfId="0" applyNumberFormat="1" applyFont="1" applyFill="1"/>
    <xf numFmtId="166" fontId="41" fillId="9" borderId="0" xfId="0" applyNumberFormat="1" applyFont="1" applyFill="1"/>
    <xf numFmtId="166" fontId="0" fillId="9" borderId="0" xfId="0" applyNumberFormat="1" applyFill="1"/>
    <xf numFmtId="2" fontId="51" fillId="0" borderId="0" xfId="0" applyNumberFormat="1" applyFont="1"/>
    <xf numFmtId="0" fontId="0" fillId="0" borderId="0" xfId="0" quotePrefix="1"/>
    <xf numFmtId="174" fontId="51" fillId="0" borderId="0" xfId="2" applyNumberFormat="1" applyFont="1" applyFill="1" applyBorder="1"/>
    <xf numFmtId="174" fontId="51" fillId="0" borderId="0" xfId="0" applyNumberFormat="1" applyFont="1"/>
    <xf numFmtId="174" fontId="52" fillId="0" borderId="0" xfId="0" applyNumberFormat="1" applyFont="1"/>
    <xf numFmtId="174" fontId="33" fillId="0" borderId="0" xfId="0" applyNumberFormat="1" applyFont="1"/>
    <xf numFmtId="181" fontId="51" fillId="0" borderId="0" xfId="0" applyNumberFormat="1" applyFont="1"/>
    <xf numFmtId="181" fontId="52" fillId="0" borderId="0" xfId="0" applyNumberFormat="1" applyFont="1"/>
    <xf numFmtId="165" fontId="0" fillId="0" borderId="0" xfId="2" applyFont="1" applyBorder="1"/>
    <xf numFmtId="173" fontId="0" fillId="0" borderId="0" xfId="1" applyNumberFormat="1" applyFont="1" applyBorder="1"/>
    <xf numFmtId="173" fontId="0" fillId="9" borderId="0" xfId="1" applyNumberFormat="1" applyFont="1" applyFill="1" applyBorder="1"/>
    <xf numFmtId="0" fontId="33" fillId="9" borderId="0" xfId="0" applyFont="1" applyFill="1"/>
    <xf numFmtId="174" fontId="41" fillId="0" borderId="0" xfId="2" applyNumberFormat="1" applyFont="1" applyBorder="1"/>
    <xf numFmtId="174" fontId="0" fillId="8" borderId="0" xfId="0" applyNumberFormat="1" applyFill="1"/>
    <xf numFmtId="173" fontId="51" fillId="0" borderId="0" xfId="1" applyNumberFormat="1" applyFont="1" applyBorder="1"/>
    <xf numFmtId="173" fontId="51" fillId="8" borderId="0" xfId="1" applyNumberFormat="1" applyFont="1" applyFill="1" applyBorder="1"/>
    <xf numFmtId="173" fontId="41" fillId="0" borderId="0" xfId="1" applyNumberFormat="1" applyFont="1" applyBorder="1"/>
    <xf numFmtId="173" fontId="41" fillId="8" borderId="0" xfId="1" applyNumberFormat="1" applyFont="1" applyFill="1" applyBorder="1"/>
    <xf numFmtId="173" fontId="0" fillId="8" borderId="0" xfId="1" applyNumberFormat="1" applyFont="1" applyFill="1" applyBorder="1"/>
    <xf numFmtId="173" fontId="33" fillId="11" borderId="0" xfId="1" applyNumberFormat="1" applyFont="1" applyFill="1" applyBorder="1"/>
    <xf numFmtId="0" fontId="56" fillId="0" borderId="0" xfId="0" applyFont="1"/>
    <xf numFmtId="0" fontId="57" fillId="0" borderId="0" xfId="0" applyFont="1"/>
    <xf numFmtId="4" fontId="57" fillId="0" borderId="0" xfId="0" applyNumberFormat="1" applyFont="1"/>
    <xf numFmtId="4" fontId="56" fillId="0" borderId="0" xfId="0" applyNumberFormat="1" applyFont="1"/>
    <xf numFmtId="4" fontId="33" fillId="0" borderId="0" xfId="0" applyNumberFormat="1" applyFont="1"/>
    <xf numFmtId="4" fontId="51" fillId="0" borderId="0" xfId="0" applyNumberFormat="1" applyFont="1"/>
    <xf numFmtId="4" fontId="52" fillId="0" borderId="0" xfId="0" applyNumberFormat="1" applyFont="1"/>
    <xf numFmtId="4" fontId="0" fillId="0" borderId="0" xfId="0" applyNumberFormat="1"/>
    <xf numFmtId="177" fontId="6" fillId="0" borderId="0" xfId="2" applyNumberFormat="1" applyFont="1"/>
    <xf numFmtId="173" fontId="10" fillId="0" borderId="0" xfId="1" applyNumberFormat="1" applyFont="1"/>
    <xf numFmtId="173" fontId="35" fillId="0" borderId="0" xfId="1" applyNumberFormat="1" applyFont="1"/>
    <xf numFmtId="164" fontId="21" fillId="0" borderId="0" xfId="0" applyNumberFormat="1" applyFont="1"/>
    <xf numFmtId="0" fontId="40" fillId="0" borderId="0" xfId="0" applyFont="1" applyAlignment="1">
      <alignment horizontal="center"/>
    </xf>
    <xf numFmtId="179" fontId="71" fillId="0" borderId="1" xfId="2" applyNumberFormat="1" applyFont="1" applyBorder="1"/>
    <xf numFmtId="0" fontId="12" fillId="0" borderId="11" xfId="0" applyFont="1" applyBorder="1" applyAlignment="1">
      <alignment horizontal="centerContinuous" wrapText="1"/>
    </xf>
    <xf numFmtId="0" fontId="35" fillId="0" borderId="11" xfId="0" applyFont="1" applyBorder="1" applyAlignment="1">
      <alignment horizontal="centerContinuous"/>
    </xf>
    <xf numFmtId="0" fontId="12" fillId="0" borderId="11" xfId="0" applyFont="1" applyBorder="1" applyAlignment="1">
      <alignment horizontal="centerContinuous" vertical="center" wrapText="1"/>
    </xf>
    <xf numFmtId="0" fontId="51" fillId="5" borderId="0" xfId="0" applyFont="1" applyFill="1"/>
    <xf numFmtId="175" fontId="51" fillId="0" borderId="0" xfId="0" applyNumberFormat="1" applyFont="1"/>
    <xf numFmtId="0" fontId="51" fillId="9" borderId="0" xfId="0" applyFont="1" applyFill="1"/>
    <xf numFmtId="0" fontId="45" fillId="0" borderId="2" xfId="0" applyFont="1" applyBorder="1"/>
    <xf numFmtId="0" fontId="45" fillId="0" borderId="3" xfId="0" applyFont="1" applyBorder="1"/>
    <xf numFmtId="181" fontId="41" fillId="5" borderId="0" xfId="0" applyNumberFormat="1" applyFont="1" applyFill="1"/>
    <xf numFmtId="166" fontId="41" fillId="0" borderId="0" xfId="0" applyNumberFormat="1" applyFont="1"/>
    <xf numFmtId="2" fontId="41" fillId="0" borderId="0" xfId="0" applyNumberFormat="1" applyFont="1"/>
    <xf numFmtId="174" fontId="41" fillId="0" borderId="0" xfId="0" applyNumberFormat="1" applyFont="1"/>
    <xf numFmtId="174" fontId="70" fillId="0" borderId="0" xfId="0" applyNumberFormat="1" applyFont="1"/>
    <xf numFmtId="181" fontId="41" fillId="0" borderId="0" xfId="0" applyNumberFormat="1" applyFont="1"/>
    <xf numFmtId="181" fontId="70" fillId="0" borderId="0" xfId="0" applyNumberFormat="1" applyFont="1"/>
    <xf numFmtId="0" fontId="70" fillId="0" borderId="0" xfId="0" applyFont="1"/>
    <xf numFmtId="0" fontId="41" fillId="0" borderId="0" xfId="0" applyFont="1"/>
    <xf numFmtId="179" fontId="41" fillId="0" borderId="0" xfId="0" applyNumberFormat="1" applyFont="1"/>
    <xf numFmtId="175" fontId="41" fillId="0" borderId="0" xfId="0" applyNumberFormat="1" applyFont="1"/>
    <xf numFmtId="182" fontId="41" fillId="5" borderId="0" xfId="0" applyNumberFormat="1" applyFont="1" applyFill="1"/>
    <xf numFmtId="10" fontId="41" fillId="5" borderId="0" xfId="1" applyNumberFormat="1" applyFont="1" applyFill="1" applyBorder="1"/>
    <xf numFmtId="1" fontId="72" fillId="0" borderId="0" xfId="0" applyNumberFormat="1" applyFont="1"/>
    <xf numFmtId="179" fontId="33" fillId="0" borderId="4" xfId="2" applyNumberFormat="1" applyFont="1" applyBorder="1"/>
    <xf numFmtId="0" fontId="59" fillId="0" borderId="0" xfId="0" applyFont="1"/>
    <xf numFmtId="171" fontId="59" fillId="0" borderId="0" xfId="0" applyNumberFormat="1" applyFont="1"/>
    <xf numFmtId="3" fontId="59" fillId="0" borderId="0" xfId="0" applyNumberFormat="1" applyFont="1"/>
    <xf numFmtId="173" fontId="59" fillId="0" borderId="0" xfId="1" applyNumberFormat="1" applyFont="1"/>
    <xf numFmtId="173" fontId="60" fillId="0" borderId="0" xfId="1" applyNumberFormat="1" applyFont="1"/>
    <xf numFmtId="175" fontId="59" fillId="0" borderId="0" xfId="0" applyNumberFormat="1" applyFont="1"/>
    <xf numFmtId="0" fontId="60" fillId="0" borderId="0" xfId="0" applyFont="1"/>
    <xf numFmtId="2" fontId="2" fillId="0" borderId="0" xfId="0" applyNumberFormat="1" applyFont="1"/>
    <xf numFmtId="175" fontId="0" fillId="10" borderId="0" xfId="0" applyNumberFormat="1" applyFill="1"/>
    <xf numFmtId="175" fontId="70" fillId="0" borderId="0" xfId="0" applyNumberFormat="1" applyFont="1"/>
    <xf numFmtId="1" fontId="8" fillId="10" borderId="0" xfId="0" applyNumberFormat="1" applyFont="1" applyFill="1"/>
    <xf numFmtId="179" fontId="10" fillId="0" borderId="0" xfId="2" applyNumberFormat="1" applyFont="1"/>
    <xf numFmtId="179" fontId="10" fillId="0" borderId="0" xfId="0" applyNumberFormat="1" applyFont="1"/>
    <xf numFmtId="0" fontId="30" fillId="0" borderId="2" xfId="0" applyFont="1" applyBorder="1" applyAlignment="1">
      <alignment wrapText="1"/>
    </xf>
    <xf numFmtId="0" fontId="30" fillId="0" borderId="3" xfId="0" applyFont="1" applyBorder="1" applyAlignment="1">
      <alignment wrapText="1"/>
    </xf>
    <xf numFmtId="0" fontId="30" fillId="0" borderId="4" xfId="0" applyFont="1" applyBorder="1" applyAlignment="1">
      <alignment wrapText="1"/>
    </xf>
    <xf numFmtId="164" fontId="0" fillId="0" borderId="0" xfId="0" applyNumberFormat="1"/>
    <xf numFmtId="189" fontId="0" fillId="0" borderId="0" xfId="0" applyNumberFormat="1"/>
    <xf numFmtId="179" fontId="33" fillId="9" borderId="0" xfId="2" applyNumberFormat="1" applyFont="1" applyFill="1"/>
    <xf numFmtId="179" fontId="33" fillId="9" borderId="0" xfId="0" applyNumberFormat="1" applyFont="1" applyFill="1"/>
    <xf numFmtId="3" fontId="8" fillId="0" borderId="19" xfId="0" applyNumberFormat="1" applyFont="1" applyBorder="1"/>
    <xf numFmtId="0" fontId="8" fillId="14" borderId="19" xfId="0" applyFont="1" applyFill="1" applyBorder="1"/>
    <xf numFmtId="4" fontId="8" fillId="0" borderId="19" xfId="0" applyNumberFormat="1" applyFont="1" applyBorder="1"/>
    <xf numFmtId="4" fontId="33" fillId="5" borderId="0" xfId="0" applyNumberFormat="1" applyFont="1" applyFill="1"/>
    <xf numFmtId="43" fontId="33" fillId="5" borderId="0" xfId="0" applyNumberFormat="1" applyFont="1" applyFill="1"/>
    <xf numFmtId="190" fontId="0" fillId="0" borderId="0" xfId="0" applyNumberFormat="1"/>
    <xf numFmtId="171" fontId="0" fillId="0" borderId="0" xfId="2" applyNumberFormat="1" applyFont="1"/>
    <xf numFmtId="165" fontId="10" fillId="0" borderId="0" xfId="2" applyFont="1" applyAlignment="1">
      <alignment horizontal="right" wrapText="1"/>
    </xf>
    <xf numFmtId="43" fontId="10" fillId="0" borderId="9" xfId="0" applyNumberFormat="1" applyFont="1" applyBorder="1" applyAlignment="1">
      <alignment horizontal="center" wrapText="1"/>
    </xf>
    <xf numFmtId="43" fontId="10" fillId="0" borderId="0" xfId="0" applyNumberFormat="1" applyFont="1" applyAlignment="1">
      <alignment horizontal="center" wrapText="1"/>
    </xf>
    <xf numFmtId="43" fontId="10" fillId="0" borderId="11" xfId="0" applyNumberFormat="1" applyFont="1" applyBorder="1" applyAlignment="1">
      <alignment horizontal="center" wrapText="1"/>
    </xf>
    <xf numFmtId="165" fontId="10" fillId="0" borderId="11" xfId="2" applyFont="1" applyBorder="1" applyAlignment="1">
      <alignment horizontal="right" wrapText="1"/>
    </xf>
    <xf numFmtId="174" fontId="0" fillId="0" borderId="3" xfId="2" applyNumberFormat="1" applyFont="1" applyBorder="1"/>
    <xf numFmtId="0" fontId="40" fillId="15" borderId="1" xfId="0" applyFont="1" applyFill="1" applyBorder="1" applyAlignment="1">
      <alignment horizontal="center"/>
    </xf>
    <xf numFmtId="0" fontId="3" fillId="15" borderId="1" xfId="0" applyFont="1" applyFill="1" applyBorder="1" applyAlignment="1">
      <alignment horizontal="center"/>
    </xf>
    <xf numFmtId="179" fontId="3" fillId="15" borderId="1" xfId="2" applyNumberFormat="1" applyFont="1" applyFill="1" applyBorder="1"/>
    <xf numFmtId="167" fontId="5" fillId="0" borderId="0" xfId="0" applyNumberFormat="1" applyFont="1"/>
    <xf numFmtId="167" fontId="3" fillId="0" borderId="0" xfId="0" applyNumberFormat="1" applyFont="1"/>
    <xf numFmtId="167" fontId="2" fillId="0" borderId="0" xfId="0" applyNumberFormat="1" applyFont="1"/>
    <xf numFmtId="167" fontId="3" fillId="0" borderId="0" xfId="0" applyNumberFormat="1" applyFont="1" applyAlignment="1">
      <alignment horizontal="center"/>
    </xf>
    <xf numFmtId="191" fontId="8" fillId="0" borderId="0" xfId="0" applyNumberFormat="1" applyFont="1"/>
    <xf numFmtId="166" fontId="33" fillId="5" borderId="0" xfId="0" applyNumberFormat="1" applyFont="1" applyFill="1"/>
    <xf numFmtId="0" fontId="0" fillId="16" borderId="0" xfId="0" applyFill="1"/>
    <xf numFmtId="0" fontId="33" fillId="16" borderId="0" xfId="0" applyFont="1" applyFill="1"/>
    <xf numFmtId="185" fontId="0" fillId="16" borderId="0" xfId="0" applyNumberFormat="1" applyFill="1"/>
    <xf numFmtId="180" fontId="0" fillId="16" borderId="0" xfId="0" applyNumberFormat="1" applyFill="1"/>
    <xf numFmtId="2" fontId="33" fillId="0" borderId="0" xfId="0" applyNumberFormat="1" applyFont="1"/>
    <xf numFmtId="192" fontId="10" fillId="0" borderId="0" xfId="0" applyNumberFormat="1" applyFont="1"/>
    <xf numFmtId="0" fontId="7" fillId="17" borderId="1" xfId="0" applyFont="1" applyFill="1" applyBorder="1"/>
    <xf numFmtId="0" fontId="0" fillId="17" borderId="0" xfId="0" applyFill="1"/>
    <xf numFmtId="175" fontId="33" fillId="17" borderId="0" xfId="0" applyNumberFormat="1" applyFont="1" applyFill="1"/>
    <xf numFmtId="179" fontId="33" fillId="17" borderId="0" xfId="2" applyNumberFormat="1" applyFont="1" applyFill="1"/>
    <xf numFmtId="0" fontId="8" fillId="17" borderId="1" xfId="0" applyFont="1" applyFill="1" applyBorder="1"/>
    <xf numFmtId="174" fontId="0" fillId="17" borderId="0" xfId="2" applyNumberFormat="1" applyFont="1" applyFill="1"/>
    <xf numFmtId="179" fontId="0" fillId="17" borderId="0" xfId="2" applyNumberFormat="1" applyFont="1" applyFill="1"/>
    <xf numFmtId="174" fontId="33" fillId="17" borderId="0" xfId="2" applyNumberFormat="1" applyFont="1" applyFill="1"/>
    <xf numFmtId="175" fontId="0" fillId="17" borderId="0" xfId="0" applyNumberFormat="1" applyFill="1"/>
    <xf numFmtId="0" fontId="7" fillId="17" borderId="0" xfId="0" applyFont="1" applyFill="1"/>
    <xf numFmtId="0" fontId="8" fillId="17" borderId="0" xfId="0" applyFont="1" applyFill="1"/>
    <xf numFmtId="165" fontId="0" fillId="11" borderId="0" xfId="2" applyFont="1" applyFill="1"/>
    <xf numFmtId="3" fontId="7" fillId="0" borderId="19" xfId="0" applyNumberFormat="1" applyFont="1" applyBorder="1"/>
    <xf numFmtId="3" fontId="7" fillId="18" borderId="19" xfId="0" applyNumberFormat="1" applyFont="1" applyFill="1" applyBorder="1"/>
    <xf numFmtId="3" fontId="7" fillId="5" borderId="19" xfId="0" applyNumberFormat="1" applyFont="1" applyFill="1" applyBorder="1"/>
    <xf numFmtId="3" fontId="7" fillId="19" borderId="19" xfId="0" applyNumberFormat="1" applyFont="1" applyFill="1" applyBorder="1"/>
    <xf numFmtId="179" fontId="51" fillId="0" borderId="0" xfId="2" applyNumberFormat="1" applyFont="1"/>
    <xf numFmtId="10" fontId="0" fillId="0" borderId="0" xfId="1" applyNumberFormat="1" applyFont="1"/>
    <xf numFmtId="173" fontId="58" fillId="0" borderId="0" xfId="0" applyNumberFormat="1" applyFont="1"/>
    <xf numFmtId="166" fontId="21" fillId="0" borderId="0" xfId="0" applyNumberFormat="1" applyFont="1" applyAlignment="1">
      <alignment horizontal="center" wrapText="1"/>
    </xf>
    <xf numFmtId="166" fontId="21" fillId="0" borderId="0" xfId="0" applyNumberFormat="1" applyFont="1" applyAlignment="1">
      <alignment horizontal="center"/>
    </xf>
    <xf numFmtId="166" fontId="21" fillId="0" borderId="8" xfId="0" applyNumberFormat="1" applyFont="1" applyBorder="1" applyAlignment="1">
      <alignment horizontal="center" wrapText="1"/>
    </xf>
    <xf numFmtId="166" fontId="21" fillId="0" borderId="8" xfId="0" applyNumberFormat="1" applyFont="1" applyBorder="1" applyAlignment="1">
      <alignment horizontal="center"/>
    </xf>
    <xf numFmtId="169" fontId="0" fillId="16" borderId="0" xfId="2" applyNumberFormat="1" applyFont="1" applyFill="1"/>
    <xf numFmtId="3" fontId="7" fillId="0" borderId="21" xfId="0" applyNumberFormat="1" applyFont="1" applyBorder="1"/>
    <xf numFmtId="2" fontId="33" fillId="0" borderId="0" xfId="2" applyNumberFormat="1" applyFont="1"/>
    <xf numFmtId="2" fontId="52" fillId="0" borderId="0" xfId="0" applyNumberFormat="1" applyFont="1"/>
    <xf numFmtId="0" fontId="25" fillId="0" borderId="11" xfId="0" applyFont="1" applyBorder="1" applyAlignment="1">
      <alignment vertical="top"/>
    </xf>
    <xf numFmtId="0" fontId="13" fillId="0" borderId="11" xfId="0" applyFont="1" applyBorder="1" applyAlignment="1">
      <alignment vertical="top"/>
    </xf>
    <xf numFmtId="4" fontId="51" fillId="0" borderId="0" xfId="2" applyNumberFormat="1" applyFont="1"/>
    <xf numFmtId="174" fontId="41" fillId="5" borderId="0" xfId="2" applyNumberFormat="1" applyFont="1" applyFill="1" applyBorder="1"/>
    <xf numFmtId="179" fontId="9" fillId="0" borderId="0" xfId="0" applyNumberFormat="1" applyFont="1"/>
    <xf numFmtId="179" fontId="9" fillId="0" borderId="0" xfId="2" applyNumberFormat="1" applyFont="1"/>
    <xf numFmtId="192" fontId="0" fillId="0" borderId="0" xfId="0" applyNumberFormat="1"/>
    <xf numFmtId="171" fontId="2" fillId="0" borderId="0" xfId="0" applyNumberFormat="1" applyFont="1"/>
    <xf numFmtId="173" fontId="75" fillId="0" borderId="0" xfId="1" applyNumberFormat="1" applyFont="1"/>
    <xf numFmtId="0" fontId="12" fillId="0" borderId="22" xfId="0" applyFont="1" applyBorder="1" applyAlignment="1">
      <alignment horizontal="center" wrapText="1"/>
    </xf>
    <xf numFmtId="0" fontId="19" fillId="0" borderId="22" xfId="0" applyFont="1" applyBorder="1" applyAlignment="1">
      <alignment horizontal="center" wrapText="1"/>
    </xf>
    <xf numFmtId="0" fontId="12" fillId="0" borderId="22" xfId="0" applyFont="1" applyBorder="1" applyAlignment="1">
      <alignment horizontal="center" vertical="top" wrapText="1"/>
    </xf>
    <xf numFmtId="176" fontId="0" fillId="0" borderId="0" xfId="2" applyNumberFormat="1" applyFont="1"/>
    <xf numFmtId="184" fontId="0" fillId="16" borderId="0" xfId="2" applyNumberFormat="1" applyFont="1" applyFill="1"/>
    <xf numFmtId="173" fontId="2" fillId="0" borderId="0" xfId="1" applyNumberFormat="1" applyFont="1" applyBorder="1"/>
    <xf numFmtId="169" fontId="52" fillId="0" borderId="0" xfId="2" applyNumberFormat="1" applyFont="1"/>
    <xf numFmtId="173" fontId="36" fillId="0" borderId="0" xfId="1" applyNumberFormat="1" applyFont="1"/>
    <xf numFmtId="2" fontId="0" fillId="20" borderId="1" xfId="0" applyNumberFormat="1" applyFill="1" applyBorder="1"/>
    <xf numFmtId="0" fontId="7" fillId="0" borderId="5" xfId="2" applyNumberFormat="1" applyFont="1" applyBorder="1" applyAlignment="1">
      <alignment horizontal="center"/>
    </xf>
    <xf numFmtId="179" fontId="3" fillId="0" borderId="1" xfId="2" applyNumberFormat="1" applyFont="1" applyFill="1" applyBorder="1"/>
    <xf numFmtId="167" fontId="58" fillId="0" borderId="0" xfId="0" applyNumberFormat="1" applyFont="1"/>
    <xf numFmtId="171" fontId="0" fillId="16" borderId="0" xfId="2" applyNumberFormat="1" applyFont="1" applyFill="1"/>
    <xf numFmtId="171" fontId="45" fillId="0" borderId="1" xfId="2" applyNumberFormat="1" applyFont="1" applyBorder="1" applyAlignment="1">
      <alignment horizontal="right"/>
    </xf>
    <xf numFmtId="171" fontId="46" fillId="0" borderId="1" xfId="2" applyNumberFormat="1" applyFont="1" applyBorder="1" applyAlignment="1">
      <alignment horizontal="right"/>
    </xf>
    <xf numFmtId="0" fontId="12" fillId="0" borderId="1" xfId="0" applyFont="1" applyBorder="1" applyAlignment="1">
      <alignment horizontal="center"/>
    </xf>
    <xf numFmtId="0" fontId="13" fillId="0" borderId="0" xfId="0" applyFont="1" applyAlignment="1">
      <alignment vertical="top"/>
    </xf>
    <xf numFmtId="179" fontId="67" fillId="0" borderId="0" xfId="2" applyNumberFormat="1" applyFont="1"/>
    <xf numFmtId="181" fontId="69" fillId="0" borderId="4" xfId="0" applyNumberFormat="1" applyFont="1" applyBorder="1"/>
    <xf numFmtId="169" fontId="70" fillId="0" borderId="1" xfId="2" applyNumberFormat="1" applyFont="1" applyFill="1" applyBorder="1"/>
    <xf numFmtId="0" fontId="59" fillId="0" borderId="1" xfId="0" applyFont="1" applyBorder="1"/>
    <xf numFmtId="171" fontId="59" fillId="0" borderId="1" xfId="0" applyNumberFormat="1" applyFont="1" applyBorder="1"/>
    <xf numFmtId="0" fontId="48" fillId="0" borderId="0" xfId="0" applyFont="1"/>
    <xf numFmtId="175" fontId="60" fillId="0" borderId="1" xfId="1" applyNumberFormat="1" applyFont="1" applyBorder="1"/>
    <xf numFmtId="2" fontId="60" fillId="0" borderId="1" xfId="1" applyNumberFormat="1" applyFont="1" applyBorder="1"/>
    <xf numFmtId="10" fontId="51" fillId="5" borderId="1" xfId="1" applyNumberFormat="1" applyFont="1" applyFill="1" applyBorder="1"/>
    <xf numFmtId="0" fontId="77" fillId="0" borderId="1" xfId="0" applyFont="1" applyBorder="1"/>
    <xf numFmtId="179" fontId="35" fillId="0" borderId="1" xfId="2" applyNumberFormat="1" applyFont="1" applyBorder="1"/>
    <xf numFmtId="179" fontId="34" fillId="4" borderId="1" xfId="2" applyNumberFormat="1" applyFont="1" applyFill="1" applyBorder="1"/>
    <xf numFmtId="0" fontId="78" fillId="0" borderId="1" xfId="0" applyFont="1" applyBorder="1" applyAlignment="1">
      <alignment horizontal="left" indent="2"/>
    </xf>
    <xf numFmtId="0" fontId="78" fillId="0" borderId="1" xfId="0" applyFont="1" applyBorder="1" applyAlignment="1">
      <alignment horizontal="right"/>
    </xf>
    <xf numFmtId="171" fontId="78" fillId="0" borderId="1" xfId="0" applyNumberFormat="1" applyFont="1" applyBorder="1" applyAlignment="1">
      <alignment horizontal="right"/>
    </xf>
    <xf numFmtId="0" fontId="8" fillId="0" borderId="1" xfId="0" applyFont="1" applyBorder="1" applyAlignment="1">
      <alignment horizontal="left" indent="1"/>
    </xf>
    <xf numFmtId="0" fontId="8" fillId="0" borderId="1" xfId="0" applyFont="1" applyBorder="1" applyAlignment="1">
      <alignment horizontal="left" indent="3"/>
    </xf>
    <xf numFmtId="0" fontId="8" fillId="0" borderId="1" xfId="0" applyFont="1" applyBorder="1" applyAlignment="1">
      <alignment horizontal="left" wrapText="1" indent="1"/>
    </xf>
    <xf numFmtId="179" fontId="19" fillId="0" borderId="1" xfId="2" applyNumberFormat="1" applyFont="1" applyFill="1" applyBorder="1"/>
    <xf numFmtId="179" fontId="21" fillId="0" borderId="1" xfId="2" applyNumberFormat="1" applyFont="1" applyFill="1" applyBorder="1"/>
    <xf numFmtId="179" fontId="24" fillId="4" borderId="1" xfId="2" applyNumberFormat="1" applyFont="1" applyFill="1" applyBorder="1" applyAlignment="1">
      <alignment horizontal="center"/>
    </xf>
    <xf numFmtId="179" fontId="25" fillId="0" borderId="1" xfId="2" applyNumberFormat="1" applyFont="1" applyFill="1" applyBorder="1"/>
    <xf numFmtId="165" fontId="78" fillId="0" borderId="1" xfId="2" applyFont="1" applyBorder="1" applyAlignment="1">
      <alignment horizontal="right"/>
    </xf>
    <xf numFmtId="179" fontId="25" fillId="4" borderId="1" xfId="2" applyNumberFormat="1" applyFont="1" applyFill="1" applyBorder="1"/>
    <xf numFmtId="179" fontId="19" fillId="4" borderId="1" xfId="2" applyNumberFormat="1" applyFont="1" applyFill="1" applyBorder="1"/>
    <xf numFmtId="179" fontId="21" fillId="4" borderId="1" xfId="2" applyNumberFormat="1" applyFont="1" applyFill="1" applyBorder="1"/>
    <xf numFmtId="0" fontId="69" fillId="0" borderId="0" xfId="4" applyFont="1" applyAlignment="1">
      <alignment horizontal="left" indent="3"/>
    </xf>
    <xf numFmtId="171" fontId="0" fillId="5" borderId="0" xfId="0" applyNumberFormat="1" applyFill="1"/>
    <xf numFmtId="171" fontId="0" fillId="5" borderId="0" xfId="2" applyNumberFormat="1" applyFont="1" applyFill="1"/>
    <xf numFmtId="179" fontId="19" fillId="5" borderId="0" xfId="2" applyNumberFormat="1" applyFont="1" applyFill="1"/>
    <xf numFmtId="0" fontId="33" fillId="0" borderId="0" xfId="4" applyFont="1"/>
    <xf numFmtId="0" fontId="69" fillId="0" borderId="0" xfId="4" applyFont="1" applyAlignment="1">
      <alignment horizontal="left" wrapText="1" indent="2"/>
    </xf>
    <xf numFmtId="0" fontId="69" fillId="0" borderId="0" xfId="4" applyFont="1" applyAlignment="1">
      <alignment horizontal="left" indent="2"/>
    </xf>
    <xf numFmtId="179" fontId="64" fillId="0" borderId="1" xfId="2" applyNumberFormat="1" applyFont="1" applyBorder="1"/>
    <xf numFmtId="193" fontId="0" fillId="0" borderId="0" xfId="0" applyNumberFormat="1"/>
    <xf numFmtId="0" fontId="28" fillId="0" borderId="0" xfId="3" applyFont="1" applyAlignment="1" applyProtection="1">
      <alignment vertical="top"/>
    </xf>
    <xf numFmtId="4" fontId="59" fillId="0" borderId="0" xfId="0" applyNumberFormat="1" applyFont="1"/>
    <xf numFmtId="3" fontId="74" fillId="0" borderId="0" xfId="0" applyNumberFormat="1" applyFont="1"/>
    <xf numFmtId="1" fontId="51" fillId="0" borderId="0" xfId="0" applyNumberFormat="1" applyFont="1"/>
    <xf numFmtId="170" fontId="41" fillId="0" borderId="0" xfId="0" applyNumberFormat="1" applyFont="1"/>
    <xf numFmtId="0" fontId="19" fillId="0" borderId="11" xfId="0" applyFont="1" applyBorder="1" applyAlignment="1">
      <alignment horizontal="centerContinuous" wrapText="1"/>
    </xf>
    <xf numFmtId="3" fontId="0" fillId="0" borderId="0" xfId="0" applyNumberFormat="1"/>
    <xf numFmtId="43" fontId="7" fillId="0" borderId="0" xfId="2" applyNumberFormat="1" applyFont="1" applyFill="1" applyAlignment="1">
      <alignment horizontal="centerContinuous"/>
    </xf>
    <xf numFmtId="172" fontId="8" fillId="0" borderId="0" xfId="2" applyNumberFormat="1" applyFont="1" applyFill="1"/>
    <xf numFmtId="0" fontId="7" fillId="0" borderId="0" xfId="0" applyFont="1" applyAlignment="1">
      <alignment horizontal="right"/>
    </xf>
    <xf numFmtId="179" fontId="70" fillId="0" borderId="0" xfId="2" applyNumberFormat="1" applyFont="1"/>
    <xf numFmtId="165" fontId="70" fillId="0" borderId="0" xfId="2" applyFont="1"/>
    <xf numFmtId="164" fontId="10" fillId="0" borderId="0" xfId="0" applyNumberFormat="1" applyFont="1"/>
    <xf numFmtId="167" fontId="33" fillId="0" borderId="0" xfId="2" applyNumberFormat="1" applyFont="1"/>
    <xf numFmtId="167" fontId="6" fillId="0" borderId="0" xfId="2" applyNumberFormat="1" applyFont="1"/>
    <xf numFmtId="0" fontId="79" fillId="0" borderId="1" xfId="0" applyFont="1" applyBorder="1" applyAlignment="1">
      <alignment horizontal="center"/>
    </xf>
    <xf numFmtId="0" fontId="81" fillId="0" borderId="1" xfId="0" applyFont="1" applyBorder="1" applyAlignment="1">
      <alignment horizontal="center"/>
    </xf>
    <xf numFmtId="0" fontId="81" fillId="0" borderId="0" xfId="0" applyFont="1" applyAlignment="1">
      <alignment horizontal="center"/>
    </xf>
    <xf numFmtId="179" fontId="82" fillId="0" borderId="1" xfId="2" applyNumberFormat="1" applyFont="1" applyBorder="1"/>
    <xf numFmtId="179" fontId="83" fillId="0" borderId="1" xfId="2" applyNumberFormat="1" applyFont="1" applyBorder="1"/>
    <xf numFmtId="165" fontId="33" fillId="9" borderId="0" xfId="0" applyNumberFormat="1" applyFont="1" applyFill="1"/>
    <xf numFmtId="0" fontId="1" fillId="0" borderId="0" xfId="0" applyFont="1" applyAlignment="1">
      <alignment vertical="top"/>
    </xf>
    <xf numFmtId="0" fontId="48" fillId="0" borderId="0" xfId="0" applyFont="1" applyAlignment="1">
      <alignment vertical="top"/>
    </xf>
    <xf numFmtId="0" fontId="3" fillId="0" borderId="2" xfId="0" applyFont="1" applyBorder="1" applyAlignment="1">
      <alignment horizontal="center"/>
    </xf>
    <xf numFmtId="3" fontId="7" fillId="0" borderId="24" xfId="0" applyNumberFormat="1" applyFont="1" applyBorder="1"/>
    <xf numFmtId="10" fontId="0" fillId="0" borderId="0" xfId="0" applyNumberFormat="1"/>
    <xf numFmtId="10" fontId="51" fillId="0" borderId="0" xfId="1" applyNumberFormat="1" applyFont="1"/>
    <xf numFmtId="169" fontId="65" fillId="0" borderId="0" xfId="2" applyNumberFormat="1" applyFont="1" applyBorder="1"/>
    <xf numFmtId="2" fontId="33" fillId="20" borderId="1" xfId="0" applyNumberFormat="1" applyFont="1" applyFill="1" applyBorder="1"/>
    <xf numFmtId="3" fontId="7" fillId="0" borderId="25" xfId="0" applyNumberFormat="1" applyFont="1" applyBorder="1"/>
    <xf numFmtId="3" fontId="7" fillId="0" borderId="1" xfId="0" applyNumberFormat="1" applyFont="1" applyBorder="1"/>
    <xf numFmtId="3" fontId="7" fillId="0" borderId="26" xfId="0" applyNumberFormat="1" applyFont="1" applyBorder="1"/>
    <xf numFmtId="3" fontId="33" fillId="0" borderId="1" xfId="0" applyNumberFormat="1" applyFont="1" applyBorder="1"/>
    <xf numFmtId="166" fontId="41" fillId="12" borderId="0" xfId="0" applyNumberFormat="1" applyFont="1" applyFill="1"/>
    <xf numFmtId="0" fontId="65" fillId="0" borderId="0" xfId="0" applyFont="1" applyAlignment="1">
      <alignment horizontal="center"/>
    </xf>
    <xf numFmtId="3" fontId="52" fillId="0" borderId="0" xfId="0" applyNumberFormat="1" applyFont="1"/>
    <xf numFmtId="3" fontId="33" fillId="0" borderId="0" xfId="0" applyNumberFormat="1" applyFont="1"/>
    <xf numFmtId="3" fontId="41" fillId="0" borderId="0" xfId="0" applyNumberFormat="1" applyFont="1"/>
    <xf numFmtId="169" fontId="0" fillId="0" borderId="0" xfId="2" applyNumberFormat="1" applyFont="1" applyFill="1"/>
    <xf numFmtId="173" fontId="0" fillId="0" borderId="0" xfId="1" applyNumberFormat="1" applyFont="1" applyFill="1"/>
    <xf numFmtId="171" fontId="46" fillId="0" borderId="1" xfId="2" applyNumberFormat="1" applyFont="1" applyFill="1" applyBorder="1" applyAlignment="1">
      <alignment horizontal="right"/>
    </xf>
    <xf numFmtId="177" fontId="33" fillId="9" borderId="0" xfId="2" applyNumberFormat="1" applyFont="1" applyFill="1"/>
    <xf numFmtId="184" fontId="33" fillId="9" borderId="0" xfId="2" applyNumberFormat="1" applyFont="1" applyFill="1"/>
    <xf numFmtId="179" fontId="45" fillId="0" borderId="27" xfId="2" applyNumberFormat="1" applyFont="1" applyBorder="1" applyAlignment="1">
      <alignment horizontal="right"/>
    </xf>
    <xf numFmtId="0" fontId="45" fillId="0" borderId="27" xfId="0" applyFont="1" applyBorder="1" applyAlignment="1">
      <alignment horizontal="left"/>
    </xf>
    <xf numFmtId="179" fontId="46" fillId="0" borderId="0" xfId="2" applyNumberFormat="1" applyFont="1" applyAlignment="1">
      <alignment horizontal="right"/>
    </xf>
    <xf numFmtId="0" fontId="46" fillId="0" borderId="0" xfId="0" applyFont="1" applyAlignment="1">
      <alignment horizontal="left"/>
    </xf>
    <xf numFmtId="179" fontId="46" fillId="0" borderId="0" xfId="2" applyNumberFormat="1" applyFont="1" applyAlignment="1">
      <alignment horizontal="left"/>
    </xf>
    <xf numFmtId="179" fontId="45" fillId="0" borderId="11" xfId="2" applyNumberFormat="1" applyFont="1" applyBorder="1" applyAlignment="1">
      <alignment horizontal="right"/>
    </xf>
    <xf numFmtId="0" fontId="45" fillId="0" borderId="11" xfId="0" applyFont="1" applyBorder="1" applyAlignment="1">
      <alignment horizontal="left"/>
    </xf>
    <xf numFmtId="0" fontId="45" fillId="0" borderId="11" xfId="0" applyFont="1" applyBorder="1"/>
    <xf numFmtId="0" fontId="45" fillId="0" borderId="9" xfId="0" applyFont="1" applyBorder="1" applyAlignment="1">
      <alignment horizontal="center"/>
    </xf>
    <xf numFmtId="0" fontId="45" fillId="0" borderId="9" xfId="0" applyFont="1" applyBorder="1" applyAlignment="1">
      <alignment horizontal="left"/>
    </xf>
    <xf numFmtId="173" fontId="45" fillId="0" borderId="11" xfId="1" applyNumberFormat="1" applyFont="1" applyBorder="1" applyAlignment="1">
      <alignment horizontal="right"/>
    </xf>
    <xf numFmtId="179" fontId="46" fillId="0" borderId="11" xfId="2" applyNumberFormat="1" applyFont="1" applyBorder="1" applyAlignment="1">
      <alignment horizontal="right"/>
    </xf>
    <xf numFmtId="0" fontId="46" fillId="0" borderId="11" xfId="0" applyFont="1" applyBorder="1" applyAlignment="1">
      <alignment horizontal="left"/>
    </xf>
    <xf numFmtId="174" fontId="46" fillId="0" borderId="0" xfId="2" applyNumberFormat="1" applyFont="1" applyAlignment="1">
      <alignment horizontal="right"/>
    </xf>
    <xf numFmtId="0" fontId="33" fillId="5" borderId="0" xfId="0" applyFont="1" applyFill="1"/>
    <xf numFmtId="0" fontId="45" fillId="0" borderId="0" xfId="0" applyFont="1" applyAlignment="1">
      <alignment horizontal="left"/>
    </xf>
    <xf numFmtId="172" fontId="46" fillId="0" borderId="0" xfId="0" applyNumberFormat="1" applyFont="1"/>
    <xf numFmtId="0" fontId="46" fillId="0" borderId="0" xfId="0" applyFont="1"/>
    <xf numFmtId="165" fontId="46" fillId="0" borderId="11" xfId="2" applyFont="1" applyBorder="1" applyAlignment="1">
      <alignment horizontal="right"/>
    </xf>
    <xf numFmtId="179" fontId="46" fillId="0" borderId="0" xfId="2" applyNumberFormat="1" applyFont="1" applyBorder="1" applyAlignment="1">
      <alignment horizontal="right"/>
    </xf>
    <xf numFmtId="179" fontId="45" fillId="0" borderId="0" xfId="2" applyNumberFormat="1" applyFont="1" applyAlignment="1">
      <alignment horizontal="right"/>
    </xf>
    <xf numFmtId="179" fontId="46" fillId="0" borderId="11" xfId="2" applyNumberFormat="1" applyFont="1" applyBorder="1" applyAlignment="1">
      <alignment horizontal="left"/>
    </xf>
    <xf numFmtId="179" fontId="46" fillId="0" borderId="0" xfId="2" applyNumberFormat="1" applyFont="1" applyBorder="1" applyAlignment="1">
      <alignment horizontal="left"/>
    </xf>
    <xf numFmtId="3" fontId="7" fillId="0" borderId="5" xfId="0" applyNumberFormat="1" applyFont="1" applyBorder="1"/>
    <xf numFmtId="181" fontId="0" fillId="0" borderId="0" xfId="6" applyNumberFormat="1" applyFont="1"/>
    <xf numFmtId="181" fontId="0" fillId="0" borderId="0" xfId="6" applyNumberFormat="1" applyFont="1" applyFill="1"/>
    <xf numFmtId="0" fontId="0" fillId="0" borderId="0" xfId="0" applyAlignment="1">
      <alignment horizontal="center"/>
    </xf>
    <xf numFmtId="181" fontId="0" fillId="9" borderId="0" xfId="6" applyNumberFormat="1" applyFont="1" applyFill="1"/>
    <xf numFmtId="180" fontId="0" fillId="9" borderId="0" xfId="6" applyNumberFormat="1" applyFont="1" applyFill="1"/>
    <xf numFmtId="180" fontId="0" fillId="0" borderId="0" xfId="6" applyNumberFormat="1" applyFont="1"/>
    <xf numFmtId="175" fontId="0" fillId="0" borderId="10" xfId="0" applyNumberFormat="1" applyBorder="1"/>
    <xf numFmtId="175" fontId="0" fillId="0" borderId="11" xfId="6" applyNumberFormat="1" applyFont="1" applyBorder="1"/>
    <xf numFmtId="175" fontId="0" fillId="0" borderId="11" xfId="0" applyNumberFormat="1" applyBorder="1"/>
    <xf numFmtId="175" fontId="0" fillId="0" borderId="16" xfId="0" applyNumberFormat="1" applyBorder="1"/>
    <xf numFmtId="9" fontId="0" fillId="0" borderId="10" xfId="1" applyFont="1" applyBorder="1"/>
    <xf numFmtId="9" fontId="0" fillId="0" borderId="11" xfId="1" applyFont="1" applyBorder="1"/>
    <xf numFmtId="9" fontId="0" fillId="0" borderId="16" xfId="1" applyFont="1" applyBorder="1"/>
    <xf numFmtId="1" fontId="0" fillId="0" borderId="10" xfId="0" applyNumberFormat="1" applyBorder="1"/>
    <xf numFmtId="1" fontId="0" fillId="0" borderId="11" xfId="6" applyNumberFormat="1" applyFont="1" applyBorder="1"/>
    <xf numFmtId="1" fontId="0" fillId="0" borderId="11" xfId="0" applyNumberFormat="1" applyBorder="1"/>
    <xf numFmtId="1" fontId="0" fillId="0" borderId="16" xfId="0" applyNumberFormat="1" applyBorder="1"/>
    <xf numFmtId="43" fontId="0" fillId="9" borderId="0" xfId="0" applyNumberFormat="1" applyFill="1"/>
    <xf numFmtId="0" fontId="0" fillId="0" borderId="8" xfId="0" applyBorder="1"/>
    <xf numFmtId="181" fontId="0" fillId="0" borderId="0" xfId="6" applyNumberFormat="1" applyFont="1" applyBorder="1"/>
    <xf numFmtId="0" fontId="0" fillId="0" borderId="15" xfId="0" applyBorder="1"/>
    <xf numFmtId="9" fontId="0" fillId="0" borderId="8" xfId="1" applyFont="1" applyBorder="1"/>
    <xf numFmtId="9" fontId="0" fillId="0" borderId="0" xfId="1" applyFont="1" applyBorder="1"/>
    <xf numFmtId="9" fontId="0" fillId="0" borderId="15" xfId="1" applyFont="1" applyBorder="1"/>
    <xf numFmtId="1" fontId="0" fillId="0" borderId="8" xfId="0" applyNumberFormat="1" applyBorder="1"/>
    <xf numFmtId="1" fontId="0" fillId="0" borderId="0" xfId="6" applyNumberFormat="1" applyFont="1" applyBorder="1"/>
    <xf numFmtId="1" fontId="0" fillId="0" borderId="15" xfId="0" applyNumberFormat="1" applyBorder="1"/>
    <xf numFmtId="0" fontId="33" fillId="9" borderId="7" xfId="0" applyFont="1" applyFill="1" applyBorder="1" applyAlignment="1">
      <alignment horizontal="center"/>
    </xf>
    <xf numFmtId="0" fontId="33" fillId="0" borderId="9" xfId="0" applyFont="1" applyBorder="1" applyAlignment="1">
      <alignment horizontal="center"/>
    </xf>
    <xf numFmtId="0" fontId="33" fillId="9" borderId="9" xfId="0" applyFont="1" applyFill="1" applyBorder="1" applyAlignment="1">
      <alignment horizontal="center"/>
    </xf>
    <xf numFmtId="0" fontId="33" fillId="9" borderId="14" xfId="0" applyFont="1" applyFill="1" applyBorder="1" applyAlignment="1">
      <alignment horizontal="center"/>
    </xf>
    <xf numFmtId="175" fontId="0" fillId="0" borderId="0" xfId="6" applyNumberFormat="1" applyFont="1" applyBorder="1"/>
    <xf numFmtId="20" fontId="0" fillId="0" borderId="0" xfId="1" applyNumberFormat="1" applyFont="1" applyBorder="1"/>
    <xf numFmtId="173" fontId="33" fillId="0" borderId="0" xfId="1" applyNumberFormat="1" applyFont="1" applyFill="1" applyBorder="1"/>
    <xf numFmtId="43" fontId="33" fillId="0" borderId="0" xfId="6" applyFont="1" applyFill="1" applyBorder="1"/>
    <xf numFmtId="43" fontId="33" fillId="0" borderId="0" xfId="0" applyNumberFormat="1" applyFont="1"/>
    <xf numFmtId="181" fontId="0" fillId="0" borderId="0" xfId="6" applyNumberFormat="1" applyFont="1" applyFill="1" applyBorder="1"/>
    <xf numFmtId="43" fontId="0" fillId="0" borderId="0" xfId="6" applyFont="1" applyFill="1" applyBorder="1"/>
    <xf numFmtId="181" fontId="0" fillId="9" borderId="0" xfId="6" applyNumberFormat="1" applyFont="1" applyFill="1" applyAlignment="1">
      <alignment horizontal="center"/>
    </xf>
    <xf numFmtId="0" fontId="84" fillId="8" borderId="0" xfId="0" applyFont="1" applyFill="1"/>
    <xf numFmtId="175" fontId="3" fillId="0" borderId="0" xfId="1" applyNumberFormat="1" applyFont="1"/>
    <xf numFmtId="175" fontId="10" fillId="4" borderId="1" xfId="0" applyNumberFormat="1" applyFont="1" applyFill="1" applyBorder="1"/>
    <xf numFmtId="175" fontId="12" fillId="4" borderId="1" xfId="0" applyNumberFormat="1" applyFont="1" applyFill="1" applyBorder="1"/>
    <xf numFmtId="171" fontId="48" fillId="4" borderId="1" xfId="0" applyNumberFormat="1" applyFont="1" applyFill="1" applyBorder="1"/>
    <xf numFmtId="175" fontId="42" fillId="4" borderId="1" xfId="1" applyNumberFormat="1" applyFont="1" applyFill="1" applyBorder="1"/>
    <xf numFmtId="2" fontId="42" fillId="4" borderId="1" xfId="1" applyNumberFormat="1" applyFont="1" applyFill="1" applyBorder="1"/>
    <xf numFmtId="0" fontId="40" fillId="0" borderId="2" xfId="0" applyFont="1" applyBorder="1"/>
    <xf numFmtId="0" fontId="40" fillId="0" borderId="3" xfId="0" applyFont="1" applyBorder="1"/>
    <xf numFmtId="0" fontId="40" fillId="0" borderId="4" xfId="0" applyFont="1" applyBorder="1"/>
    <xf numFmtId="0" fontId="85" fillId="0" borderId="1" xfId="0" applyFont="1" applyBorder="1"/>
    <xf numFmtId="0" fontId="86" fillId="0" borderId="0" xfId="0" applyFont="1"/>
    <xf numFmtId="0" fontId="6" fillId="0" borderId="0" xfId="7"/>
    <xf numFmtId="10" fontId="41" fillId="21" borderId="0" xfId="1" applyNumberFormat="1" applyFont="1" applyFill="1" applyBorder="1"/>
    <xf numFmtId="10" fontId="0" fillId="21" borderId="0" xfId="1" applyNumberFormat="1" applyFont="1" applyFill="1" applyBorder="1"/>
    <xf numFmtId="10" fontId="33" fillId="5" borderId="0" xfId="1" applyNumberFormat="1" applyFont="1" applyFill="1" applyBorder="1"/>
    <xf numFmtId="10" fontId="70" fillId="5" borderId="0" xfId="1" applyNumberFormat="1" applyFont="1" applyFill="1" applyBorder="1"/>
    <xf numFmtId="10" fontId="33" fillId="22" borderId="0" xfId="1" applyNumberFormat="1" applyFont="1" applyFill="1" applyBorder="1"/>
    <xf numFmtId="10" fontId="70" fillId="22" borderId="0" xfId="1" applyNumberFormat="1" applyFont="1" applyFill="1" applyBorder="1"/>
    <xf numFmtId="173" fontId="33" fillId="16" borderId="0" xfId="1" applyNumberFormat="1" applyFont="1" applyFill="1" applyBorder="1"/>
    <xf numFmtId="174" fontId="41" fillId="16" borderId="0" xfId="2" applyNumberFormat="1" applyFont="1" applyFill="1" applyBorder="1"/>
    <xf numFmtId="173" fontId="33" fillId="23" borderId="0" xfId="1" applyNumberFormat="1" applyFont="1" applyFill="1" applyBorder="1"/>
    <xf numFmtId="174" fontId="0" fillId="15" borderId="0" xfId="2" applyNumberFormat="1" applyFont="1" applyFill="1" applyBorder="1"/>
    <xf numFmtId="174" fontId="41" fillId="15" borderId="0" xfId="2" applyNumberFormat="1" applyFont="1" applyFill="1" applyBorder="1"/>
    <xf numFmtId="165" fontId="5" fillId="0" borderId="0" xfId="2" applyFont="1"/>
    <xf numFmtId="0" fontId="0" fillId="0" borderId="14" xfId="0" applyBorder="1"/>
    <xf numFmtId="0" fontId="0" fillId="0" borderId="9" xfId="0" applyBorder="1"/>
    <xf numFmtId="0" fontId="0" fillId="0" borderId="7" xfId="0" applyBorder="1"/>
    <xf numFmtId="0" fontId="0" fillId="0" borderId="12" xfId="0" applyBorder="1"/>
    <xf numFmtId="167" fontId="10" fillId="0" borderId="15" xfId="0" applyNumberFormat="1" applyFont="1" applyBorder="1" applyAlignment="1">
      <alignment horizontal="center"/>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3" xfId="0" applyFont="1" applyBorder="1" applyAlignment="1">
      <alignment horizontal="left" vertical="center"/>
    </xf>
    <xf numFmtId="0" fontId="12" fillId="0" borderId="12" xfId="0" applyFont="1" applyBorder="1" applyAlignment="1">
      <alignment horizontal="left" vertical="center"/>
    </xf>
    <xf numFmtId="0" fontId="10" fillId="0" borderId="0" xfId="0" applyFont="1" applyAlignment="1">
      <alignment horizontal="left" vertical="center"/>
    </xf>
    <xf numFmtId="0" fontId="12" fillId="0" borderId="13" xfId="0" applyFont="1" applyBorder="1" applyAlignment="1">
      <alignment horizontal="left" vertical="center"/>
    </xf>
    <xf numFmtId="0" fontId="21" fillId="0" borderId="13" xfId="0" applyFont="1" applyBorder="1" applyAlignment="1">
      <alignment horizontal="left" vertical="center"/>
    </xf>
    <xf numFmtId="0" fontId="0" fillId="0" borderId="0" xfId="0" applyAlignment="1">
      <alignment horizontal="left" vertical="center"/>
    </xf>
    <xf numFmtId="0" fontId="80" fillId="4" borderId="1" xfId="2" applyNumberFormat="1" applyFont="1" applyFill="1" applyBorder="1" applyAlignment="1">
      <alignment horizontal="right"/>
    </xf>
    <xf numFmtId="169" fontId="69" fillId="4" borderId="1" xfId="2" applyNumberFormat="1" applyFont="1" applyFill="1" applyBorder="1"/>
    <xf numFmtId="174" fontId="76" fillId="4" borderId="1" xfId="2" applyNumberFormat="1" applyFont="1" applyFill="1" applyBorder="1"/>
    <xf numFmtId="169" fontId="76" fillId="4" borderId="1" xfId="2" applyNumberFormat="1" applyFont="1" applyFill="1" applyBorder="1"/>
    <xf numFmtId="169" fontId="87" fillId="4" borderId="1" xfId="2" applyNumberFormat="1" applyFont="1" applyFill="1" applyBorder="1"/>
    <xf numFmtId="0" fontId="88" fillId="2" borderId="0" xfId="0" applyFont="1" applyFill="1" applyAlignment="1">
      <alignment horizontal="left" vertical="top"/>
    </xf>
    <xf numFmtId="0" fontId="89" fillId="24" borderId="0" xfId="0" applyFont="1" applyFill="1" applyAlignment="1">
      <alignment horizontal="left" vertical="top"/>
    </xf>
    <xf numFmtId="0" fontId="88" fillId="24" borderId="0" xfId="0" applyFont="1" applyFill="1" applyAlignment="1">
      <alignment horizontal="left" vertical="top"/>
    </xf>
    <xf numFmtId="0" fontId="90" fillId="24" borderId="0" xfId="0" applyFont="1" applyFill="1" applyAlignment="1">
      <alignment horizontal="left" vertical="top" wrapText="1"/>
    </xf>
    <xf numFmtId="0" fontId="91" fillId="24" borderId="0" xfId="0" applyFont="1" applyFill="1" applyAlignment="1">
      <alignment horizontal="left" vertical="top" wrapText="1"/>
    </xf>
    <xf numFmtId="0" fontId="92" fillId="24" borderId="0" xfId="0" applyFont="1" applyFill="1" applyAlignment="1">
      <alignment horizontal="left" vertical="top"/>
    </xf>
    <xf numFmtId="0" fontId="92" fillId="24" borderId="0" xfId="0" applyFont="1" applyFill="1" applyAlignment="1">
      <alignment horizontal="left" vertical="top" wrapText="1"/>
    </xf>
    <xf numFmtId="0" fontId="93" fillId="24" borderId="0" xfId="0" applyFont="1" applyFill="1" applyAlignment="1">
      <alignment horizontal="left" vertical="top"/>
    </xf>
    <xf numFmtId="0" fontId="95" fillId="24" borderId="0" xfId="8" applyFont="1" applyFill="1" applyAlignment="1">
      <alignment horizontal="left" vertical="top"/>
    </xf>
    <xf numFmtId="164" fontId="36" fillId="0" borderId="0" xfId="0" applyNumberFormat="1" applyFont="1"/>
    <xf numFmtId="165" fontId="35" fillId="0" borderId="0" xfId="0" applyNumberFormat="1" applyFont="1"/>
    <xf numFmtId="0" fontId="2" fillId="0" borderId="1" xfId="0" applyFont="1" applyBorder="1"/>
    <xf numFmtId="0" fontId="96" fillId="0" borderId="0" xfId="0" applyFont="1"/>
    <xf numFmtId="0" fontId="19" fillId="0" borderId="1" xfId="0" applyFont="1" applyBorder="1" applyAlignment="1">
      <alignment horizontal="center" vertical="top" wrapText="1"/>
    </xf>
    <xf numFmtId="164" fontId="0" fillId="0" borderId="0" xfId="2" applyNumberFormat="1" applyFont="1" applyAlignment="1">
      <alignment horizontal="right"/>
    </xf>
    <xf numFmtId="172" fontId="7" fillId="0" borderId="2" xfId="2" applyNumberFormat="1" applyFont="1" applyBorder="1" applyAlignment="1">
      <alignment horizontal="centerContinuous"/>
    </xf>
    <xf numFmtId="172" fontId="7" fillId="0" borderId="3" xfId="2" applyNumberFormat="1" applyFont="1" applyBorder="1" applyAlignment="1">
      <alignment horizontal="centerContinuous"/>
    </xf>
    <xf numFmtId="172" fontId="7" fillId="0" borderId="4" xfId="2" applyNumberFormat="1" applyFont="1" applyBorder="1" applyAlignment="1">
      <alignment horizontal="centerContinuous"/>
    </xf>
    <xf numFmtId="0" fontId="0" fillId="0" borderId="4" xfId="0" applyBorder="1" applyAlignment="1">
      <alignment horizontal="centerContinuous"/>
    </xf>
    <xf numFmtId="0" fontId="65" fillId="8" borderId="0" xfId="0" applyFont="1" applyFill="1" applyAlignment="1">
      <alignment horizontal="center"/>
    </xf>
    <xf numFmtId="175" fontId="41" fillId="5" borderId="0" xfId="0" applyNumberFormat="1" applyFont="1" applyFill="1"/>
    <xf numFmtId="43" fontId="41" fillId="5" borderId="0" xfId="0" applyNumberFormat="1" applyFont="1" applyFill="1"/>
    <xf numFmtId="174" fontId="97" fillId="4" borderId="1" xfId="2" applyNumberFormat="1" applyFont="1" applyFill="1" applyBorder="1"/>
    <xf numFmtId="9" fontId="5" fillId="0" borderId="0" xfId="1" applyFont="1"/>
    <xf numFmtId="167" fontId="45" fillId="0" borderId="1" xfId="2" applyNumberFormat="1" applyFont="1" applyBorder="1" applyAlignment="1">
      <alignment horizontal="right"/>
    </xf>
    <xf numFmtId="0" fontId="36" fillId="0" borderId="6" xfId="0" applyFont="1" applyBorder="1" applyAlignment="1">
      <alignment horizontal="center"/>
    </xf>
    <xf numFmtId="0" fontId="43" fillId="0" borderId="6" xfId="0" applyFont="1" applyBorder="1" applyAlignment="1">
      <alignment horizontal="center"/>
    </xf>
    <xf numFmtId="0" fontId="61" fillId="4" borderId="6" xfId="0" applyFont="1" applyFill="1" applyBorder="1" applyAlignment="1">
      <alignment horizontal="center"/>
    </xf>
    <xf numFmtId="0" fontId="21" fillId="0" borderId="17" xfId="0" applyFont="1" applyBorder="1" applyAlignment="1">
      <alignment horizontal="left" vertical="center"/>
    </xf>
    <xf numFmtId="167" fontId="10" fillId="0" borderId="11" xfId="0" applyNumberFormat="1" applyFont="1" applyBorder="1" applyAlignment="1">
      <alignment horizontal="center" wrapText="1"/>
    </xf>
    <xf numFmtId="167" fontId="10" fillId="0" borderId="11" xfId="0" applyNumberFormat="1" applyFont="1" applyBorder="1" applyAlignment="1">
      <alignment horizontal="center"/>
    </xf>
    <xf numFmtId="167" fontId="10" fillId="0" borderId="10" xfId="0" applyNumberFormat="1" applyFont="1" applyBorder="1" applyAlignment="1">
      <alignment horizontal="center"/>
    </xf>
    <xf numFmtId="0" fontId="42" fillId="2" borderId="1" xfId="0" applyFont="1" applyFill="1" applyBorder="1" applyAlignment="1">
      <alignment horizontal="left" indent="4"/>
    </xf>
    <xf numFmtId="175" fontId="10" fillId="0" borderId="0" xfId="2" applyNumberFormat="1" applyFont="1" applyFill="1"/>
    <xf numFmtId="175" fontId="10" fillId="0" borderId="1" xfId="2" applyNumberFormat="1" applyFont="1" applyFill="1" applyBorder="1"/>
    <xf numFmtId="175" fontId="0" fillId="0" borderId="1" xfId="0" applyNumberFormat="1" applyBorder="1"/>
    <xf numFmtId="175" fontId="10" fillId="0" borderId="1" xfId="2" applyNumberFormat="1" applyFont="1" applyFill="1" applyBorder="1" applyAlignment="1">
      <alignment horizontal="center"/>
    </xf>
    <xf numFmtId="175" fontId="0" fillId="0" borderId="1" xfId="0" applyNumberFormat="1" applyBorder="1" applyAlignment="1">
      <alignment horizontal="center"/>
    </xf>
    <xf numFmtId="175" fontId="10" fillId="0" borderId="1" xfId="0" applyNumberFormat="1" applyFont="1" applyBorder="1" applyAlignment="1">
      <alignment horizontal="center"/>
    </xf>
    <xf numFmtId="175" fontId="10" fillId="0" borderId="1" xfId="0" applyNumberFormat="1" applyFont="1" applyBorder="1" applyAlignment="1">
      <alignment horizontal="right"/>
    </xf>
    <xf numFmtId="167" fontId="42" fillId="4" borderId="1" xfId="0" applyNumberFormat="1" applyFont="1" applyFill="1" applyBorder="1"/>
    <xf numFmtId="0" fontId="42" fillId="21" borderId="1" xfId="0" applyFont="1" applyFill="1" applyBorder="1" applyAlignment="1">
      <alignment horizontal="left" indent="3"/>
    </xf>
    <xf numFmtId="171" fontId="42" fillId="21" borderId="1" xfId="0" applyNumberFormat="1" applyFont="1" applyFill="1" applyBorder="1"/>
    <xf numFmtId="171" fontId="5" fillId="21" borderId="1" xfId="0" applyNumberFormat="1" applyFont="1" applyFill="1" applyBorder="1"/>
    <xf numFmtId="175" fontId="10" fillId="0" borderId="5" xfId="2" applyNumberFormat="1" applyFont="1" applyBorder="1"/>
    <xf numFmtId="175" fontId="13" fillId="4" borderId="5" xfId="2" applyNumberFormat="1" applyFont="1" applyFill="1" applyBorder="1"/>
    <xf numFmtId="175" fontId="13" fillId="0" borderId="5" xfId="2" applyNumberFormat="1" applyFont="1" applyBorder="1"/>
    <xf numFmtId="175" fontId="21" fillId="0" borderId="0" xfId="0" applyNumberFormat="1" applyFont="1"/>
    <xf numFmtId="175" fontId="21" fillId="0" borderId="0" xfId="1" applyNumberFormat="1" applyFont="1"/>
    <xf numFmtId="175" fontId="10" fillId="0" borderId="1" xfId="2" applyNumberFormat="1" applyFont="1" applyBorder="1"/>
    <xf numFmtId="175" fontId="13" fillId="0" borderId="1" xfId="2" applyNumberFormat="1" applyFont="1" applyBorder="1"/>
    <xf numFmtId="175" fontId="13" fillId="4" borderId="1" xfId="2" applyNumberFormat="1" applyFont="1" applyFill="1" applyBorder="1"/>
    <xf numFmtId="175" fontId="10" fillId="20" borderId="5" xfId="2" applyNumberFormat="1" applyFont="1" applyFill="1" applyBorder="1"/>
    <xf numFmtId="0" fontId="10" fillId="20" borderId="1" xfId="0" applyFont="1" applyFill="1" applyBorder="1"/>
    <xf numFmtId="167" fontId="10" fillId="0" borderId="17" xfId="0" applyNumberFormat="1" applyFont="1" applyBorder="1" applyAlignment="1">
      <alignment horizontal="center" wrapText="1"/>
    </xf>
    <xf numFmtId="194" fontId="0" fillId="16" borderId="0" xfId="0" applyNumberFormat="1" applyFill="1"/>
    <xf numFmtId="10" fontId="10" fillId="0" borderId="0" xfId="1" applyNumberFormat="1" applyFont="1"/>
    <xf numFmtId="173" fontId="45" fillId="0" borderId="0" xfId="1" applyNumberFormat="1" applyFont="1" applyAlignment="1">
      <alignment horizontal="right"/>
    </xf>
    <xf numFmtId="169" fontId="10" fillId="0" borderId="0" xfId="2" applyNumberFormat="1" applyFont="1"/>
    <xf numFmtId="195" fontId="21" fillId="0" borderId="1" xfId="0" applyNumberFormat="1" applyFont="1" applyBorder="1" applyAlignment="1" applyProtection="1">
      <alignment horizontal="right"/>
      <protection hidden="1"/>
    </xf>
    <xf numFmtId="179" fontId="13" fillId="4" borderId="5" xfId="2" applyNumberFormat="1" applyFont="1" applyFill="1" applyBorder="1"/>
    <xf numFmtId="179" fontId="86" fillId="4" borderId="5" xfId="2" applyNumberFormat="1" applyFont="1" applyFill="1" applyBorder="1"/>
    <xf numFmtId="0" fontId="69" fillId="0" borderId="4" xfId="0" applyFont="1" applyBorder="1" applyAlignment="1">
      <alignment horizontal="centerContinuous"/>
    </xf>
    <xf numFmtId="172" fontId="99" fillId="3" borderId="1" xfId="2" applyNumberFormat="1" applyFont="1" applyFill="1" applyBorder="1"/>
    <xf numFmtId="172" fontId="99" fillId="3" borderId="1" xfId="2" applyNumberFormat="1" applyFont="1" applyFill="1" applyBorder="1" applyAlignment="1">
      <alignment vertical="center"/>
    </xf>
    <xf numFmtId="173" fontId="69" fillId="0" borderId="0" xfId="1" applyNumberFormat="1" applyFont="1"/>
    <xf numFmtId="172" fontId="69" fillId="0" borderId="4" xfId="2" applyNumberFormat="1" applyFont="1" applyBorder="1"/>
    <xf numFmtId="172" fontId="69" fillId="0" borderId="0" xfId="0" applyNumberFormat="1" applyFont="1"/>
    <xf numFmtId="172" fontId="69" fillId="4" borderId="1" xfId="2" applyNumberFormat="1" applyFont="1" applyFill="1" applyBorder="1"/>
    <xf numFmtId="0" fontId="100" fillId="4" borderId="1" xfId="0" applyFont="1" applyFill="1" applyBorder="1" applyAlignment="1">
      <alignment horizontal="center"/>
    </xf>
    <xf numFmtId="0" fontId="33" fillId="23" borderId="0" xfId="0" applyFont="1" applyFill="1"/>
    <xf numFmtId="173" fontId="21" fillId="0" borderId="1" xfId="1" applyNumberFormat="1" applyFont="1" applyBorder="1" applyAlignment="1">
      <alignment horizontal="center"/>
    </xf>
    <xf numFmtId="173" fontId="19" fillId="0" borderId="1" xfId="1" applyNumberFormat="1" applyFont="1" applyBorder="1" applyAlignment="1">
      <alignment horizontal="center"/>
    </xf>
    <xf numFmtId="2" fontId="45" fillId="25" borderId="1" xfId="0" applyNumberFormat="1" applyFont="1" applyFill="1" applyBorder="1" applyAlignment="1">
      <alignment horizontal="center"/>
    </xf>
    <xf numFmtId="2" fontId="46" fillId="25" borderId="1" xfId="0" applyNumberFormat="1" applyFont="1" applyFill="1" applyBorder="1" applyAlignment="1">
      <alignment horizontal="center"/>
    </xf>
    <xf numFmtId="10" fontId="46" fillId="25" borderId="1" xfId="1" applyNumberFormat="1" applyFont="1" applyFill="1" applyBorder="1" applyAlignment="1">
      <alignment horizontal="center"/>
    </xf>
    <xf numFmtId="0" fontId="2" fillId="0" borderId="19" xfId="0" applyFont="1" applyBorder="1"/>
    <xf numFmtId="0" fontId="101" fillId="0" borderId="28" xfId="0" applyFont="1" applyBorder="1" applyAlignment="1">
      <alignment horizontal="center"/>
    </xf>
    <xf numFmtId="0" fontId="2" fillId="0" borderId="29" xfId="0" applyFont="1" applyBorder="1"/>
    <xf numFmtId="0" fontId="101" fillId="0" borderId="0" xfId="0" applyFont="1" applyAlignment="1">
      <alignment horizontal="center"/>
    </xf>
    <xf numFmtId="0" fontId="2" fillId="0" borderId="24" xfId="0" applyFont="1" applyBorder="1"/>
    <xf numFmtId="0" fontId="2" fillId="0" borderId="30" xfId="0" applyFont="1" applyBorder="1"/>
    <xf numFmtId="10" fontId="2" fillId="0" borderId="0" xfId="1" applyNumberFormat="1" applyFont="1"/>
    <xf numFmtId="175" fontId="101" fillId="0" borderId="28" xfId="0" applyNumberFormat="1" applyFont="1" applyBorder="1" applyAlignment="1">
      <alignment horizontal="center"/>
    </xf>
    <xf numFmtId="175" fontId="2" fillId="0" borderId="29" xfId="0" applyNumberFormat="1" applyFont="1" applyBorder="1"/>
    <xf numFmtId="183" fontId="2" fillId="0" borderId="0" xfId="0" applyNumberFormat="1" applyFont="1"/>
    <xf numFmtId="0" fontId="101" fillId="26" borderId="0" xfId="0" applyFont="1" applyFill="1" applyAlignment="1">
      <alignment horizontal="center"/>
    </xf>
    <xf numFmtId="0" fontId="45" fillId="2" borderId="0" xfId="0" applyFont="1" applyFill="1"/>
    <xf numFmtId="0" fontId="46" fillId="2" borderId="0" xfId="0" applyFont="1" applyFill="1"/>
    <xf numFmtId="4" fontId="5" fillId="0" borderId="1" xfId="0" applyNumberFormat="1" applyFont="1" applyBorder="1"/>
    <xf numFmtId="175" fontId="33" fillId="5" borderId="0" xfId="0" applyNumberFormat="1" applyFont="1" applyFill="1"/>
    <xf numFmtId="0" fontId="42" fillId="2" borderId="1" xfId="0" applyFont="1" applyFill="1" applyBorder="1" applyAlignment="1">
      <alignment horizontal="left" indent="8"/>
    </xf>
    <xf numFmtId="9" fontId="2" fillId="0" borderId="0" xfId="1" applyFont="1"/>
    <xf numFmtId="173" fontId="13" fillId="4" borderId="5" xfId="1" applyNumberFormat="1" applyFont="1" applyFill="1" applyBorder="1"/>
    <xf numFmtId="0" fontId="13" fillId="0" borderId="1" xfId="0" applyFont="1" applyBorder="1"/>
    <xf numFmtId="173" fontId="13" fillId="0" borderId="5" xfId="1" applyNumberFormat="1" applyFont="1" applyBorder="1"/>
    <xf numFmtId="0" fontId="102" fillId="2" borderId="1" xfId="2" applyNumberFormat="1" applyFont="1" applyFill="1" applyBorder="1" applyAlignment="1">
      <alignment horizontal="left" indent="1"/>
    </xf>
    <xf numFmtId="0" fontId="85" fillId="0" borderId="0" xfId="0" applyFont="1"/>
    <xf numFmtId="0" fontId="19" fillId="0" borderId="6" xfId="0" applyFont="1" applyBorder="1" applyAlignment="1">
      <alignment horizontal="center"/>
    </xf>
    <xf numFmtId="196" fontId="2" fillId="0" borderId="0" xfId="0" applyNumberFormat="1" applyFont="1"/>
    <xf numFmtId="167" fontId="102" fillId="0" borderId="0" xfId="0" applyNumberFormat="1" applyFont="1"/>
    <xf numFmtId="197" fontId="5" fillId="0" borderId="0" xfId="0" applyNumberFormat="1" applyFont="1"/>
    <xf numFmtId="178" fontId="5" fillId="0" borderId="0" xfId="0" applyNumberFormat="1" applyFont="1"/>
    <xf numFmtId="198" fontId="24" fillId="4" borderId="6" xfId="0" applyNumberFormat="1" applyFont="1" applyFill="1" applyBorder="1" applyAlignment="1">
      <alignment horizontal="center"/>
    </xf>
    <xf numFmtId="198" fontId="24" fillId="4" borderId="6" xfId="2" applyNumberFormat="1" applyFont="1" applyFill="1" applyBorder="1" applyAlignment="1">
      <alignment horizontal="center"/>
    </xf>
    <xf numFmtId="179" fontId="10" fillId="0" borderId="1" xfId="2" applyNumberFormat="1" applyFont="1" applyBorder="1"/>
    <xf numFmtId="179" fontId="10" fillId="26" borderId="1" xfId="2" applyNumberFormat="1" applyFont="1" applyFill="1" applyBorder="1"/>
    <xf numFmtId="179" fontId="10" fillId="15" borderId="1" xfId="2" applyNumberFormat="1" applyFont="1" applyFill="1" applyBorder="1"/>
    <xf numFmtId="179" fontId="10" fillId="22" borderId="1" xfId="2" applyNumberFormat="1" applyFont="1" applyFill="1" applyBorder="1"/>
    <xf numFmtId="179" fontId="10" fillId="17" borderId="1" xfId="2" applyNumberFormat="1" applyFont="1" applyFill="1" applyBorder="1"/>
    <xf numFmtId="198" fontId="24" fillId="4" borderId="1" xfId="0" applyNumberFormat="1" applyFont="1" applyFill="1" applyBorder="1" applyAlignment="1">
      <alignment horizontal="center"/>
    </xf>
    <xf numFmtId="1" fontId="2" fillId="0" borderId="1" xfId="0" applyNumberFormat="1" applyFont="1" applyBorder="1"/>
    <xf numFmtId="178" fontId="2" fillId="0" borderId="1" xfId="0" applyNumberFormat="1" applyFont="1" applyBorder="1"/>
    <xf numFmtId="178" fontId="5" fillId="0" borderId="1" xfId="0" applyNumberFormat="1" applyFont="1" applyBorder="1"/>
    <xf numFmtId="178" fontId="0" fillId="0" borderId="1" xfId="0" applyNumberFormat="1" applyBorder="1"/>
    <xf numFmtId="1" fontId="85" fillId="0" borderId="2" xfId="0" applyNumberFormat="1" applyFont="1" applyBorder="1"/>
    <xf numFmtId="178" fontId="2" fillId="0" borderId="5" xfId="0" applyNumberFormat="1" applyFont="1" applyBorder="1"/>
    <xf numFmtId="1" fontId="101" fillId="0" borderId="0" xfId="0" applyNumberFormat="1" applyFont="1"/>
    <xf numFmtId="0" fontId="101" fillId="0" borderId="1" xfId="0" applyFont="1" applyBorder="1"/>
    <xf numFmtId="178" fontId="40" fillId="0" borderId="1" xfId="0" applyNumberFormat="1" applyFont="1" applyBorder="1"/>
    <xf numFmtId="178" fontId="33" fillId="0" borderId="1" xfId="0" applyNumberFormat="1" applyFont="1" applyBorder="1"/>
    <xf numFmtId="178" fontId="3" fillId="0" borderId="1" xfId="0" applyNumberFormat="1" applyFont="1" applyBorder="1"/>
    <xf numFmtId="198" fontId="24" fillId="4" borderId="1" xfId="0" applyNumberFormat="1" applyFont="1" applyFill="1" applyBorder="1" applyAlignment="1">
      <alignment horizontal="left"/>
    </xf>
    <xf numFmtId="0" fontId="21" fillId="0" borderId="0" xfId="0" applyFont="1" applyAlignment="1">
      <alignment horizontal="center"/>
    </xf>
    <xf numFmtId="0" fontId="104" fillId="2" borderId="1" xfId="0" applyFont="1" applyFill="1" applyBorder="1" applyAlignment="1">
      <alignment horizontal="left" indent="4"/>
    </xf>
    <xf numFmtId="183" fontId="10" fillId="0" borderId="0" xfId="0" applyNumberFormat="1" applyFont="1"/>
    <xf numFmtId="173" fontId="10" fillId="0" borderId="1" xfId="1" applyNumberFormat="1" applyFont="1" applyBorder="1"/>
    <xf numFmtId="173" fontId="10" fillId="26" borderId="1" xfId="1" applyNumberFormat="1" applyFont="1" applyFill="1" applyBorder="1"/>
    <xf numFmtId="173" fontId="10" fillId="15" borderId="1" xfId="1" applyNumberFormat="1" applyFont="1" applyFill="1" applyBorder="1"/>
    <xf numFmtId="173" fontId="10" fillId="22" borderId="1" xfId="1" applyNumberFormat="1" applyFont="1" applyFill="1" applyBorder="1"/>
    <xf numFmtId="0" fontId="10" fillId="17" borderId="1" xfId="0" applyFont="1" applyFill="1" applyBorder="1"/>
    <xf numFmtId="0" fontId="12" fillId="27" borderId="0" xfId="0" applyFont="1" applyFill="1" applyAlignment="1">
      <alignment horizontal="center" vertical="center"/>
    </xf>
    <xf numFmtId="173" fontId="13" fillId="0" borderId="1" xfId="1" applyNumberFormat="1" applyFont="1" applyBorder="1"/>
    <xf numFmtId="0" fontId="12" fillId="0" borderId="0" xfId="0" applyFont="1" applyAlignment="1">
      <alignment horizontal="center"/>
    </xf>
    <xf numFmtId="173" fontId="10" fillId="17" borderId="1" xfId="1" applyNumberFormat="1" applyFont="1" applyFill="1" applyBorder="1"/>
    <xf numFmtId="0" fontId="10" fillId="0" borderId="1" xfId="0" applyFont="1" applyBorder="1" applyAlignment="1">
      <alignment vertical="center"/>
    </xf>
    <xf numFmtId="175" fontId="10" fillId="0" borderId="1" xfId="2" applyNumberFormat="1" applyFont="1" applyBorder="1" applyAlignment="1">
      <alignment vertical="center"/>
    </xf>
    <xf numFmtId="0" fontId="10" fillId="0" borderId="1" xfId="0" applyFont="1" applyBorder="1" applyAlignment="1">
      <alignment vertical="center" wrapText="1"/>
    </xf>
    <xf numFmtId="0" fontId="21" fillId="0" borderId="1" xfId="0" applyFont="1" applyBorder="1" applyAlignment="1">
      <alignment horizontal="left" vertical="center"/>
    </xf>
    <xf numFmtId="175" fontId="10" fillId="0" borderId="5" xfId="2" applyNumberFormat="1" applyFont="1" applyBorder="1" applyAlignment="1">
      <alignment vertical="center"/>
    </xf>
    <xf numFmtId="175" fontId="13" fillId="0" borderId="5" xfId="2" applyNumberFormat="1" applyFont="1" applyBorder="1" applyAlignment="1">
      <alignment vertical="center"/>
    </xf>
    <xf numFmtId="175" fontId="13" fillId="4" borderId="5" xfId="2" applyNumberFormat="1" applyFont="1" applyFill="1" applyBorder="1" applyAlignment="1">
      <alignment vertical="center"/>
    </xf>
    <xf numFmtId="0" fontId="10" fillId="0" borderId="0" xfId="0" applyFont="1" applyAlignment="1">
      <alignment vertical="center"/>
    </xf>
    <xf numFmtId="173" fontId="2" fillId="0" borderId="1" xfId="1" applyNumberFormat="1" applyFont="1" applyBorder="1"/>
    <xf numFmtId="173" fontId="101" fillId="4" borderId="1" xfId="1" applyNumberFormat="1" applyFont="1" applyFill="1" applyBorder="1"/>
    <xf numFmtId="173" fontId="101" fillId="0" borderId="1" xfId="1" applyNumberFormat="1" applyFont="1" applyBorder="1"/>
    <xf numFmtId="173" fontId="85" fillId="0" borderId="1" xfId="1" applyNumberFormat="1" applyFont="1" applyBorder="1"/>
    <xf numFmtId="173" fontId="96" fillId="4" borderId="1" xfId="1" applyNumberFormat="1" applyFont="1" applyFill="1" applyBorder="1"/>
    <xf numFmtId="187" fontId="10" fillId="0" borderId="0" xfId="2" applyNumberFormat="1" applyFont="1"/>
    <xf numFmtId="173" fontId="10" fillId="0" borderId="0" xfId="0" applyNumberFormat="1" applyFont="1"/>
    <xf numFmtId="0" fontId="5" fillId="0" borderId="1" xfId="0" applyFont="1" applyBorder="1" applyAlignment="1">
      <alignment horizontal="left" indent="1"/>
    </xf>
    <xf numFmtId="173" fontId="2" fillId="0" borderId="1" xfId="1" applyNumberFormat="1" applyFont="1" applyFill="1" applyBorder="1"/>
    <xf numFmtId="179" fontId="2" fillId="0" borderId="1" xfId="2" applyNumberFormat="1" applyFont="1" applyBorder="1"/>
    <xf numFmtId="179" fontId="101" fillId="4" borderId="1" xfId="2" applyNumberFormat="1" applyFont="1" applyFill="1" applyBorder="1"/>
    <xf numFmtId="179" fontId="101" fillId="0" borderId="1" xfId="2" applyNumberFormat="1" applyFont="1" applyBorder="1"/>
    <xf numFmtId="179" fontId="85" fillId="0" borderId="1" xfId="2" applyNumberFormat="1" applyFont="1" applyBorder="1"/>
    <xf numFmtId="179" fontId="47" fillId="4" borderId="1" xfId="2" applyNumberFormat="1" applyFont="1" applyFill="1" applyBorder="1"/>
    <xf numFmtId="179" fontId="4" fillId="4" borderId="1" xfId="2" applyNumberFormat="1" applyFont="1" applyFill="1" applyBorder="1"/>
    <xf numFmtId="179" fontId="5" fillId="0" borderId="5" xfId="2" applyNumberFormat="1" applyFont="1" applyBorder="1"/>
    <xf numFmtId="179" fontId="60" fillId="0" borderId="5" xfId="2" applyNumberFormat="1" applyFont="1" applyBorder="1"/>
    <xf numFmtId="179" fontId="42" fillId="4" borderId="5" xfId="2" applyNumberFormat="1" applyFont="1" applyFill="1" applyBorder="1"/>
    <xf numFmtId="179" fontId="42" fillId="0" borderId="5" xfId="2" applyNumberFormat="1" applyFont="1" applyFill="1" applyBorder="1"/>
    <xf numFmtId="179" fontId="58" fillId="0" borderId="1" xfId="2" applyNumberFormat="1" applyFont="1" applyBorder="1"/>
    <xf numFmtId="177" fontId="2" fillId="0" borderId="1" xfId="2" applyNumberFormat="1" applyFont="1" applyBorder="1"/>
    <xf numFmtId="169" fontId="19" fillId="0" borderId="1" xfId="2" applyNumberFormat="1" applyFont="1" applyFill="1" applyBorder="1"/>
    <xf numFmtId="176" fontId="10" fillId="0" borderId="0" xfId="2" applyNumberFormat="1" applyFont="1"/>
    <xf numFmtId="165" fontId="10" fillId="15" borderId="1" xfId="2" applyFont="1" applyFill="1" applyBorder="1"/>
    <xf numFmtId="165" fontId="10" fillId="22" borderId="1" xfId="2" applyFont="1" applyFill="1" applyBorder="1"/>
    <xf numFmtId="165" fontId="10" fillId="17" borderId="1" xfId="2" applyFont="1" applyFill="1" applyBorder="1"/>
    <xf numFmtId="179" fontId="10" fillId="23" borderId="1" xfId="2" applyNumberFormat="1" applyFont="1" applyFill="1" applyBorder="1" applyAlignment="1">
      <alignment vertical="center"/>
    </xf>
    <xf numFmtId="173" fontId="10" fillId="0" borderId="1" xfId="0" applyNumberFormat="1" applyFont="1" applyBorder="1"/>
    <xf numFmtId="0" fontId="10" fillId="9" borderId="1" xfId="0" applyFont="1" applyFill="1" applyBorder="1"/>
    <xf numFmtId="173" fontId="10" fillId="9" borderId="1" xfId="0" applyNumberFormat="1" applyFont="1" applyFill="1" applyBorder="1"/>
    <xf numFmtId="174" fontId="10" fillId="9" borderId="0" xfId="0" applyNumberFormat="1" applyFont="1" applyFill="1"/>
    <xf numFmtId="173" fontId="13" fillId="26" borderId="1" xfId="1" applyNumberFormat="1" applyFont="1" applyFill="1" applyBorder="1" applyAlignment="1">
      <alignment horizontal="left" indent="3"/>
    </xf>
    <xf numFmtId="173" fontId="13" fillId="15" borderId="1" xfId="1" applyNumberFormat="1" applyFont="1" applyFill="1" applyBorder="1" applyAlignment="1">
      <alignment horizontal="left" indent="3"/>
    </xf>
    <xf numFmtId="173" fontId="13" fillId="22" borderId="1" xfId="1" applyNumberFormat="1" applyFont="1" applyFill="1" applyBorder="1" applyAlignment="1">
      <alignment horizontal="left" indent="3"/>
    </xf>
    <xf numFmtId="0" fontId="12" fillId="5" borderId="1" xfId="0" applyFont="1" applyFill="1" applyBorder="1" applyAlignment="1">
      <alignment horizontal="centerContinuous"/>
    </xf>
    <xf numFmtId="0" fontId="12" fillId="5" borderId="3" xfId="0" applyFont="1" applyFill="1" applyBorder="1" applyAlignment="1">
      <alignment horizontal="centerContinuous"/>
    </xf>
    <xf numFmtId="0" fontId="10" fillId="5" borderId="3" xfId="0" applyFont="1" applyFill="1" applyBorder="1" applyAlignment="1">
      <alignment horizontal="centerContinuous"/>
    </xf>
    <xf numFmtId="0" fontId="10" fillId="5" borderId="4" xfId="0" applyFont="1" applyFill="1" applyBorder="1" applyAlignment="1">
      <alignment horizontal="centerContinuous"/>
    </xf>
    <xf numFmtId="0" fontId="12" fillId="0" borderId="1" xfId="0" applyFont="1" applyBorder="1"/>
    <xf numFmtId="0" fontId="12" fillId="0" borderId="5" xfId="0" applyFont="1" applyBorder="1" applyAlignment="1">
      <alignment horizontal="center"/>
    </xf>
    <xf numFmtId="0" fontId="12" fillId="0" borderId="5" xfId="0" applyFont="1" applyBorder="1"/>
    <xf numFmtId="179" fontId="10" fillId="0" borderId="1" xfId="2" applyNumberFormat="1" applyFont="1" applyFill="1" applyBorder="1"/>
    <xf numFmtId="174" fontId="10" fillId="0" borderId="1" xfId="2" applyNumberFormat="1" applyFont="1" applyBorder="1"/>
    <xf numFmtId="174" fontId="10" fillId="23" borderId="1" xfId="2" applyNumberFormat="1" applyFont="1" applyFill="1" applyBorder="1"/>
    <xf numFmtId="165" fontId="10" fillId="0" borderId="1" xfId="2" applyFont="1" applyBorder="1"/>
    <xf numFmtId="174" fontId="10" fillId="0" borderId="1" xfId="2" applyNumberFormat="1" applyFont="1" applyFill="1" applyBorder="1"/>
    <xf numFmtId="165" fontId="10" fillId="9" borderId="1" xfId="2" applyFont="1" applyFill="1" applyBorder="1"/>
    <xf numFmtId="173" fontId="10" fillId="9" borderId="1" xfId="1" applyNumberFormat="1" applyFont="1" applyFill="1" applyBorder="1"/>
    <xf numFmtId="174" fontId="10" fillId="9" borderId="1" xfId="2" applyNumberFormat="1" applyFont="1" applyFill="1" applyBorder="1"/>
    <xf numFmtId="165" fontId="10" fillId="26" borderId="1" xfId="2" applyFont="1" applyFill="1" applyBorder="1"/>
    <xf numFmtId="174" fontId="10" fillId="26" borderId="1" xfId="2" applyNumberFormat="1" applyFont="1" applyFill="1" applyBorder="1"/>
    <xf numFmtId="174" fontId="10" fillId="15" borderId="1" xfId="2" applyNumberFormat="1" applyFont="1" applyFill="1" applyBorder="1"/>
    <xf numFmtId="174" fontId="10" fillId="22" borderId="1" xfId="2" applyNumberFormat="1" applyFont="1" applyFill="1" applyBorder="1"/>
    <xf numFmtId="174" fontId="10" fillId="17" borderId="1" xfId="2" applyNumberFormat="1" applyFont="1" applyFill="1" applyBorder="1"/>
    <xf numFmtId="173" fontId="12" fillId="0" borderId="1" xfId="0" applyNumberFormat="1" applyFont="1" applyBorder="1"/>
    <xf numFmtId="170" fontId="12" fillId="0" borderId="1" xfId="0" applyNumberFormat="1" applyFont="1" applyBorder="1"/>
    <xf numFmtId="173" fontId="12" fillId="0" borderId="1" xfId="1" applyNumberFormat="1" applyFont="1" applyBorder="1"/>
    <xf numFmtId="3" fontId="12" fillId="0" borderId="1" xfId="6" applyNumberFormat="1" applyFont="1" applyFill="1" applyBorder="1"/>
    <xf numFmtId="10" fontId="67" fillId="0" borderId="1" xfId="1" applyNumberFormat="1" applyFont="1" applyBorder="1"/>
    <xf numFmtId="3" fontId="12" fillId="0" borderId="1" xfId="6" applyNumberFormat="1" applyFont="1" applyBorder="1"/>
    <xf numFmtId="175" fontId="12" fillId="0" borderId="1" xfId="6" applyNumberFormat="1" applyFont="1" applyBorder="1"/>
    <xf numFmtId="171" fontId="12" fillId="0" borderId="1" xfId="6" applyNumberFormat="1" applyFont="1" applyFill="1" applyBorder="1"/>
    <xf numFmtId="179" fontId="10" fillId="9" borderId="1" xfId="0" applyNumberFormat="1" applyFont="1" applyFill="1" applyBorder="1"/>
    <xf numFmtId="179" fontId="12" fillId="0" borderId="1" xfId="6" applyNumberFormat="1" applyFont="1" applyBorder="1"/>
    <xf numFmtId="200" fontId="10" fillId="0" borderId="0" xfId="1" applyNumberFormat="1" applyFont="1"/>
    <xf numFmtId="0" fontId="12" fillId="0" borderId="0" xfId="0" applyFont="1"/>
    <xf numFmtId="179" fontId="41" fillId="0" borderId="0" xfId="2" applyNumberFormat="1" applyFont="1" applyFill="1" applyBorder="1"/>
    <xf numFmtId="198" fontId="10" fillId="0" borderId="0" xfId="2" applyNumberFormat="1" applyFont="1" applyAlignment="1" applyProtection="1">
      <alignment horizontal="left"/>
      <protection locked="0"/>
    </xf>
    <xf numFmtId="201" fontId="0" fillId="0" borderId="0" xfId="0" applyNumberFormat="1"/>
    <xf numFmtId="0" fontId="12" fillId="26" borderId="1" xfId="0" applyFont="1" applyFill="1" applyBorder="1" applyAlignment="1">
      <alignment horizontal="centerContinuous"/>
    </xf>
    <xf numFmtId="0" fontId="10" fillId="26" borderId="1" xfId="0" applyFont="1" applyFill="1" applyBorder="1" applyAlignment="1">
      <alignment horizontal="centerContinuous"/>
    </xf>
    <xf numFmtId="9" fontId="12" fillId="0" borderId="1" xfId="0" applyNumberFormat="1" applyFont="1" applyBorder="1" applyAlignment="1">
      <alignment horizontal="center"/>
    </xf>
    <xf numFmtId="175" fontId="41" fillId="23" borderId="0" xfId="0" applyNumberFormat="1" applyFont="1" applyFill="1"/>
    <xf numFmtId="167" fontId="6" fillId="0" borderId="0" xfId="2" applyNumberFormat="1" applyFont="1" applyFill="1"/>
    <xf numFmtId="179" fontId="0" fillId="23" borderId="0" xfId="2" applyNumberFormat="1" applyFont="1" applyFill="1"/>
    <xf numFmtId="169" fontId="0" fillId="23" borderId="0" xfId="2" applyNumberFormat="1" applyFont="1" applyFill="1"/>
    <xf numFmtId="175" fontId="0" fillId="23" borderId="0" xfId="0" applyNumberFormat="1" applyFill="1"/>
    <xf numFmtId="0" fontId="0" fillId="23" borderId="0" xfId="0" applyFill="1"/>
    <xf numFmtId="166" fontId="33" fillId="22" borderId="0" xfId="0" applyNumberFormat="1" applyFont="1" applyFill="1"/>
    <xf numFmtId="0" fontId="8" fillId="0" borderId="5" xfId="0" applyFont="1" applyBorder="1"/>
    <xf numFmtId="179" fontId="6" fillId="16" borderId="0" xfId="2" applyNumberFormat="1" applyFont="1" applyFill="1" applyBorder="1"/>
    <xf numFmtId="179" fontId="41" fillId="16" borderId="0" xfId="2" applyNumberFormat="1" applyFont="1" applyFill="1" applyBorder="1"/>
    <xf numFmtId="179" fontId="0" fillId="0" borderId="0" xfId="2" applyNumberFormat="1" applyFont="1" applyFill="1" applyBorder="1"/>
    <xf numFmtId="165" fontId="0" fillId="23" borderId="0" xfId="2" applyFont="1" applyFill="1"/>
    <xf numFmtId="0" fontId="27" fillId="20" borderId="0" xfId="3" applyFill="1" applyAlignment="1" applyProtection="1"/>
    <xf numFmtId="0" fontId="27" fillId="23" borderId="0" xfId="3" applyFill="1" applyAlignment="1" applyProtection="1"/>
    <xf numFmtId="0" fontId="10" fillId="23" borderId="0" xfId="0" applyFont="1" applyFill="1"/>
    <xf numFmtId="0" fontId="27" fillId="23" borderId="0" xfId="3" applyFill="1" applyAlignment="1" applyProtection="1">
      <alignment horizontal="left"/>
    </xf>
    <xf numFmtId="0" fontId="105" fillId="0" borderId="1" xfId="2" applyNumberFormat="1" applyFont="1" applyFill="1" applyBorder="1" applyAlignment="1">
      <alignment horizontal="right"/>
    </xf>
    <xf numFmtId="169" fontId="6" fillId="0" borderId="1" xfId="2" applyNumberFormat="1" applyFont="1" applyFill="1" applyBorder="1"/>
    <xf numFmtId="174" fontId="41" fillId="0" borderId="1" xfId="2" applyNumberFormat="1" applyFont="1" applyFill="1" applyBorder="1"/>
    <xf numFmtId="174" fontId="106" fillId="0" borderId="1" xfId="2" applyNumberFormat="1" applyFont="1" applyFill="1" applyBorder="1"/>
    <xf numFmtId="174" fontId="6" fillId="0" borderId="3" xfId="2" applyNumberFormat="1" applyFont="1" applyFill="1" applyBorder="1"/>
    <xf numFmtId="169" fontId="41" fillId="0" borderId="1" xfId="2" applyNumberFormat="1" applyFont="1" applyFill="1" applyBorder="1"/>
    <xf numFmtId="178" fontId="2" fillId="4" borderId="5" xfId="0" applyNumberFormat="1" applyFont="1" applyFill="1" applyBorder="1"/>
    <xf numFmtId="178" fontId="2" fillId="4" borderId="1" xfId="0" applyNumberFormat="1" applyFont="1" applyFill="1" applyBorder="1"/>
    <xf numFmtId="178" fontId="40" fillId="4" borderId="1" xfId="0" applyNumberFormat="1" applyFont="1" applyFill="1" applyBorder="1"/>
    <xf numFmtId="169" fontId="2" fillId="0" borderId="1" xfId="2" applyNumberFormat="1" applyFont="1" applyBorder="1"/>
    <xf numFmtId="165" fontId="2" fillId="0" borderId="0" xfId="0" applyNumberFormat="1" applyFont="1"/>
    <xf numFmtId="0" fontId="107" fillId="0" borderId="0" xfId="0" applyFont="1"/>
    <xf numFmtId="0" fontId="27" fillId="0" borderId="0" xfId="3" applyAlignment="1" applyProtection="1"/>
    <xf numFmtId="2" fontId="85" fillId="0" borderId="0" xfId="0" applyNumberFormat="1" applyFont="1"/>
    <xf numFmtId="173" fontId="2" fillId="0" borderId="0" xfId="0" applyNumberFormat="1" applyFont="1"/>
    <xf numFmtId="0" fontId="10" fillId="0" borderId="1" xfId="0" applyFont="1" applyBorder="1" applyAlignment="1">
      <alignment horizontal="center"/>
    </xf>
    <xf numFmtId="164" fontId="2" fillId="0" borderId="0" xfId="0" applyNumberFormat="1" applyFont="1"/>
    <xf numFmtId="193" fontId="69" fillId="0" borderId="0" xfId="0" applyNumberFormat="1" applyFont="1"/>
    <xf numFmtId="165" fontId="10" fillId="0" borderId="0" xfId="0" applyNumberFormat="1" applyFont="1" applyAlignment="1">
      <alignment horizontal="right" wrapText="1"/>
    </xf>
    <xf numFmtId="165" fontId="10" fillId="0" borderId="11" xfId="0" applyNumberFormat="1" applyFont="1" applyBorder="1" applyAlignment="1">
      <alignment horizontal="right" wrapText="1"/>
    </xf>
    <xf numFmtId="165" fontId="12" fillId="0" borderId="11" xfId="0" applyNumberFormat="1" applyFont="1" applyBorder="1" applyAlignment="1">
      <alignment horizontal="right" wrapText="1"/>
    </xf>
    <xf numFmtId="165" fontId="21" fillId="0" borderId="0" xfId="2" applyFont="1" applyAlignment="1">
      <alignment horizontal="right" wrapText="1"/>
    </xf>
    <xf numFmtId="165" fontId="21" fillId="0" borderId="11" xfId="2" applyFont="1" applyBorder="1" applyAlignment="1">
      <alignment horizontal="right" wrapText="1"/>
    </xf>
    <xf numFmtId="165" fontId="19" fillId="0" borderId="11" xfId="0" applyNumberFormat="1" applyFont="1" applyBorder="1" applyAlignment="1">
      <alignment horizontal="right" wrapText="1"/>
    </xf>
    <xf numFmtId="10" fontId="67" fillId="0" borderId="0" xfId="1" applyNumberFormat="1" applyFont="1"/>
    <xf numFmtId="0" fontId="19" fillId="0" borderId="6" xfId="0" applyFont="1" applyBorder="1" applyAlignment="1">
      <alignment horizontal="left" vertical="top" wrapText="1"/>
    </xf>
    <xf numFmtId="0" fontId="19" fillId="0" borderId="5" xfId="0" applyFont="1" applyBorder="1" applyAlignment="1">
      <alignment horizontal="left" vertical="top" wrapText="1"/>
    </xf>
    <xf numFmtId="202" fontId="0" fillId="0" borderId="0" xfId="0" applyNumberFormat="1"/>
    <xf numFmtId="171" fontId="12" fillId="0" borderId="1" xfId="6" applyNumberFormat="1" applyFont="1" applyFill="1" applyBorder="1" applyProtection="1"/>
    <xf numFmtId="199" fontId="67" fillId="0" borderId="0" xfId="0" applyNumberFormat="1" applyFont="1" applyAlignment="1">
      <alignment horizontal="right"/>
    </xf>
    <xf numFmtId="0" fontId="67" fillId="0" borderId="0" xfId="0" applyFont="1" applyAlignment="1">
      <alignment horizontal="left"/>
    </xf>
    <xf numFmtId="10" fontId="12" fillId="5" borderId="1" xfId="1" applyNumberFormat="1" applyFont="1" applyFill="1" applyBorder="1" applyProtection="1">
      <protection locked="0"/>
    </xf>
    <xf numFmtId="170" fontId="2" fillId="0" borderId="1" xfId="0" applyNumberFormat="1" applyFont="1" applyBorder="1"/>
    <xf numFmtId="179" fontId="13" fillId="4" borderId="1" xfId="2" applyNumberFormat="1" applyFont="1" applyFill="1" applyBorder="1"/>
    <xf numFmtId="173" fontId="108" fillId="0" borderId="1" xfId="1" applyNumberFormat="1" applyFont="1" applyBorder="1"/>
    <xf numFmtId="169" fontId="2" fillId="0" borderId="0" xfId="2" applyNumberFormat="1" applyFont="1"/>
    <xf numFmtId="4" fontId="10" fillId="0" borderId="0" xfId="2" applyNumberFormat="1" applyFont="1"/>
    <xf numFmtId="191" fontId="2" fillId="0" borderId="0" xfId="2" applyNumberFormat="1" applyFont="1"/>
    <xf numFmtId="43" fontId="0" fillId="9" borderId="0" xfId="6" applyFont="1" applyFill="1" applyAlignment="1">
      <alignment horizontal="center"/>
    </xf>
    <xf numFmtId="43" fontId="0" fillId="9" borderId="0" xfId="6" applyFont="1" applyFill="1"/>
    <xf numFmtId="165" fontId="2" fillId="0" borderId="1" xfId="2" applyFont="1" applyBorder="1"/>
    <xf numFmtId="0" fontId="111" fillId="0" borderId="0" xfId="0" applyFont="1"/>
    <xf numFmtId="173" fontId="10" fillId="0" borderId="1" xfId="1" applyNumberFormat="1" applyFont="1" applyFill="1" applyBorder="1"/>
    <xf numFmtId="165" fontId="10" fillId="0" borderId="1" xfId="2" applyFont="1" applyFill="1" applyBorder="1"/>
    <xf numFmtId="179" fontId="12" fillId="0" borderId="1" xfId="6" applyNumberFormat="1" applyFont="1" applyFill="1" applyBorder="1"/>
    <xf numFmtId="10" fontId="67" fillId="22" borderId="1" xfId="1" applyNumberFormat="1" applyFont="1" applyFill="1" applyBorder="1"/>
    <xf numFmtId="171" fontId="12" fillId="27" borderId="1" xfId="6" applyNumberFormat="1" applyFont="1" applyFill="1" applyBorder="1" applyProtection="1">
      <protection locked="0"/>
    </xf>
    <xf numFmtId="0" fontId="10" fillId="0" borderId="0" xfId="0" applyFont="1" applyAlignment="1">
      <alignment horizontal="left"/>
    </xf>
    <xf numFmtId="179" fontId="112" fillId="0" borderId="1" xfId="2" applyNumberFormat="1" applyFont="1" applyBorder="1"/>
    <xf numFmtId="179" fontId="104" fillId="4" borderId="1" xfId="2" applyNumberFormat="1" applyFont="1" applyFill="1" applyBorder="1"/>
    <xf numFmtId="179" fontId="112" fillId="0" borderId="5" xfId="2" applyNumberFormat="1" applyFont="1" applyFill="1" applyBorder="1"/>
    <xf numFmtId="179" fontId="112" fillId="4" borderId="5" xfId="2" applyNumberFormat="1" applyFont="1" applyFill="1" applyBorder="1"/>
    <xf numFmtId="176" fontId="2" fillId="0" borderId="0" xfId="2" applyNumberFormat="1" applyFont="1"/>
    <xf numFmtId="167" fontId="2" fillId="0" borderId="0" xfId="2" applyNumberFormat="1" applyFont="1"/>
    <xf numFmtId="179" fontId="9" fillId="0" borderId="1" xfId="2" applyNumberFormat="1" applyFont="1" applyBorder="1"/>
    <xf numFmtId="10" fontId="19" fillId="0" borderId="1" xfId="1" applyNumberFormat="1" applyFont="1" applyFill="1" applyBorder="1" applyProtection="1"/>
    <xf numFmtId="175" fontId="21" fillId="20" borderId="5" xfId="2" applyNumberFormat="1" applyFont="1" applyFill="1" applyBorder="1"/>
    <xf numFmtId="0" fontId="12" fillId="0" borderId="6" xfId="0" applyFont="1" applyBorder="1" applyAlignment="1">
      <alignment horizontal="left" vertical="center"/>
    </xf>
    <xf numFmtId="0" fontId="12" fillId="0" borderId="5" xfId="0" applyFont="1" applyBorder="1" applyAlignment="1">
      <alignment horizontal="left" vertical="center"/>
    </xf>
    <xf numFmtId="0" fontId="19" fillId="0" borderId="6" xfId="0" applyFont="1" applyBorder="1" applyAlignment="1">
      <alignment horizontal="center" vertical="top" wrapText="1"/>
    </xf>
    <xf numFmtId="0" fontId="19" fillId="0" borderId="5" xfId="0" applyFont="1" applyBorder="1" applyAlignment="1">
      <alignment horizontal="center" vertical="top" wrapText="1"/>
    </xf>
    <xf numFmtId="10" fontId="33" fillId="5" borderId="0" xfId="1" applyNumberFormat="1" applyFont="1" applyFill="1"/>
    <xf numFmtId="173" fontId="2" fillId="21" borderId="31" xfId="1" applyNumberFormat="1" applyFont="1" applyFill="1" applyBorder="1"/>
    <xf numFmtId="193" fontId="36" fillId="0" borderId="0" xfId="0" applyNumberFormat="1" applyFont="1"/>
    <xf numFmtId="169" fontId="10" fillId="0" borderId="1" xfId="2" applyNumberFormat="1" applyFont="1" applyFill="1" applyBorder="1"/>
    <xf numFmtId="192" fontId="2" fillId="0" borderId="0" xfId="0" applyNumberFormat="1" applyFont="1"/>
    <xf numFmtId="175" fontId="85" fillId="0" borderId="0" xfId="0" applyNumberFormat="1" applyFont="1"/>
    <xf numFmtId="165" fontId="21" fillId="0" borderId="0" xfId="0" applyNumberFormat="1" applyFont="1" applyAlignment="1">
      <alignment horizontal="right" wrapText="1"/>
    </xf>
    <xf numFmtId="165" fontId="21" fillId="0" borderId="11" xfId="0" applyNumberFormat="1" applyFont="1" applyBorder="1" applyAlignment="1">
      <alignment horizontal="right" wrapText="1"/>
    </xf>
    <xf numFmtId="0" fontId="19" fillId="26" borderId="1" xfId="0" applyFont="1" applyFill="1" applyBorder="1" applyAlignment="1">
      <alignment horizontal="centerContinuous"/>
    </xf>
    <xf numFmtId="10" fontId="2" fillId="0" borderId="1" xfId="1" applyNumberFormat="1" applyFont="1" applyBorder="1"/>
    <xf numFmtId="171" fontId="85" fillId="0" borderId="1" xfId="0" applyNumberFormat="1" applyFont="1" applyBorder="1"/>
    <xf numFmtId="179" fontId="10" fillId="0" borderId="4" xfId="2" applyNumberFormat="1" applyFont="1" applyBorder="1"/>
    <xf numFmtId="174" fontId="10" fillId="0" borderId="0" xfId="2" applyNumberFormat="1" applyFont="1"/>
    <xf numFmtId="203" fontId="2" fillId="0" borderId="0" xfId="0" applyNumberFormat="1" applyFont="1"/>
    <xf numFmtId="204" fontId="2" fillId="0" borderId="0" xfId="1" applyNumberFormat="1" applyFont="1"/>
    <xf numFmtId="198" fontId="19" fillId="0" borderId="1" xfId="2" applyNumberFormat="1" applyFont="1" applyBorder="1" applyAlignment="1">
      <alignment horizontal="center"/>
    </xf>
    <xf numFmtId="166" fontId="85" fillId="0" borderId="1" xfId="0" applyNumberFormat="1" applyFont="1" applyBorder="1"/>
    <xf numFmtId="0" fontId="85" fillId="0" borderId="0" xfId="0" applyFont="1" applyAlignment="1">
      <alignment horizontal="center"/>
    </xf>
    <xf numFmtId="0" fontId="85" fillId="0" borderId="0" xfId="0" applyFont="1" applyAlignment="1">
      <alignment horizontal="left"/>
    </xf>
    <xf numFmtId="1" fontId="85" fillId="0" borderId="1" xfId="0" applyNumberFormat="1" applyFont="1" applyBorder="1"/>
    <xf numFmtId="1" fontId="10" fillId="0" borderId="1" xfId="2" applyNumberFormat="1" applyFont="1" applyBorder="1"/>
    <xf numFmtId="1" fontId="2" fillId="0" borderId="1" xfId="2" applyNumberFormat="1" applyFont="1" applyBorder="1"/>
    <xf numFmtId="2" fontId="10" fillId="0" borderId="0" xfId="0" applyNumberFormat="1" applyFont="1"/>
    <xf numFmtId="0" fontId="2" fillId="0" borderId="32" xfId="0" applyFont="1" applyBorder="1"/>
    <xf numFmtId="0" fontId="0" fillId="0" borderId="33" xfId="0" applyBorder="1"/>
    <xf numFmtId="0" fontId="0" fillId="0" borderId="21" xfId="0" applyBorder="1" applyAlignment="1">
      <alignment horizontal="right"/>
    </xf>
    <xf numFmtId="0" fontId="0" fillId="0" borderId="32" xfId="0" applyBorder="1"/>
    <xf numFmtId="175" fontId="101" fillId="0" borderId="28" xfId="0" applyNumberFormat="1" applyFont="1" applyBorder="1" applyAlignment="1">
      <alignment horizontal="left"/>
    </xf>
    <xf numFmtId="0" fontId="28" fillId="0" borderId="0" xfId="3" applyFont="1" applyAlignment="1" applyProtection="1">
      <alignment horizontal="left" vertical="center"/>
    </xf>
    <xf numFmtId="0" fontId="28" fillId="0" borderId="0" xfId="3" applyFont="1" applyAlignment="1" applyProtection="1">
      <alignment vertical="center"/>
    </xf>
    <xf numFmtId="0" fontId="0" fillId="0" borderId="0" xfId="0" applyAlignment="1">
      <alignment vertical="center"/>
    </xf>
    <xf numFmtId="0" fontId="113" fillId="28" borderId="1" xfId="0" applyFont="1" applyFill="1" applyBorder="1" applyAlignment="1">
      <alignment vertical="center"/>
    </xf>
    <xf numFmtId="0" fontId="113" fillId="28" borderId="1" xfId="0" applyFont="1" applyFill="1" applyBorder="1" applyAlignment="1">
      <alignment vertical="center" wrapText="1"/>
    </xf>
    <xf numFmtId="0" fontId="12" fillId="0" borderId="1" xfId="0" applyFont="1" applyBorder="1" applyAlignment="1">
      <alignment vertical="center"/>
    </xf>
    <xf numFmtId="0" fontId="12" fillId="0" borderId="1" xfId="0" applyFont="1" applyBorder="1" applyAlignment="1">
      <alignment vertical="center" wrapText="1"/>
    </xf>
    <xf numFmtId="0" fontId="114" fillId="0" borderId="1" xfId="0" applyFont="1" applyBorder="1" applyAlignment="1">
      <alignment vertical="center"/>
    </xf>
    <xf numFmtId="0" fontId="26" fillId="0" borderId="1" xfId="0" applyFont="1" applyBorder="1" applyAlignment="1">
      <alignment vertical="center" wrapText="1"/>
    </xf>
    <xf numFmtId="2" fontId="2" fillId="5" borderId="0" xfId="0" applyNumberFormat="1" applyFont="1" applyFill="1"/>
    <xf numFmtId="177" fontId="2" fillId="0" borderId="0" xfId="2" applyNumberFormat="1" applyFont="1"/>
    <xf numFmtId="183" fontId="0" fillId="0" borderId="33" xfId="0" applyNumberFormat="1" applyBorder="1"/>
    <xf numFmtId="183" fontId="0" fillId="0" borderId="21" xfId="0" applyNumberFormat="1" applyBorder="1"/>
    <xf numFmtId="170" fontId="5" fillId="0" borderId="0" xfId="0" applyNumberFormat="1" applyFont="1"/>
    <xf numFmtId="179" fontId="2" fillId="0" borderId="0" xfId="0" applyNumberFormat="1" applyFont="1"/>
    <xf numFmtId="205" fontId="2" fillId="0" borderId="0" xfId="0" applyNumberFormat="1" applyFont="1"/>
    <xf numFmtId="183" fontId="85" fillId="0" borderId="0" xfId="0" applyNumberFormat="1" applyFont="1"/>
    <xf numFmtId="193" fontId="9" fillId="0" borderId="0" xfId="0" applyNumberFormat="1" applyFont="1"/>
    <xf numFmtId="164" fontId="35" fillId="0" borderId="0" xfId="0" applyNumberFormat="1" applyFont="1"/>
    <xf numFmtId="167" fontId="59" fillId="0" borderId="0" xfId="0" applyNumberFormat="1" applyFont="1"/>
    <xf numFmtId="164" fontId="9" fillId="0" borderId="0" xfId="0" applyNumberFormat="1" applyFont="1"/>
    <xf numFmtId="165" fontId="36" fillId="0" borderId="0" xfId="2" applyFont="1"/>
    <xf numFmtId="179" fontId="36" fillId="0" borderId="0" xfId="2" applyNumberFormat="1" applyFont="1"/>
    <xf numFmtId="1" fontId="85" fillId="0" borderId="0" xfId="0" applyNumberFormat="1" applyFont="1"/>
    <xf numFmtId="0" fontId="108" fillId="0" borderId="0" xfId="0" applyFont="1" applyAlignment="1">
      <alignment horizontal="center"/>
    </xf>
    <xf numFmtId="179" fontId="101" fillId="21" borderId="1" xfId="2" applyNumberFormat="1" applyFont="1" applyFill="1" applyBorder="1"/>
    <xf numFmtId="179" fontId="2" fillId="21" borderId="1" xfId="2" applyNumberFormat="1" applyFont="1" applyFill="1" applyBorder="1"/>
    <xf numFmtId="0" fontId="85" fillId="16" borderId="0" xfId="0" applyFont="1" applyFill="1" applyAlignment="1">
      <alignment horizontal="left"/>
    </xf>
    <xf numFmtId="0" fontId="40" fillId="0" borderId="0" xfId="0" applyFont="1"/>
    <xf numFmtId="0" fontId="108" fillId="0" borderId="0" xfId="0" applyFont="1"/>
    <xf numFmtId="10" fontId="108" fillId="0" borderId="0" xfId="1" applyNumberFormat="1" applyFont="1" applyFill="1" applyAlignment="1">
      <alignment horizontal="center"/>
    </xf>
    <xf numFmtId="173" fontId="2" fillId="0" borderId="0" xfId="1" applyNumberFormat="1" applyFont="1" applyFill="1"/>
    <xf numFmtId="173" fontId="85" fillId="0" borderId="0" xfId="1" applyNumberFormat="1" applyFont="1" applyFill="1" applyAlignment="1">
      <alignment horizontal="center"/>
    </xf>
    <xf numFmtId="2" fontId="2" fillId="0" borderId="1" xfId="0" applyNumberFormat="1" applyFont="1" applyBorder="1"/>
    <xf numFmtId="10" fontId="67" fillId="0" borderId="0" xfId="1" applyNumberFormat="1" applyFont="1" applyBorder="1"/>
    <xf numFmtId="170" fontId="12" fillId="0" borderId="0" xfId="0" applyNumberFormat="1" applyFont="1"/>
    <xf numFmtId="171" fontId="12" fillId="0" borderId="0" xfId="6" applyNumberFormat="1" applyFont="1" applyFill="1" applyBorder="1" applyProtection="1"/>
    <xf numFmtId="173" fontId="12" fillId="0" borderId="0" xfId="1" applyNumberFormat="1" applyFont="1" applyBorder="1"/>
    <xf numFmtId="179" fontId="12" fillId="0" borderId="0" xfId="6" applyNumberFormat="1" applyFont="1" applyBorder="1"/>
    <xf numFmtId="179" fontId="12" fillId="0" borderId="0" xfId="6" applyNumberFormat="1" applyFont="1" applyFill="1" applyBorder="1"/>
    <xf numFmtId="166" fontId="2" fillId="0" borderId="1" xfId="0" applyNumberFormat="1" applyFont="1" applyBorder="1"/>
    <xf numFmtId="2" fontId="5" fillId="16" borderId="0" xfId="0" applyNumberFormat="1" applyFont="1" applyFill="1"/>
    <xf numFmtId="2" fontId="2" fillId="16" borderId="0" xfId="0" applyNumberFormat="1" applyFont="1" applyFill="1"/>
    <xf numFmtId="173" fontId="85" fillId="20" borderId="0" xfId="1" applyNumberFormat="1" applyFont="1" applyFill="1"/>
    <xf numFmtId="2" fontId="2" fillId="0" borderId="4" xfId="0" applyNumberFormat="1" applyFont="1" applyBorder="1"/>
    <xf numFmtId="0" fontId="24" fillId="0" borderId="0" xfId="3" applyFont="1" applyAlignment="1" applyProtection="1"/>
    <xf numFmtId="165" fontId="3" fillId="0" borderId="1" xfId="2" applyFont="1" applyFill="1" applyBorder="1"/>
    <xf numFmtId="165" fontId="19" fillId="0" borderId="0" xfId="2" applyFont="1"/>
    <xf numFmtId="9" fontId="41" fillId="0" borderId="0" xfId="1" applyFont="1"/>
    <xf numFmtId="179" fontId="13" fillId="0" borderId="5" xfId="2" applyNumberFormat="1" applyFont="1" applyBorder="1"/>
    <xf numFmtId="0" fontId="12" fillId="0" borderId="1" xfId="0" applyFont="1" applyBorder="1" applyAlignment="1">
      <alignment vertical="center"/>
    </xf>
    <xf numFmtId="0" fontId="13" fillId="0" borderId="0" xfId="0" applyFont="1" applyAlignment="1">
      <alignment horizontal="left" vertical="center" wrapText="1"/>
    </xf>
    <xf numFmtId="0" fontId="19" fillId="0" borderId="6" xfId="0" applyFont="1" applyBorder="1" applyAlignment="1">
      <alignment horizontal="center"/>
    </xf>
    <xf numFmtId="0" fontId="19" fillId="0" borderId="5" xfId="0" applyFont="1" applyBorder="1" applyAlignment="1">
      <alignment horizontal="center"/>
    </xf>
    <xf numFmtId="0" fontId="3" fillId="0" borderId="1" xfId="0" applyFont="1" applyBorder="1"/>
    <xf numFmtId="0" fontId="3" fillId="0" borderId="2" xfId="0" applyFont="1" applyBorder="1"/>
    <xf numFmtId="0" fontId="19" fillId="0" borderId="6" xfId="0" applyFont="1" applyBorder="1" applyAlignment="1">
      <alignment vertical="center"/>
    </xf>
    <xf numFmtId="0" fontId="19" fillId="0" borderId="5" xfId="0" applyFont="1" applyBorder="1" applyAlignment="1">
      <alignment vertical="center"/>
    </xf>
    <xf numFmtId="0" fontId="2" fillId="0" borderId="20" xfId="0" applyFont="1" applyBorder="1" applyAlignment="1">
      <alignment horizontal="left" vertical="top" wrapText="1"/>
    </xf>
    <xf numFmtId="0" fontId="10" fillId="0" borderId="12"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top" wrapText="1"/>
    </xf>
    <xf numFmtId="0" fontId="10" fillId="0" borderId="16" xfId="0" applyFont="1" applyBorder="1" applyAlignment="1">
      <alignment horizontal="center" vertical="top" wrapText="1"/>
    </xf>
    <xf numFmtId="0" fontId="13" fillId="0" borderId="11" xfId="0" applyFont="1" applyBorder="1" applyAlignment="1">
      <alignment horizontal="left" vertical="top"/>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1"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vertical="top" wrapText="1"/>
    </xf>
    <xf numFmtId="0" fontId="10" fillId="0" borderId="10" xfId="0" applyFont="1" applyBorder="1" applyAlignment="1">
      <alignment horizontal="center" vertical="top" wrapText="1"/>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9" fillId="0" borderId="6" xfId="0" applyFont="1" applyBorder="1" applyAlignment="1">
      <alignment horizontal="left" vertical="center"/>
    </xf>
    <xf numFmtId="0" fontId="9" fillId="0" borderId="5" xfId="0" applyFont="1" applyBorder="1" applyAlignment="1">
      <alignment horizontal="left" vertical="center"/>
    </xf>
    <xf numFmtId="0" fontId="12" fillId="0" borderId="6" xfId="0" applyFont="1" applyBorder="1" applyAlignment="1">
      <alignment horizontal="left" vertical="center"/>
    </xf>
    <xf numFmtId="0" fontId="12" fillId="0" borderId="5" xfId="0" applyFont="1" applyBorder="1" applyAlignment="1">
      <alignment horizontal="left" vertical="center"/>
    </xf>
    <xf numFmtId="0" fontId="19" fillId="0" borderId="6" xfId="0" applyFont="1" applyBorder="1" applyAlignment="1">
      <alignment horizontal="center" vertical="top" wrapText="1"/>
    </xf>
    <xf numFmtId="0" fontId="19" fillId="0" borderId="5" xfId="0" applyFont="1" applyBorder="1" applyAlignment="1">
      <alignment horizontal="center" vertical="top" wrapText="1"/>
    </xf>
    <xf numFmtId="0" fontId="7" fillId="0" borderId="23" xfId="0" applyFont="1" applyBorder="1" applyAlignment="1">
      <alignment horizontal="left" vertical="center"/>
    </xf>
    <xf numFmtId="0" fontId="7" fillId="0" borderId="5" xfId="0" applyFont="1" applyBorder="1" applyAlignment="1">
      <alignment horizontal="left" vertical="center"/>
    </xf>
    <xf numFmtId="0" fontId="19" fillId="0" borderId="6" xfId="0" applyFont="1" applyBorder="1" applyAlignment="1">
      <alignment horizontal="left" vertical="center"/>
    </xf>
    <xf numFmtId="0" fontId="19" fillId="0" borderId="5" xfId="0" applyFont="1" applyBorder="1" applyAlignment="1">
      <alignment horizontal="left" vertical="center"/>
    </xf>
    <xf numFmtId="0" fontId="19" fillId="0" borderId="2" xfId="0" applyFont="1" applyBorder="1" applyAlignment="1">
      <alignment horizontal="center" vertical="top"/>
    </xf>
    <xf numFmtId="0" fontId="19" fillId="0" borderId="3" xfId="0" applyFont="1" applyBorder="1" applyAlignment="1">
      <alignment horizontal="center" vertical="top"/>
    </xf>
    <xf numFmtId="0" fontId="19" fillId="0" borderId="4" xfId="0" applyFont="1" applyBorder="1" applyAlignment="1">
      <alignment horizontal="center" vertical="top"/>
    </xf>
    <xf numFmtId="0" fontId="12" fillId="0" borderId="9" xfId="0" applyFont="1" applyBorder="1" applyAlignment="1">
      <alignment horizontal="justify" vertical="center"/>
    </xf>
    <xf numFmtId="0" fontId="12" fillId="0" borderId="11" xfId="0" applyFont="1" applyBorder="1" applyAlignment="1">
      <alignment horizontal="justify" vertical="center"/>
    </xf>
    <xf numFmtId="0" fontId="1" fillId="0" borderId="0" xfId="0" applyFont="1" applyAlignment="1">
      <alignment horizontal="left" vertical="top" wrapText="1"/>
    </xf>
    <xf numFmtId="0" fontId="13" fillId="0" borderId="0" xfId="0" applyFont="1" applyAlignment="1">
      <alignment horizontal="left" vertical="top" wrapText="1"/>
    </xf>
    <xf numFmtId="179" fontId="33" fillId="0" borderId="1" xfId="2" applyNumberFormat="1" applyFont="1" applyBorder="1" applyAlignment="1">
      <alignment horizontal="center"/>
    </xf>
    <xf numFmtId="179" fontId="33" fillId="0" borderId="1" xfId="2" applyNumberFormat="1" applyFont="1" applyBorder="1" applyAlignment="1">
      <alignment horizontal="center" wrapText="1"/>
    </xf>
    <xf numFmtId="179" fontId="33" fillId="0" borderId="2" xfId="2" applyNumberFormat="1" applyFont="1" applyBorder="1" applyAlignment="1">
      <alignment horizontal="center"/>
    </xf>
    <xf numFmtId="179" fontId="33" fillId="0" borderId="3" xfId="2" applyNumberFormat="1" applyFont="1" applyBorder="1" applyAlignment="1">
      <alignment horizontal="center"/>
    </xf>
    <xf numFmtId="179" fontId="33" fillId="0" borderId="4" xfId="2" applyNumberFormat="1" applyFont="1" applyBorder="1" applyAlignment="1">
      <alignment horizontal="center"/>
    </xf>
    <xf numFmtId="0" fontId="28" fillId="0" borderId="0" xfId="3" applyFont="1" applyBorder="1" applyAlignment="1" applyProtection="1">
      <alignment horizontal="left" vertical="top"/>
    </xf>
    <xf numFmtId="4" fontId="5" fillId="0" borderId="0" xfId="0" applyNumberFormat="1" applyFont="1" applyAlignment="1">
      <alignment horizontal="right" vertical="center"/>
    </xf>
    <xf numFmtId="171" fontId="5" fillId="0" borderId="0" xfId="0" applyNumberFormat="1" applyFont="1" applyAlignment="1">
      <alignment horizontal="right" vertical="center"/>
    </xf>
    <xf numFmtId="0" fontId="3" fillId="0" borderId="0" xfId="0" applyFont="1"/>
    <xf numFmtId="0" fontId="3" fillId="0" borderId="0" xfId="0" applyFont="1" applyAlignment="1">
      <alignment horizontal="center"/>
    </xf>
    <xf numFmtId="0" fontId="28" fillId="0" borderId="0" xfId="3" applyFont="1" applyAlignment="1" applyProtection="1">
      <alignment horizontal="left" vertical="top"/>
    </xf>
    <xf numFmtId="0" fontId="45" fillId="0" borderId="1" xfId="0" applyFont="1" applyBorder="1" applyAlignment="1">
      <alignment horizontal="left"/>
    </xf>
    <xf numFmtId="0" fontId="7" fillId="0" borderId="1" xfId="0" applyFont="1" applyBorder="1" applyAlignment="1">
      <alignment vertical="top"/>
    </xf>
    <xf numFmtId="0" fontId="45" fillId="0" borderId="9" xfId="0" applyFont="1" applyBorder="1" applyAlignment="1">
      <alignment horizontal="left"/>
    </xf>
    <xf numFmtId="0" fontId="45" fillId="0" borderId="11" xfId="0" applyFont="1" applyBorder="1" applyAlignment="1">
      <alignment horizontal="left"/>
    </xf>
  </cellXfs>
  <cellStyles count="9">
    <cellStyle name="Collegamento ipertestuale" xfId="3" builtinId="8"/>
    <cellStyle name="Collegamento ipertestuale 2" xfId="8" xr:uid="{8FFFC4C5-40C4-49F2-83B2-D0DDD5013AEC}"/>
    <cellStyle name="Migliaia" xfId="2" builtinId="3"/>
    <cellStyle name="Migliaia 2" xfId="6" xr:uid="{51EE0CDB-FB76-4322-B6CC-D7B8B0C62EED}"/>
    <cellStyle name="Normale" xfId="0" builtinId="0"/>
    <cellStyle name="Normale 2" xfId="4" xr:uid="{00000000-0005-0000-0000-000003000000}"/>
    <cellStyle name="Normale 2 2" xfId="5" xr:uid="{00000000-0005-0000-0000-000004000000}"/>
    <cellStyle name="Normale 4" xfId="7" xr:uid="{6184E8EE-C7C1-4EC1-8657-E1CCC98696FB}"/>
    <cellStyle name="Percentuale" xfId="1" builtinId="5"/>
  </cellStyles>
  <dxfs count="6">
    <dxf>
      <font>
        <color rgb="FF9C0006"/>
      </font>
      <fill>
        <patternFill>
          <bgColor rgb="FFFFC7CE"/>
        </patternFill>
      </fill>
    </dxf>
    <dxf>
      <font>
        <color theme="1" tint="0.34998626667073579"/>
      </font>
      <fill>
        <patternFill>
          <bgColor theme="7" tint="0.79998168889431442"/>
        </patternFill>
      </fill>
    </dxf>
    <dxf>
      <font>
        <color theme="1" tint="0.34998626667073579"/>
      </font>
      <fill>
        <patternFill>
          <bgColor theme="7" tint="0.79998168889431442"/>
        </patternFill>
      </fill>
    </dxf>
    <dxf>
      <font>
        <color rgb="FF00B050"/>
      </font>
    </dxf>
    <dxf>
      <font>
        <color rgb="FF00B050"/>
      </font>
    </dxf>
    <dxf>
      <font>
        <color theme="1" tint="0.34998626667073579"/>
      </font>
      <fill>
        <patternFill>
          <bgColor theme="6" tint="0.39994506668294322"/>
        </patternFill>
      </fill>
    </dxf>
  </dxfs>
  <tableStyles count="0" defaultTableStyle="TableStyleMedium9" defaultPivotStyle="PivotStyleLight16"/>
  <colors>
    <mruColors>
      <color rgb="FFAAF6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sharedStrings" Target="sharedStrings.xml"/><Relationship Id="rId21" Type="http://schemas.openxmlformats.org/officeDocument/2006/relationships/worksheet" Target="worksheets/sheet20.xml"/><Relationship Id="rId34" Type="http://schemas.openxmlformats.org/officeDocument/2006/relationships/worksheet" Target="worksheets/sheet33.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0.13917979301212177"/>
          <c:y val="4.9519041471169617E-2"/>
          <c:w val="0.8538844756722983"/>
          <c:h val="0.6118145179789013"/>
        </c:manualLayout>
      </c:layout>
      <c:barChart>
        <c:barDir val="col"/>
        <c:grouping val="clustered"/>
        <c:varyColors val="0"/>
        <c:ser>
          <c:idx val="0"/>
          <c:order val="0"/>
          <c:spPr>
            <a:solidFill>
              <a:schemeClr val="accent3">
                <a:lumMod val="40000"/>
                <a:lumOff val="60000"/>
              </a:schemeClr>
            </a:solidFill>
            <a:ln>
              <a:solidFill>
                <a:schemeClr val="accent2">
                  <a:lumMod val="40000"/>
                  <a:lumOff val="6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Modulo!$A$72:$A$76</c:f>
              <c:strCache>
                <c:ptCount val="5"/>
                <c:pt idx="0">
                  <c:v>Produzione nazionale (2025)</c:v>
                </c:pt>
                <c:pt idx="1">
                  <c:v>Immesso in rete - GSE (2025)</c:v>
                </c:pt>
                <c:pt idx="2">
                  <c:v>Operatore (2025)</c:v>
                </c:pt>
                <c:pt idx="3">
                  <c:v>Autoconsumo (2025)</c:v>
                </c:pt>
                <c:pt idx="4">
                  <c:v>Mix residuale - GSE (2025)</c:v>
                </c:pt>
              </c:strCache>
            </c:strRef>
          </c:cat>
          <c:val>
            <c:numRef>
              <c:f>Modulo!$B$72:$B$76</c:f>
              <c:numCache>
                <c:formatCode>0.0</c:formatCode>
                <c:ptCount val="5"/>
                <c:pt idx="0">
                  <c:v>213.80024504929128</c:v>
                </c:pt>
                <c:pt idx="1">
                  <c:v>208.7071473122115</c:v>
                </c:pt>
                <c:pt idx="2">
                  <c:v>206.56576345793673</c:v>
                </c:pt>
                <c:pt idx="3">
                  <c:v>237.66396742375875</c:v>
                </c:pt>
                <c:pt idx="4">
                  <c:v>390.85125226641713</c:v>
                </c:pt>
              </c:numCache>
            </c:numRef>
          </c:val>
          <c:extLst>
            <c:ext xmlns:c16="http://schemas.microsoft.com/office/drawing/2014/chart" uri="{C3380CC4-5D6E-409C-BE32-E72D297353CC}">
              <c16:uniqueId val="{00000000-BE5D-4FB0-8BD5-784A786A62F9}"/>
            </c:ext>
          </c:extLst>
        </c:ser>
        <c:dLbls>
          <c:showLegendKey val="0"/>
          <c:showVal val="0"/>
          <c:showCatName val="0"/>
          <c:showSerName val="0"/>
          <c:showPercent val="0"/>
          <c:showBubbleSize val="0"/>
        </c:dLbls>
        <c:gapWidth val="219"/>
        <c:overlap val="-27"/>
        <c:axId val="836413728"/>
        <c:axId val="719720080"/>
      </c:barChart>
      <c:catAx>
        <c:axId val="83641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it-IT"/>
          </a:p>
        </c:txPr>
        <c:crossAx val="719720080"/>
        <c:crosses val="autoZero"/>
        <c:auto val="1"/>
        <c:lblAlgn val="ctr"/>
        <c:lblOffset val="100"/>
        <c:noMultiLvlLbl val="0"/>
      </c:catAx>
      <c:valAx>
        <c:axId val="7197200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a:t>Fattori di emissione della produzione elettrica </a:t>
                </a:r>
              </a:p>
              <a:p>
                <a:pPr>
                  <a:defRPr sz="1800"/>
                </a:pPr>
                <a:r>
                  <a:rPr lang="en-US" sz="1800"/>
                  <a:t>(g CO</a:t>
                </a:r>
                <a:r>
                  <a:rPr lang="en-US" sz="1800" baseline="-25000"/>
                  <a:t>2</a:t>
                </a:r>
                <a:r>
                  <a:rPr lang="en-US" sz="1800"/>
                  <a:t>/kWh)</a:t>
                </a:r>
              </a:p>
            </c:rich>
          </c:tx>
          <c:layout>
            <c:manualLayout>
              <c:xMode val="edge"/>
              <c:yMode val="edge"/>
              <c:x val="0"/>
              <c:y val="1.4319661367498675E-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it-IT"/>
          </a:p>
        </c:txPr>
        <c:crossAx val="836413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050" b="1"/>
      </a:pPr>
      <a:endParaRPr lang="it-IT"/>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60855641065"/>
          <c:h val="0.72432435895314162"/>
        </c:manualLayout>
      </c:layout>
      <c:lineChart>
        <c:grouping val="standard"/>
        <c:varyColors val="0"/>
        <c:ser>
          <c:idx val="2"/>
          <c:order val="0"/>
          <c:tx>
            <c:v> solidi</c:v>
          </c:tx>
          <c:spPr>
            <a:ln w="28575">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0.24390688421220882</c:v>
              </c:pt>
              <c:pt idx="1">
                <c:v>0.2250270354418302</c:v>
              </c:pt>
              <c:pt idx="2">
                <c:v>0.16961361817492943</c:v>
              </c:pt>
              <c:pt idx="3">
                <c:v>0.1357574059065656</c:v>
              </c:pt>
              <c:pt idx="4">
                <c:v>0.15665023365035449</c:v>
              </c:pt>
              <c:pt idx="5">
                <c:v>0.17276811380454912</c:v>
              </c:pt>
              <c:pt idx="6">
                <c:v>0.16249247395645006</c:v>
              </c:pt>
              <c:pt idx="7">
                <c:v>0.14971706661794631</c:v>
              </c:pt>
              <c:pt idx="8">
                <c:v>0.16505700231537199</c:v>
              </c:pt>
              <c:pt idx="9">
                <c:v>0.1716872198338445</c:v>
              </c:pt>
              <c:pt idx="10">
                <c:v>0.18114321145020146</c:v>
              </c:pt>
              <c:pt idx="11">
                <c:v>0.22997851147819132</c:v>
              </c:pt>
              <c:pt idx="12">
                <c:v>0.24338080743246779</c:v>
              </c:pt>
              <c:pt idx="13">
                <c:v>0.27077396912551871</c:v>
              </c:pt>
              <c:pt idx="14">
                <c:v>0.28670724193370561</c:v>
              </c:pt>
              <c:pt idx="15">
                <c:v>0.27712419517734188</c:v>
              </c:pt>
              <c:pt idx="16">
                <c:v>0.26940450866154031</c:v>
              </c:pt>
              <c:pt idx="17">
                <c:v>0.27859643895823361</c:v>
              </c:pt>
              <c:pt idx="18">
                <c:v>0.28380370936079752</c:v>
              </c:pt>
              <c:pt idx="19">
                <c:v>0.302132418136555</c:v>
              </c:pt>
              <c:pt idx="20">
                <c:v>0.29038649884316298</c:v>
              </c:pt>
              <c:pt idx="21">
                <c:v>0.32678996591637527</c:v>
              </c:pt>
              <c:pt idx="22">
                <c:v>0.36603714959302558</c:v>
              </c:pt>
              <c:pt idx="23">
                <c:v>0.40337258389061392</c:v>
              </c:pt>
              <c:pt idx="24">
                <c:v>0.41852459235320771</c:v>
              </c:pt>
              <c:pt idx="25">
                <c:v>0.41112667083778726</c:v>
              </c:pt>
              <c:pt idx="26">
                <c:v>0.33968561196449848</c:v>
              </c:pt>
              <c:pt idx="27">
                <c:v>0.3010075528463137</c:v>
              </c:pt>
              <c:pt idx="28">
                <c:v>0.29064672828504562</c:v>
              </c:pt>
              <c:pt idx="29">
                <c:v>0.2080008640867099</c:v>
              </c:pt>
              <c:pt idx="30">
                <c:v>0.16886128076867538</c:v>
              </c:pt>
              <c:pt idx="31">
                <c:v>0.16816892087024288</c:v>
              </c:pt>
              <c:pt idx="32">
                <c:v>0.24317290513841722</c:v>
              </c:pt>
              <c:pt idx="33">
                <c:v>0.17972981769649071</c:v>
              </c:pt>
              <c:pt idx="34">
                <c:v>6.0402255147600344E-2</c:v>
              </c:pt>
              <c:pt idx="35">
                <c:v>4.9398915711511428E-2</c:v>
              </c:pt>
            </c:numLit>
          </c:val>
          <c:smooth val="1"/>
          <c:extLst>
            <c:ext xmlns:c16="http://schemas.microsoft.com/office/drawing/2014/chart" uri="{C3380CC4-5D6E-409C-BE32-E72D297353CC}">
              <c16:uniqueId val="{00000000-2349-4410-ABDD-5D296453A30E}"/>
            </c:ext>
          </c:extLst>
        </c:ser>
        <c:ser>
          <c:idx val="3"/>
          <c:order val="1"/>
          <c:tx>
            <c:v> gas naturale</c:v>
          </c:tx>
          <c:spPr>
            <a:ln w="28575">
              <a:solidFill>
                <a:schemeClr val="accent1"/>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0.14788588484761112</c:v>
              </c:pt>
              <c:pt idx="1">
                <c:v>0.14086531280173159</c:v>
              </c:pt>
              <c:pt idx="2">
                <c:v>0.13666057545901616</c:v>
              </c:pt>
              <c:pt idx="3">
                <c:v>0.15956589300063886</c:v>
              </c:pt>
              <c:pt idx="4">
                <c:v>0.15404276407347192</c:v>
              </c:pt>
              <c:pt idx="5">
                <c:v>0.1639656857370245</c:v>
              </c:pt>
              <c:pt idx="6">
                <c:v>0.1768456457071774</c:v>
              </c:pt>
              <c:pt idx="7">
                <c:v>0.20727047989056285</c:v>
              </c:pt>
              <c:pt idx="8">
                <c:v>0.23421007636897051</c:v>
              </c:pt>
              <c:pt idx="9">
                <c:v>0.29335039105524174</c:v>
              </c:pt>
              <c:pt idx="10">
                <c:v>0.3199234989223177</c:v>
              </c:pt>
              <c:pt idx="11">
                <c:v>0.31427550714817587</c:v>
              </c:pt>
              <c:pt idx="12">
                <c:v>0.29680102854514484</c:v>
              </c:pt>
              <c:pt idx="13">
                <c:v>0.30897404754102487</c:v>
              </c:pt>
              <c:pt idx="14">
                <c:v>0.35948808810878413</c:v>
              </c:pt>
              <c:pt idx="15">
                <c:v>0.41303157157728276</c:v>
              </c:pt>
              <c:pt idx="16">
                <c:v>0.41787715445748486</c:v>
              </c:pt>
              <c:pt idx="17">
                <c:v>0.45818142377393734</c:v>
              </c:pt>
              <c:pt idx="18">
                <c:v>0.47653616469810794</c:v>
              </c:pt>
              <c:pt idx="19">
                <c:v>0.48123623461126203</c:v>
              </c:pt>
              <c:pt idx="20">
                <c:v>0.4907198172983912</c:v>
              </c:pt>
              <c:pt idx="21">
                <c:v>0.46459583652658198</c:v>
              </c:pt>
              <c:pt idx="22">
                <c:v>0.43223727714704901</c:v>
              </c:pt>
              <c:pt idx="23">
                <c:v>0.41357510934351593</c:v>
              </c:pt>
              <c:pt idx="24">
                <c:v>0.38737405252163254</c:v>
              </c:pt>
              <c:pt idx="25">
                <c:v>0.43092082435041607</c:v>
              </c:pt>
              <c:pt idx="26">
                <c:v>0.49771092896225427</c:v>
              </c:pt>
              <c:pt idx="27">
                <c:v>0.55173290963745092</c:v>
              </c:pt>
              <c:pt idx="28">
                <c:v>0.54795703934395468</c:v>
              </c:pt>
              <c:pt idx="29">
                <c:v>0.63591932630084813</c:v>
              </c:pt>
              <c:pt idx="30">
                <c:v>0.67633526912935948</c:v>
              </c:pt>
              <c:pt idx="31">
                <c:v>0.68843085854773667</c:v>
              </c:pt>
              <c:pt idx="32">
                <c:v>0.6031668689283749</c:v>
              </c:pt>
              <c:pt idx="33">
                <c:v>0.65595887633173766</c:v>
              </c:pt>
              <c:pt idx="34">
                <c:v>0.77926580392369871</c:v>
              </c:pt>
              <c:pt idx="35">
                <c:v>0.80199572979145339</c:v>
              </c:pt>
            </c:numLit>
          </c:val>
          <c:smooth val="1"/>
          <c:extLst>
            <c:ext xmlns:c16="http://schemas.microsoft.com/office/drawing/2014/chart" uri="{C3380CC4-5D6E-409C-BE32-E72D297353CC}">
              <c16:uniqueId val="{00000001-2349-4410-ABDD-5D296453A30E}"/>
            </c:ext>
          </c:extLst>
        </c:ser>
        <c:ser>
          <c:idx val="4"/>
          <c:order val="2"/>
          <c:tx>
            <c:v> gas derivati </c:v>
          </c:tx>
          <c:spPr>
            <a:ln w="28575">
              <a:solidFill>
                <a:srgbClr val="7030A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5.7665744574973317E-2</c:v>
              </c:pt>
              <c:pt idx="1">
                <c:v>5.7530696222730451E-2</c:v>
              </c:pt>
              <c:pt idx="2">
                <c:v>5.5116756760617315E-2</c:v>
              </c:pt>
              <c:pt idx="3">
                <c:v>5.4473296679232612E-2</c:v>
              </c:pt>
              <c:pt idx="4">
                <c:v>4.8195558703940773E-2</c:v>
              </c:pt>
              <c:pt idx="5">
                <c:v>5.2321411840934737E-2</c:v>
              </c:pt>
              <c:pt idx="6">
                <c:v>5.1070046528599068E-2</c:v>
              </c:pt>
              <c:pt idx="7">
                <c:v>5.9020180008197538E-2</c:v>
              </c:pt>
              <c:pt idx="8">
                <c:v>6.6487139151062621E-2</c:v>
              </c:pt>
              <c:pt idx="9">
                <c:v>5.8670645237501824E-2</c:v>
              </c:pt>
              <c:pt idx="10">
                <c:v>5.0728543021557611E-2</c:v>
              </c:pt>
              <c:pt idx="11">
                <c:v>5.5834746140959693E-2</c:v>
              </c:pt>
              <c:pt idx="12">
                <c:v>5.2042896636892391E-2</c:v>
              </c:pt>
              <c:pt idx="13">
                <c:v>5.0984465832278766E-2</c:v>
              </c:pt>
              <c:pt idx="14">
                <c:v>6.6676570479142688E-2</c:v>
              </c:pt>
              <c:pt idx="15">
                <c:v>7.6560581495345961E-2</c:v>
              </c:pt>
              <c:pt idx="16">
                <c:v>7.8876196499244114E-2</c:v>
              </c:pt>
              <c:pt idx="17">
                <c:v>6.9155455723709722E-2</c:v>
              </c:pt>
              <c:pt idx="18">
                <c:v>6.5741873134710027E-2</c:v>
              </c:pt>
              <c:pt idx="19">
                <c:v>4.9660756965869031E-2</c:v>
              </c:pt>
              <c:pt idx="20">
                <c:v>6.4286392141522486E-2</c:v>
              </c:pt>
              <c:pt idx="21">
                <c:v>7.3785355717259332E-2</c:v>
              </c:pt>
              <c:pt idx="22">
                <c:v>6.4206197873640805E-2</c:v>
              </c:pt>
              <c:pt idx="23">
                <c:v>5.5477276461964112E-2</c:v>
              </c:pt>
              <c:pt idx="24">
                <c:v>6.0513475419588597E-2</c:v>
              </c:pt>
              <c:pt idx="25">
                <c:v>3.7588876220235247E-2</c:v>
              </c:pt>
              <c:pt idx="26">
                <c:v>4.885020939682027E-2</c:v>
              </c:pt>
              <c:pt idx="27">
                <c:v>3.9223769013908706E-2</c:v>
              </c:pt>
              <c:pt idx="28">
                <c:v>4.737757142469011E-2</c:v>
              </c:pt>
              <c:pt idx="29">
                <c:v>4.1467456839962599E-2</c:v>
              </c:pt>
              <c:pt idx="30">
                <c:v>3.1302140284244072E-2</c:v>
              </c:pt>
              <c:pt idx="31">
                <c:v>4.2873817222130045E-2</c:v>
              </c:pt>
              <c:pt idx="32">
                <c:v>2.9397843259916019E-2</c:v>
              </c:pt>
              <c:pt idx="33">
                <c:v>2.3706556211926761E-2</c:v>
              </c:pt>
              <c:pt idx="34">
                <c:v>1.9207700759551281E-2</c:v>
              </c:pt>
              <c:pt idx="35">
                <c:v>1.6500055868338803E-2</c:v>
              </c:pt>
            </c:numLit>
          </c:val>
          <c:smooth val="1"/>
          <c:extLst>
            <c:ext xmlns:c16="http://schemas.microsoft.com/office/drawing/2014/chart" uri="{C3380CC4-5D6E-409C-BE32-E72D297353CC}">
              <c16:uniqueId val="{00000002-2349-4410-ABDD-5D296453A30E}"/>
            </c:ext>
          </c:extLst>
        </c:ser>
        <c:ser>
          <c:idx val="5"/>
          <c:order val="3"/>
          <c:tx>
            <c:v> prodotti petroliferi</c:v>
          </c:tx>
          <c:spPr>
            <a:ln w="28575">
              <a:solidFill>
                <a:schemeClr val="tx1">
                  <a:lumMod val="50000"/>
                  <a:lumOff val="5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0.54971631855009295</c:v>
              </c:pt>
              <c:pt idx="1">
                <c:v>0.57554610767330827</c:v>
              </c:pt>
              <c:pt idx="2">
                <c:v>0.63778908950937674</c:v>
              </c:pt>
              <c:pt idx="3">
                <c:v>0.64934541258447886</c:v>
              </c:pt>
              <c:pt idx="4">
                <c:v>0.64008902735793971</c:v>
              </c:pt>
              <c:pt idx="5">
                <c:v>0.60958844644602628</c:v>
              </c:pt>
              <c:pt idx="6">
                <c:v>0.60790130541440079</c:v>
              </c:pt>
              <c:pt idx="7">
                <c:v>0.58209052776087367</c:v>
              </c:pt>
              <c:pt idx="8">
                <c:v>0.53152707390887</c:v>
              </c:pt>
              <c:pt idx="9">
                <c:v>0.47140265623229582</c:v>
              </c:pt>
              <c:pt idx="10">
                <c:v>0.44492263259288745</c:v>
              </c:pt>
              <c:pt idx="11">
                <c:v>0.39519365566554199</c:v>
              </c:pt>
              <c:pt idx="12">
                <c:v>0.40339920873696949</c:v>
              </c:pt>
              <c:pt idx="13">
                <c:v>0.35742454024694259</c:v>
              </c:pt>
              <c:pt idx="14">
                <c:v>0.27270473255007488</c:v>
              </c:pt>
              <c:pt idx="15">
                <c:v>0.21979852339623807</c:v>
              </c:pt>
              <c:pt idx="16">
                <c:v>0.21929123737177592</c:v>
              </c:pt>
              <c:pt idx="17">
                <c:v>0.1728566773624384</c:v>
              </c:pt>
              <c:pt idx="18">
                <c:v>0.15465965922776548</c:v>
              </c:pt>
              <c:pt idx="19">
                <c:v>0.14442148229958141</c:v>
              </c:pt>
              <c:pt idx="20">
                <c:v>0.12330539636331994</c:v>
              </c:pt>
              <c:pt idx="21">
                <c:v>0.10330971241949743</c:v>
              </c:pt>
              <c:pt idx="22">
                <c:v>0.10404234235807189</c:v>
              </c:pt>
              <c:pt idx="23">
                <c:v>8.9150558961827706E-2</c:v>
              </c:pt>
              <c:pt idx="24">
                <c:v>9.0841774887061341E-2</c:v>
              </c:pt>
              <c:pt idx="25">
                <c:v>7.9530945409406487E-2</c:v>
              </c:pt>
              <c:pt idx="26">
                <c:v>7.0769325035786063E-2</c:v>
              </c:pt>
              <c:pt idx="27">
                <c:v>6.6856933075807784E-2</c:v>
              </c:pt>
              <c:pt idx="28">
                <c:v>6.9151475639959617E-2</c:v>
              </c:pt>
              <c:pt idx="29">
                <c:v>6.6014920388053913E-2</c:v>
              </c:pt>
              <c:pt idx="30">
                <c:v>7.0672410059178875E-2</c:v>
              </c:pt>
              <c:pt idx="31">
                <c:v>5.1815473276084073E-2</c:v>
              </c:pt>
              <c:pt idx="32">
                <c:v>7.9629281453057324E-2</c:v>
              </c:pt>
              <c:pt idx="33">
                <c:v>8.1275727594681491E-2</c:v>
              </c:pt>
              <c:pt idx="34">
                <c:v>7.5633641277333963E-2</c:v>
              </c:pt>
              <c:pt idx="35">
                <c:v>6.5817931363196691E-2</c:v>
              </c:pt>
            </c:numLit>
          </c:val>
          <c:smooth val="1"/>
          <c:extLst>
            <c:ext xmlns:c16="http://schemas.microsoft.com/office/drawing/2014/chart" uri="{C3380CC4-5D6E-409C-BE32-E72D297353CC}">
              <c16:uniqueId val="{00000003-2349-4410-ABDD-5D296453A30E}"/>
            </c:ext>
          </c:extLst>
        </c:ser>
        <c:ser>
          <c:idx val="6"/>
          <c:order val="4"/>
          <c:tx>
            <c:v> rifiuti non rinnovabili</c:v>
          </c:tx>
          <c:spPr>
            <a:ln w="28575">
              <a:solidFill>
                <a:schemeClr val="accent3">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8.2516781511378855E-4</c:v>
              </c:pt>
              <c:pt idx="1">
                <c:v>1.0308478603993745E-3</c:v>
              </c:pt>
              <c:pt idx="2">
                <c:v>8.199600960603783E-4</c:v>
              </c:pt>
              <c:pt idx="3">
                <c:v>8.5799182908416526E-4</c:v>
              </c:pt>
              <c:pt idx="4">
                <c:v>1.0224162142931387E-3</c:v>
              </c:pt>
              <c:pt idx="5">
                <c:v>1.3563421714654202E-3</c:v>
              </c:pt>
              <c:pt idx="6">
                <c:v>1.6905283933725829E-3</c:v>
              </c:pt>
              <c:pt idx="7">
                <c:v>1.9017457224196398E-3</c:v>
              </c:pt>
              <c:pt idx="8">
                <c:v>2.7187082557249337E-3</c:v>
              </c:pt>
              <c:pt idx="9">
                <c:v>4.8890876411160087E-3</c:v>
              </c:pt>
              <c:pt idx="10">
                <c:v>3.2821140130357292E-3</c:v>
              </c:pt>
              <c:pt idx="11">
                <c:v>4.7175795671311757E-3</c:v>
              </c:pt>
              <c:pt idx="12">
                <c:v>4.3760586485254525E-3</c:v>
              </c:pt>
              <c:pt idx="13">
                <c:v>1.1842977254234954E-2</c:v>
              </c:pt>
              <c:pt idx="14">
                <c:v>1.4423366928292743E-2</c:v>
              </c:pt>
              <c:pt idx="15">
                <c:v>1.3485128353791306E-2</c:v>
              </c:pt>
              <c:pt idx="16">
                <c:v>1.4550903009954643E-2</c:v>
              </c:pt>
              <c:pt idx="17">
                <c:v>2.1210004181681084E-2</c:v>
              </c:pt>
              <c:pt idx="18">
                <c:v>1.9258593578619098E-2</c:v>
              </c:pt>
              <c:pt idx="19">
                <c:v>2.2549107986732462E-2</c:v>
              </c:pt>
              <c:pt idx="20">
                <c:v>3.1301895353603414E-2</c:v>
              </c:pt>
              <c:pt idx="21">
                <c:v>3.151912942028607E-2</c:v>
              </c:pt>
              <c:pt idx="22">
                <c:v>3.3477033028212679E-2</c:v>
              </c:pt>
              <c:pt idx="23">
                <c:v>3.842447134207827E-2</c:v>
              </c:pt>
              <c:pt idx="24">
                <c:v>4.2746104818509711E-2</c:v>
              </c:pt>
              <c:pt idx="25">
                <c:v>4.08326831821548E-2</c:v>
              </c:pt>
              <c:pt idx="26">
                <c:v>4.2983924640640943E-2</c:v>
              </c:pt>
              <c:pt idx="27">
                <c:v>4.1178835426518838E-2</c:v>
              </c:pt>
              <c:pt idx="28">
                <c:v>4.4867185306349963E-2</c:v>
              </c:pt>
              <c:pt idx="29">
                <c:v>4.8597432384425522E-2</c:v>
              </c:pt>
              <c:pt idx="30">
                <c:v>5.2828899758542124E-2</c:v>
              </c:pt>
              <c:pt idx="31">
                <c:v>4.8710930083806336E-2</c:v>
              </c:pt>
              <c:pt idx="32">
                <c:v>4.4633101220234388E-2</c:v>
              </c:pt>
              <c:pt idx="33">
                <c:v>5.9329022165163357E-2</c:v>
              </c:pt>
              <c:pt idx="34">
                <c:v>6.5490598891815813E-2</c:v>
              </c:pt>
              <c:pt idx="35">
                <c:v>6.6287367265499705E-2</c:v>
              </c:pt>
            </c:numLit>
          </c:val>
          <c:smooth val="1"/>
          <c:extLst>
            <c:ext xmlns:c16="http://schemas.microsoft.com/office/drawing/2014/chart" uri="{C3380CC4-5D6E-409C-BE32-E72D297353CC}">
              <c16:uniqueId val="{00000004-2349-4410-ABDD-5D296453A30E}"/>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8.7989968048784825E-2"/>
          <c:y val="0.91928560058395581"/>
          <c:w val="0.89999996620398803"/>
          <c:h val="6.363572631758038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77405877098391762"/>
        </c:manualLayout>
      </c:layout>
      <c:lineChart>
        <c:grouping val="standard"/>
        <c:varyColors val="0"/>
        <c:ser>
          <c:idx val="0"/>
          <c:order val="0"/>
          <c:tx>
            <c:v>Gas naturale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91.520813921277295</c:v>
              </c:pt>
              <c:pt idx="2">
                <c:v>89.339948122591863</c:v>
              </c:pt>
              <c:pt idx="3">
                <c:v>100.63965347906017</c:v>
              </c:pt>
              <c:pt idx="4">
                <c:v>102.75756125815307</c:v>
              </c:pt>
              <c:pt idx="5">
                <c:v>118.35604019239972</c:v>
              </c:pt>
              <c:pt idx="6">
                <c:v>126.39703845475836</c:v>
              </c:pt>
              <c:pt idx="7">
                <c:v>154.35543579541161</c:v>
              </c:pt>
              <c:pt idx="8">
                <c:v>178.50613211110831</c:v>
              </c:pt>
              <c:pt idx="9">
                <c:v>219.05109672870128</c:v>
              </c:pt>
              <c:pt idx="10">
                <c:v>255.25699463597675</c:v>
              </c:pt>
              <c:pt idx="11">
                <c:v>262.37754665189249</c:v>
              </c:pt>
              <c:pt idx="12">
                <c:v>250.35583872673701</c:v>
              </c:pt>
              <c:pt idx="13">
                <c:v>295.40154624896121</c:v>
              </c:pt>
              <c:pt idx="14">
                <c:v>326.80777657458003</c:v>
              </c:pt>
              <c:pt idx="15">
                <c:v>375.88103452617798</c:v>
              </c:pt>
              <c:pt idx="16">
                <c:v>398.09312750258124</c:v>
              </c:pt>
              <c:pt idx="17">
                <c:v>434.77775819083837</c:v>
              </c:pt>
              <c:pt idx="18">
                <c:v>434.90694804704225</c:v>
              </c:pt>
              <c:pt idx="19">
                <c:v>370.87335364778767</c:v>
              </c:pt>
              <c:pt idx="20">
                <c:v>384.64050970812661</c:v>
              </c:pt>
              <c:pt idx="21">
                <c:v>364.018232642474</c:v>
              </c:pt>
              <c:pt idx="22">
                <c:v>325.00969553501722</c:v>
              </c:pt>
              <c:pt idx="23">
                <c:v>274.18368631796318</c:v>
              </c:pt>
              <c:pt idx="24">
                <c:v>235.80875871968573</c:v>
              </c:pt>
              <c:pt idx="25">
                <c:v>279.18129391321867</c:v>
              </c:pt>
              <c:pt idx="26">
                <c:v>317.68138205444609</c:v>
              </c:pt>
              <c:pt idx="27">
                <c:v>353.40321909884409</c:v>
              </c:pt>
              <c:pt idx="28">
                <c:v>323.57287959376964</c:v>
              </c:pt>
              <c:pt idx="29">
                <c:v>356.81332223999595</c:v>
              </c:pt>
              <c:pt idx="30">
                <c:v>336.65613228897723</c:v>
              </c:pt>
              <c:pt idx="31">
                <c:v>362.63303071351584</c:v>
              </c:pt>
              <c:pt idx="32">
                <c:v>356.20466949532852</c:v>
              </c:pt>
              <c:pt idx="33">
                <c:v>299.64621678343195</c:v>
              </c:pt>
              <c:pt idx="34">
                <c:v>298.55636176218485</c:v>
              </c:pt>
              <c:pt idx="35">
                <c:v>319.47417462036321</c:v>
              </c:pt>
            </c:numLit>
          </c:val>
          <c:smooth val="1"/>
          <c:extLst>
            <c:ext xmlns:c16="http://schemas.microsoft.com/office/drawing/2014/chart" uri="{C3380CC4-5D6E-409C-BE32-E72D297353CC}">
              <c16:uniqueId val="{00000000-409D-4EC2-94CC-43558E6C29F7}"/>
            </c:ext>
          </c:extLst>
        </c:ser>
        <c:ser>
          <c:idx val="3"/>
          <c:order val="1"/>
          <c:tx>
            <c:v>Gas naturale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92.271516280409216</c:v>
              </c:pt>
              <c:pt idx="2">
                <c:v>89.086817058592032</c:v>
              </c:pt>
              <c:pt idx="3">
                <c:v>100.02632271479439</c:v>
              </c:pt>
              <c:pt idx="4">
                <c:v>99.830923593829695</c:v>
              </c:pt>
              <c:pt idx="5">
                <c:v>115.9476089556461</c:v>
              </c:pt>
              <c:pt idx="6">
                <c:v>121.85520826053803</c:v>
              </c:pt>
              <c:pt idx="7">
                <c:v>144.5527414867814</c:v>
              </c:pt>
              <c:pt idx="8">
                <c:v>168.99894088367029</c:v>
              </c:pt>
              <c:pt idx="9">
                <c:v>205.40868220879577</c:v>
              </c:pt>
              <c:pt idx="10">
                <c:v>231.94077978814431</c:v>
              </c:pt>
              <c:pt idx="11">
                <c:v>225.91096550360751</c:v>
              </c:pt>
              <c:pt idx="12">
                <c:v>230.08025304034982</c:v>
              </c:pt>
              <c:pt idx="13">
                <c:v>236.1992312328926</c:v>
              </c:pt>
              <c:pt idx="14">
                <c:v>312.50136947989694</c:v>
              </c:pt>
              <c:pt idx="15">
                <c:v>353.30939460915323</c:v>
              </c:pt>
              <c:pt idx="16">
                <c:v>364.13921620027077</c:v>
              </c:pt>
              <c:pt idx="17">
                <c:v>395.12850036831401</c:v>
              </c:pt>
              <c:pt idx="18">
                <c:v>399.55607298488252</c:v>
              </c:pt>
              <c:pt idx="19">
                <c:v>340.60553974813143</c:v>
              </c:pt>
              <c:pt idx="20">
                <c:v>352.96303267540486</c:v>
              </c:pt>
              <c:pt idx="21">
                <c:v>328.32227511167684</c:v>
              </c:pt>
              <c:pt idx="22">
                <c:v>295.76994596921156</c:v>
              </c:pt>
              <c:pt idx="23">
                <c:v>239.86337170485021</c:v>
              </c:pt>
              <c:pt idx="24">
                <c:v>208.32414879030932</c:v>
              </c:pt>
              <c:pt idx="25">
                <c:v>240.78309082741848</c:v>
              </c:pt>
              <c:pt idx="26">
                <c:v>276.08895543113857</c:v>
              </c:pt>
              <c:pt idx="27">
                <c:v>307.50147840873194</c:v>
              </c:pt>
              <c:pt idx="28">
                <c:v>280.55389804164889</c:v>
              </c:pt>
              <c:pt idx="29">
                <c:v>309.37430537807131</c:v>
              </c:pt>
              <c:pt idx="30">
                <c:v>293.63666570455905</c:v>
              </c:pt>
              <c:pt idx="31">
                <c:v>317.10438299817923</c:v>
              </c:pt>
              <c:pt idx="32">
                <c:v>308.9544613039381</c:v>
              </c:pt>
              <c:pt idx="33">
                <c:v>261.50804576644083</c:v>
              </c:pt>
              <c:pt idx="34">
                <c:v>259.62481736532214</c:v>
              </c:pt>
              <c:pt idx="35">
                <c:v>277.81496180214509</c:v>
              </c:pt>
            </c:numLit>
          </c:val>
          <c:smooth val="1"/>
          <c:extLst>
            <c:ext xmlns:c16="http://schemas.microsoft.com/office/drawing/2014/chart" uri="{C3380CC4-5D6E-409C-BE32-E72D297353CC}">
              <c16:uniqueId val="{00000001-409D-4EC2-94CC-43558E6C29F7}"/>
            </c:ext>
          </c:extLst>
        </c:ser>
        <c:dLbls>
          <c:showLegendKey val="0"/>
          <c:showVal val="0"/>
          <c:showCatName val="0"/>
          <c:showSerName val="0"/>
          <c:showPercent val="0"/>
          <c:showBubbleSize val="0"/>
        </c:dLbls>
        <c:smooth val="0"/>
        <c:axId val="165343232"/>
        <c:axId val="165344768"/>
      </c:lineChart>
      <c:catAx>
        <c:axId val="16534323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344768"/>
        <c:crosses val="autoZero"/>
        <c:auto val="1"/>
        <c:lblAlgn val="ctr"/>
        <c:lblOffset val="100"/>
        <c:tickLblSkip val="1"/>
        <c:noMultiLvlLbl val="0"/>
      </c:catAx>
      <c:valAx>
        <c:axId val="165344768"/>
        <c:scaling>
          <c:orientation val="minMax"/>
          <c:max val="45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43232"/>
        <c:crosses val="autoZero"/>
        <c:crossBetween val="between"/>
      </c:valAx>
    </c:plotArea>
    <c:legend>
      <c:legendPos val="b"/>
      <c:layout>
        <c:manualLayout>
          <c:xMode val="edge"/>
          <c:yMode val="edge"/>
          <c:x val="0.23973467794585007"/>
          <c:y val="0.65375590082186874"/>
          <c:w val="0.43230373712521797"/>
          <c:h val="0.1214486201843060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07942398202194"/>
          <c:y val="5.1400554097404488E-2"/>
          <c:w val="0.83036881803776441"/>
          <c:h val="0.79663477966551843"/>
        </c:manualLayout>
      </c:layout>
      <c:lineChart>
        <c:grouping val="standard"/>
        <c:varyColors val="0"/>
        <c:ser>
          <c:idx val="0"/>
          <c:order val="0"/>
          <c:tx>
            <c:v>Prodotti petroliferi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101.52649461151296</c:v>
              </c:pt>
              <c:pt idx="2">
                <c:v>112.94891889523846</c:v>
              </c:pt>
              <c:pt idx="3">
                <c:v>110.90353293937831</c:v>
              </c:pt>
              <c:pt idx="4">
                <c:v>113.23318957544369</c:v>
              </c:pt>
              <c:pt idx="5">
                <c:v>117.60239098900884</c:v>
              </c:pt>
              <c:pt idx="6">
                <c:v>113.98864864338634</c:v>
              </c:pt>
              <c:pt idx="7">
                <c:v>110.31260039525309</c:v>
              </c:pt>
              <c:pt idx="8">
                <c:v>104.46460732678473</c:v>
              </c:pt>
              <c:pt idx="9">
                <c:v>88.960172898879463</c:v>
              </c:pt>
              <c:pt idx="10">
                <c:v>83.604785872136617</c:v>
              </c:pt>
              <c:pt idx="11">
                <c:v>73.022712448524629</c:v>
              </c:pt>
              <c:pt idx="12">
                <c:v>85.442420584312543</c:v>
              </c:pt>
              <c:pt idx="13">
                <c:v>73.974629815321407</c:v>
              </c:pt>
              <c:pt idx="14">
                <c:v>57.332236489841215</c:v>
              </c:pt>
              <c:pt idx="15">
                <c:v>45.875933371625507</c:v>
              </c:pt>
              <c:pt idx="16">
                <c:v>44.663110038065014</c:v>
              </c:pt>
              <c:pt idx="17">
                <c:v>34.470935270008468</c:v>
              </c:pt>
              <c:pt idx="18">
                <c:v>30.625882261314853</c:v>
              </c:pt>
              <c:pt idx="19">
                <c:v>25.332022313301334</c:v>
              </c:pt>
              <c:pt idx="20">
                <c:v>21.140879486755125</c:v>
              </c:pt>
              <c:pt idx="21">
                <c:v>19.358735969002812</c:v>
              </c:pt>
              <c:pt idx="22">
                <c:v>18.388613596316166</c:v>
              </c:pt>
              <c:pt idx="23">
                <c:v>15.071895170319022</c:v>
              </c:pt>
              <c:pt idx="24">
                <c:v>13.789269755351979</c:v>
              </c:pt>
              <c:pt idx="25">
                <c:v>13.03147421606519</c:v>
              </c:pt>
              <c:pt idx="26">
                <c:v>11.808623526319376</c:v>
              </c:pt>
              <c:pt idx="27">
                <c:v>11.221579699140371</c:v>
              </c:pt>
              <c:pt idx="28">
                <c:v>10.737185474605477</c:v>
              </c:pt>
              <c:pt idx="29">
                <c:v>9.8843596395895581</c:v>
              </c:pt>
              <c:pt idx="30">
                <c:v>9.7774107493355675</c:v>
              </c:pt>
              <c:pt idx="31">
                <c:v>7.542991542207381</c:v>
              </c:pt>
              <c:pt idx="32">
                <c:v>12.521478294872418</c:v>
              </c:pt>
              <c:pt idx="33">
                <c:v>9.921713253513337</c:v>
              </c:pt>
              <c:pt idx="34">
                <c:v>8.3489211521264046</c:v>
              </c:pt>
              <c:pt idx="35">
                <c:v>7.5540971968355786</c:v>
              </c:pt>
            </c:numLit>
          </c:val>
          <c:smooth val="1"/>
          <c:extLst>
            <c:ext xmlns:c16="http://schemas.microsoft.com/office/drawing/2014/chart" uri="{C3380CC4-5D6E-409C-BE32-E72D297353CC}">
              <c16:uniqueId val="{00000000-24C1-4FB2-A084-1A5178518936}"/>
            </c:ext>
          </c:extLst>
        </c:ser>
        <c:ser>
          <c:idx val="3"/>
          <c:order val="1"/>
          <c:tx>
            <c:v>Prodotti petroliferi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101.42191569276677</c:v>
              </c:pt>
              <c:pt idx="2">
                <c:v>111.84984273642978</c:v>
              </c:pt>
              <c:pt idx="3">
                <c:v>109.50604843107234</c:v>
              </c:pt>
              <c:pt idx="4">
                <c:v>111.59693412379545</c:v>
              </c:pt>
              <c:pt idx="5">
                <c:v>115.96679363488536</c:v>
              </c:pt>
              <c:pt idx="6">
                <c:v>112.6862420691088</c:v>
              </c:pt>
              <c:pt idx="7">
                <c:v>109.2112823745413</c:v>
              </c:pt>
              <c:pt idx="8">
                <c:v>103.17913739178306</c:v>
              </c:pt>
              <c:pt idx="9">
                <c:v>88.79985263670541</c:v>
              </c:pt>
              <c:pt idx="10">
                <c:v>86.776786844176428</c:v>
              </c:pt>
              <c:pt idx="11">
                <c:v>76.42313242516606</c:v>
              </c:pt>
              <c:pt idx="12">
                <c:v>84.127325329110576</c:v>
              </c:pt>
              <c:pt idx="13">
                <c:v>73.507040822719361</c:v>
              </c:pt>
              <c:pt idx="14">
                <c:v>63.774665622585239</c:v>
              </c:pt>
              <c:pt idx="15">
                <c:v>50.580696014916839</c:v>
              </c:pt>
              <c:pt idx="16">
                <c:v>51.407702782220085</c:v>
              </c:pt>
              <c:pt idx="17">
                <c:v>40.102840444583101</c:v>
              </c:pt>
              <c:pt idx="18">
                <c:v>34.885665690977405</c:v>
              </c:pt>
              <c:pt idx="19">
                <c:v>27.49877073371777</c:v>
              </c:pt>
              <c:pt idx="20">
                <c:v>23.859745321709052</c:v>
              </c:pt>
              <c:pt idx="21">
                <c:v>19.640578814552981</c:v>
              </c:pt>
              <c:pt idx="22">
                <c:v>19.152701460672006</c:v>
              </c:pt>
              <c:pt idx="23">
                <c:v>13.909826284233823</c:v>
              </c:pt>
              <c:pt idx="24">
                <c:v>13.142645532156649</c:v>
              </c:pt>
              <c:pt idx="25">
                <c:v>11.955087055298758</c:v>
              </c:pt>
              <c:pt idx="26">
                <c:v>10.560999077785008</c:v>
              </c:pt>
              <c:pt idx="27">
                <c:v>10.024272496790495</c:v>
              </c:pt>
              <c:pt idx="28">
                <c:v>9.5248762877336866</c:v>
              </c:pt>
              <c:pt idx="29">
                <c:v>8.6399736107679974</c:v>
              </c:pt>
              <c:pt idx="30">
                <c:v>8.2544139641412517</c:v>
              </c:pt>
              <c:pt idx="31">
                <c:v>6.4208049896691755</c:v>
              </c:pt>
              <c:pt idx="32">
                <c:v>10.972810628652063</c:v>
              </c:pt>
              <c:pt idx="33">
                <c:v>8.7168064500105142</c:v>
              </c:pt>
              <c:pt idx="34">
                <c:v>6.7789696496216783</c:v>
              </c:pt>
              <c:pt idx="35">
                <c:v>6.1336063300343957</c:v>
              </c:pt>
            </c:numLit>
          </c:val>
          <c:smooth val="1"/>
          <c:extLst>
            <c:ext xmlns:c16="http://schemas.microsoft.com/office/drawing/2014/chart" uri="{C3380CC4-5D6E-409C-BE32-E72D297353CC}">
              <c16:uniqueId val="{00000001-24C1-4FB2-A084-1A5178518936}"/>
            </c:ext>
          </c:extLst>
        </c:ser>
        <c:dLbls>
          <c:showLegendKey val="0"/>
          <c:showVal val="0"/>
          <c:showCatName val="0"/>
          <c:showSerName val="0"/>
          <c:showPercent val="0"/>
          <c:showBubbleSize val="0"/>
        </c:dLbls>
        <c:smooth val="0"/>
        <c:axId val="165640448"/>
        <c:axId val="165650432"/>
      </c:lineChart>
      <c:catAx>
        <c:axId val="16564044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50432"/>
        <c:crosses val="autoZero"/>
        <c:auto val="1"/>
        <c:lblAlgn val="ctr"/>
        <c:lblOffset val="100"/>
        <c:tickLblSkip val="1"/>
        <c:noMultiLvlLbl val="0"/>
      </c:catAx>
      <c:valAx>
        <c:axId val="165650432"/>
        <c:scaling>
          <c:orientation val="minMax"/>
          <c:max val="12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40448"/>
        <c:crosses val="autoZero"/>
        <c:crossBetween val="between"/>
      </c:valAx>
    </c:plotArea>
    <c:legend>
      <c:legendPos val="b"/>
      <c:layout>
        <c:manualLayout>
          <c:xMode val="edge"/>
          <c:yMode val="edge"/>
          <c:x val="0.11658898898366446"/>
          <c:y val="0.64413072459374476"/>
          <c:w val="0.51743589541919277"/>
          <c:h val="0.1255615853135177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80120996580806358"/>
        </c:manualLayout>
      </c:layout>
      <c:lineChart>
        <c:grouping val="standard"/>
        <c:varyColors val="0"/>
        <c:ser>
          <c:idx val="0"/>
          <c:order val="0"/>
          <c:tx>
            <c:v>Totale combustibili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97.042508679533128</c:v>
              </c:pt>
              <c:pt idx="2">
                <c:v>99.273667502369705</c:v>
              </c:pt>
              <c:pt idx="3">
                <c:v>97.950003645684347</c:v>
              </c:pt>
              <c:pt idx="4">
                <c:v>101.32029860959209</c:v>
              </c:pt>
              <c:pt idx="5">
                <c:v>110.00095348667642</c:v>
              </c:pt>
              <c:pt idx="6">
                <c:v>108.55838423269562</c:v>
              </c:pt>
              <c:pt idx="7">
                <c:v>112.67015530615336</c:v>
              </c:pt>
              <c:pt idx="8">
                <c:v>116.64731649588037</c:v>
              </c:pt>
              <c:pt idx="9">
                <c:v>117.26035234137066</c:v>
              </c:pt>
              <c:pt idx="10">
                <c:v>123.64804002400543</c:v>
              </c:pt>
              <c:pt idx="11">
                <c:v>123.04409034566697</c:v>
              </c:pt>
              <c:pt idx="12">
                <c:v>130.08194376672105</c:v>
              </c:pt>
              <c:pt idx="13">
                <c:v>136.17191925650474</c:v>
              </c:pt>
              <c:pt idx="14">
                <c:v>138.04669841216423</c:v>
              </c:pt>
              <c:pt idx="15">
                <c:v>141.94180366026708</c:v>
              </c:pt>
              <c:pt idx="16">
                <c:v>147.0413308430505</c:v>
              </c:pt>
              <c:pt idx="17">
                <c:v>149.06042301155964</c:v>
              </c:pt>
              <c:pt idx="18">
                <c:v>146.57221539824897</c:v>
              </c:pt>
              <c:pt idx="19">
                <c:v>127.1159832410695</c:v>
              </c:pt>
              <c:pt idx="20">
                <c:v>129.70099779576313</c:v>
              </c:pt>
              <c:pt idx="21">
                <c:v>128.16958601852008</c:v>
              </c:pt>
              <c:pt idx="22">
                <c:v>122.02486917601925</c:v>
              </c:pt>
              <c:pt idx="23">
                <c:v>108.24188274357378</c:v>
              </c:pt>
              <c:pt idx="24">
                <c:v>98.809712103111181</c:v>
              </c:pt>
              <c:pt idx="25">
                <c:v>107.71791377115198</c:v>
              </c:pt>
              <c:pt idx="26">
                <c:v>111.85498028526078</c:v>
              </c:pt>
              <c:pt idx="27">
                <c:v>117.49451362195937</c:v>
              </c:pt>
              <c:pt idx="28">
                <c:v>108.09735644530072</c:v>
              </c:pt>
              <c:pt idx="29">
                <c:v>109.7821491575889</c:v>
              </c:pt>
              <c:pt idx="30">
                <c:v>101.69024340399228</c:v>
              </c:pt>
              <c:pt idx="31">
                <c:v>106.40412470225975</c:v>
              </c:pt>
              <c:pt idx="32">
                <c:v>111.73166201972597</c:v>
              </c:pt>
              <c:pt idx="33">
                <c:v>91.191311283358857</c:v>
              </c:pt>
              <c:pt idx="34">
                <c:v>85.297922021398421</c:v>
              </c:pt>
              <c:pt idx="35">
                <c:v>89.711284564729823</c:v>
              </c:pt>
            </c:numLit>
          </c:val>
          <c:smooth val="1"/>
          <c:extLst>
            <c:ext xmlns:c16="http://schemas.microsoft.com/office/drawing/2014/chart" uri="{C3380CC4-5D6E-409C-BE32-E72D297353CC}">
              <c16:uniqueId val="{00000000-6ADC-4939-A078-8F71A9DEE6F2}"/>
            </c:ext>
          </c:extLst>
        </c:ser>
        <c:ser>
          <c:idx val="3"/>
          <c:order val="1"/>
          <c:tx>
            <c:v>Totale combustibili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96.870227027184313</c:v>
              </c:pt>
              <c:pt idx="2">
                <c:v>96.404414548350573</c:v>
              </c:pt>
              <c:pt idx="3">
                <c:v>92.704530802649955</c:v>
              </c:pt>
              <c:pt idx="4">
                <c:v>95.840817708166782</c:v>
              </c:pt>
              <c:pt idx="5">
                <c:v>104.57684892601048</c:v>
              </c:pt>
              <c:pt idx="6">
                <c:v>101.90053153323537</c:v>
              </c:pt>
              <c:pt idx="7">
                <c:v>103.13726341159483</c:v>
              </c:pt>
              <c:pt idx="8">
                <c:v>106.7100028246345</c:v>
              </c:pt>
              <c:pt idx="9">
                <c:v>103.5520853221195</c:v>
              </c:pt>
              <c:pt idx="10">
                <c:v>107.21552985872846</c:v>
              </c:pt>
              <c:pt idx="11">
                <c:v>106.30495304404144</c:v>
              </c:pt>
              <c:pt idx="12">
                <c:v>114.64118562398762</c:v>
              </c:pt>
              <c:pt idx="13">
                <c:v>113.05328906811773</c:v>
              </c:pt>
              <c:pt idx="14">
                <c:v>128.55653099593081</c:v>
              </c:pt>
              <c:pt idx="15">
                <c:v>126.50236941262972</c:v>
              </c:pt>
              <c:pt idx="16">
                <c:v>128.86813653501954</c:v>
              </c:pt>
              <c:pt idx="17">
                <c:v>127.53447624342913</c:v>
              </c:pt>
              <c:pt idx="18">
                <c:v>123.99626256496089</c:v>
              </c:pt>
              <c:pt idx="19">
                <c:v>104.66949079663466</c:v>
              </c:pt>
              <c:pt idx="20">
                <c:v>106.37078138207411</c:v>
              </c:pt>
              <c:pt idx="21">
                <c:v>104.50853484411951</c:v>
              </c:pt>
              <c:pt idx="22">
                <c:v>101.19488180124358</c:v>
              </c:pt>
              <c:pt idx="23">
                <c:v>85.770168865843914</c:v>
              </c:pt>
              <c:pt idx="24">
                <c:v>79.530884628003932</c:v>
              </c:pt>
              <c:pt idx="25">
                <c:v>82.633324804000324</c:v>
              </c:pt>
              <c:pt idx="26">
                <c:v>82.034886305828067</c:v>
              </c:pt>
              <c:pt idx="27">
                <c:v>82.422359500552659</c:v>
              </c:pt>
              <c:pt idx="28">
                <c:v>75.717544406418895</c:v>
              </c:pt>
              <c:pt idx="29">
                <c:v>71.946379057374656</c:v>
              </c:pt>
              <c:pt idx="30">
                <c:v>64.205905138321654</c:v>
              </c:pt>
              <c:pt idx="31">
                <c:v>68.11905899696059</c:v>
              </c:pt>
              <c:pt idx="32">
                <c:v>75.750188283261849</c:v>
              </c:pt>
              <c:pt idx="33">
                <c:v>58.956971447980585</c:v>
              </c:pt>
              <c:pt idx="34">
                <c:v>49.270538564822616</c:v>
              </c:pt>
              <c:pt idx="35">
                <c:v>51.228341902392685</c:v>
              </c:pt>
            </c:numLit>
          </c:val>
          <c:smooth val="1"/>
          <c:extLst>
            <c:ext xmlns:c16="http://schemas.microsoft.com/office/drawing/2014/chart" uri="{C3380CC4-5D6E-409C-BE32-E72D297353CC}">
              <c16:uniqueId val="{00000001-6ADC-4939-A078-8F71A9DEE6F2}"/>
            </c:ext>
          </c:extLst>
        </c:ser>
        <c:dLbls>
          <c:showLegendKey val="0"/>
          <c:showVal val="0"/>
          <c:showCatName val="0"/>
          <c:showSerName val="0"/>
          <c:showPercent val="0"/>
          <c:showBubbleSize val="0"/>
        </c:dLbls>
        <c:smooth val="0"/>
        <c:axId val="165664256"/>
        <c:axId val="165668352"/>
      </c:lineChart>
      <c:catAx>
        <c:axId val="16566425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68352"/>
        <c:crosses val="autoZero"/>
        <c:auto val="1"/>
        <c:lblAlgn val="ctr"/>
        <c:lblOffset val="100"/>
        <c:tickLblSkip val="1"/>
        <c:noMultiLvlLbl val="0"/>
      </c:catAx>
      <c:valAx>
        <c:axId val="165668352"/>
        <c:scaling>
          <c:orientation val="minMax"/>
          <c:max val="16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64256"/>
        <c:crosses val="autoZero"/>
        <c:crossBetween val="between"/>
      </c:valAx>
    </c:plotArea>
    <c:legend>
      <c:legendPos val="b"/>
      <c:layout>
        <c:manualLayout>
          <c:xMode val="edge"/>
          <c:yMode val="edge"/>
          <c:x val="0.14158326024249776"/>
          <c:y val="0.45295933527386689"/>
          <c:w val="0.55050677427293426"/>
          <c:h val="0.1154511808717416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5783981273392"/>
          <c:y val="5.1400554097404488E-2"/>
          <c:w val="0.82759040889102797"/>
          <c:h val="0.77772649207863198"/>
        </c:manualLayout>
      </c:layout>
      <c:lineChart>
        <c:grouping val="standard"/>
        <c:varyColors val="0"/>
        <c:ser>
          <c:idx val="0"/>
          <c:order val="0"/>
          <c:tx>
            <c:v>Solidi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88.953724217555475</c:v>
              </c:pt>
              <c:pt idx="2">
                <c:v>66.633382219864572</c:v>
              </c:pt>
              <c:pt idx="3">
                <c:v>51.983024932130938</c:v>
              </c:pt>
              <c:pt idx="4">
                <c:v>61.958997722095674</c:v>
              </c:pt>
              <c:pt idx="5">
                <c:v>75.270696165007649</c:v>
              </c:pt>
              <c:pt idx="6">
                <c:v>68.898804880332023</c:v>
              </c:pt>
              <c:pt idx="7">
                <c:v>64.024713701750557</c:v>
              </c:pt>
              <c:pt idx="8">
                <c:v>72.740038069086026</c:v>
              </c:pt>
              <c:pt idx="9">
                <c:v>74.303366929821834</c:v>
              </c:pt>
              <c:pt idx="10">
                <c:v>81.979592473554476</c:v>
              </c:pt>
              <c:pt idx="11">
                <c:v>99.010827846600307</c:v>
              </c:pt>
              <c:pt idx="12">
                <c:v>110.60941741816708</c:v>
              </c:pt>
              <c:pt idx="13">
                <c:v>121.11274066215248</c:v>
              </c:pt>
              <c:pt idx="14">
                <c:v>142.03513589415547</c:v>
              </c:pt>
              <c:pt idx="15">
                <c:v>136.06983492994667</c:v>
              </c:pt>
              <c:pt idx="16">
                <c:v>137.94551752114083</c:v>
              </c:pt>
              <c:pt idx="17">
                <c:v>137.64845383343217</c:v>
              </c:pt>
              <c:pt idx="18">
                <c:v>134.40821293724844</c:v>
              </c:pt>
              <c:pt idx="19">
                <c:v>124.02159328486289</c:v>
              </c:pt>
              <c:pt idx="20">
                <c:v>123.98664461572069</c:v>
              </c:pt>
              <c:pt idx="21">
                <c:v>139.5637657191001</c:v>
              </c:pt>
              <c:pt idx="22">
                <c:v>153.34165444503387</c:v>
              </c:pt>
              <c:pt idx="23">
                <c:v>140.74453146940434</c:v>
              </c:pt>
              <c:pt idx="24">
                <c:v>135.59677972977192</c:v>
              </c:pt>
              <c:pt idx="25">
                <c:v>134.80606609042971</c:v>
              </c:pt>
              <c:pt idx="26">
                <c:v>111.11086841201984</c:v>
              </c:pt>
              <c:pt idx="27">
                <c:v>101.81117153593162</c:v>
              </c:pt>
              <c:pt idx="28">
                <c:v>88.837855961868513</c:v>
              </c:pt>
              <c:pt idx="29">
                <c:v>58.786934712952863</c:v>
              </c:pt>
              <c:pt idx="30">
                <c:v>41.74957684457204</c:v>
              </c:pt>
              <c:pt idx="31">
                <c:v>43.754232051393274</c:v>
              </c:pt>
              <c:pt idx="32">
                <c:v>70.542179499734786</c:v>
              </c:pt>
              <c:pt idx="33">
                <c:v>41.251552768274102</c:v>
              </c:pt>
              <c:pt idx="34">
                <c:v>12.320758583815055</c:v>
              </c:pt>
              <c:pt idx="35">
                <c:v>10.476704648717137</c:v>
              </c:pt>
            </c:numLit>
          </c:val>
          <c:smooth val="1"/>
          <c:extLst>
            <c:ext xmlns:c16="http://schemas.microsoft.com/office/drawing/2014/chart" uri="{C3380CC4-5D6E-409C-BE32-E72D297353CC}">
              <c16:uniqueId val="{00000000-4FD2-4ECC-993D-A6D7ACA510E1}"/>
            </c:ext>
          </c:extLst>
        </c:ser>
        <c:ser>
          <c:idx val="3"/>
          <c:order val="1"/>
          <c:tx>
            <c:v>Solidi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89.371893216178506</c:v>
              </c:pt>
              <c:pt idx="2">
                <c:v>67.039934573372193</c:v>
              </c:pt>
              <c:pt idx="3">
                <c:v>51.598898728103634</c:v>
              </c:pt>
              <c:pt idx="4">
                <c:v>61.554172756202398</c:v>
              </c:pt>
              <c:pt idx="5">
                <c:v>74.075584192411014</c:v>
              </c:pt>
              <c:pt idx="6">
                <c:v>67.886847555751956</c:v>
              </c:pt>
              <c:pt idx="7">
                <c:v>63.308621184926338</c:v>
              </c:pt>
              <c:pt idx="8">
                <c:v>72.212939951193931</c:v>
              </c:pt>
              <c:pt idx="9">
                <c:v>72.890807056858961</c:v>
              </c:pt>
              <c:pt idx="10">
                <c:v>79.626146915343597</c:v>
              </c:pt>
              <c:pt idx="11">
                <c:v>100.23437814308289</c:v>
              </c:pt>
              <c:pt idx="12">
                <c:v>114.39391886088023</c:v>
              </c:pt>
              <c:pt idx="13">
                <c:v>125.50645260604976</c:v>
              </c:pt>
              <c:pt idx="14">
                <c:v>151.11540846194498</c:v>
              </c:pt>
              <c:pt idx="15">
                <c:v>143.73053644931525</c:v>
              </c:pt>
              <c:pt idx="16">
                <c:v>142.33979954062909</c:v>
              </c:pt>
              <c:pt idx="17">
                <c:v>145.67301386585584</c:v>
              </c:pt>
              <c:pt idx="18">
                <c:v>144.27882745693253</c:v>
              </c:pt>
              <c:pt idx="19">
                <c:v>129.65622705423482</c:v>
              </c:pt>
              <c:pt idx="20">
                <c:v>126.64111094903599</c:v>
              </c:pt>
              <c:pt idx="21">
                <c:v>140.02204427311784</c:v>
              </c:pt>
              <c:pt idx="22">
                <c:v>151.86568516738993</c:v>
              </c:pt>
              <c:pt idx="23">
                <c:v>141.84648681768516</c:v>
              </c:pt>
              <c:pt idx="24">
                <c:v>136.46860020345099</c:v>
              </c:pt>
              <c:pt idx="25">
                <c:v>139.28579275920939</c:v>
              </c:pt>
              <c:pt idx="26">
                <c:v>114.24880706929395</c:v>
              </c:pt>
              <c:pt idx="27">
                <c:v>101.71813236519796</c:v>
              </c:pt>
              <c:pt idx="28">
                <c:v>90.227287460883161</c:v>
              </c:pt>
              <c:pt idx="29">
                <c:v>61.355008736956442</c:v>
              </c:pt>
              <c:pt idx="30">
                <c:v>44.450944505265319</c:v>
              </c:pt>
              <c:pt idx="31">
                <c:v>46.966729451754702</c:v>
              </c:pt>
              <c:pt idx="32">
                <c:v>75.522236320301602</c:v>
              </c:pt>
              <c:pt idx="33">
                <c:v>43.444143712907781</c:v>
              </c:pt>
              <c:pt idx="34">
                <c:v>12.201589353512519</c:v>
              </c:pt>
              <c:pt idx="35">
                <c:v>10.375371535126659</c:v>
              </c:pt>
            </c:numLit>
          </c:val>
          <c:smooth val="1"/>
          <c:extLst>
            <c:ext xmlns:c16="http://schemas.microsoft.com/office/drawing/2014/chart" uri="{C3380CC4-5D6E-409C-BE32-E72D297353CC}">
              <c16:uniqueId val="{00000001-4FD2-4ECC-993D-A6D7ACA510E1}"/>
            </c:ext>
          </c:extLst>
        </c:ser>
        <c:dLbls>
          <c:showLegendKey val="0"/>
          <c:showVal val="0"/>
          <c:showCatName val="0"/>
          <c:showSerName val="0"/>
          <c:showPercent val="0"/>
          <c:showBubbleSize val="0"/>
        </c:dLbls>
        <c:smooth val="0"/>
        <c:axId val="165354496"/>
        <c:axId val="165489664"/>
      </c:lineChart>
      <c:catAx>
        <c:axId val="16535449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489664"/>
        <c:crosses val="autoZero"/>
        <c:auto val="1"/>
        <c:lblAlgn val="ctr"/>
        <c:lblOffset val="100"/>
        <c:tickLblSkip val="1"/>
        <c:noMultiLvlLbl val="0"/>
      </c:catAx>
      <c:valAx>
        <c:axId val="165489664"/>
        <c:scaling>
          <c:orientation val="minMax"/>
          <c:max val="16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54496"/>
        <c:crosses val="autoZero"/>
        <c:crossBetween val="between"/>
      </c:valAx>
    </c:plotArea>
    <c:legend>
      <c:legendPos val="b"/>
      <c:layout>
        <c:manualLayout>
          <c:xMode val="edge"/>
          <c:yMode val="edge"/>
          <c:x val="0.13634960250542039"/>
          <c:y val="0.6406967264751332"/>
          <c:w val="0.37154621746468236"/>
          <c:h val="0.11301440284662895"/>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28607057691"/>
          <c:y val="5.1400554097404488E-2"/>
          <c:w val="0.82481196263320977"/>
          <c:h val="0.79633717268509507"/>
        </c:manualLayout>
      </c:layout>
      <c:lineChart>
        <c:grouping val="standard"/>
        <c:varyColors val="0"/>
        <c:ser>
          <c:idx val="0"/>
          <c:order val="0"/>
          <c:tx>
            <c:v>Gas derivati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98.681022880215338</c:v>
              </c:pt>
              <c:pt idx="2">
                <c:v>98.277254374158815</c:v>
              </c:pt>
              <c:pt idx="3">
                <c:v>95.181695827725434</c:v>
              </c:pt>
              <c:pt idx="4">
                <c:v>83.12247644683714</c:v>
              </c:pt>
              <c:pt idx="5">
                <c:v>92.759084791386272</c:v>
              </c:pt>
              <c:pt idx="6">
                <c:v>87.294751009421262</c:v>
              </c:pt>
              <c:pt idx="7">
                <c:v>114.42799461641992</c:v>
              </c:pt>
              <c:pt idx="8">
                <c:v>121.56123822341857</c:v>
              </c:pt>
              <c:pt idx="9">
                <c:v>118.78869448183042</c:v>
              </c:pt>
              <c:pt idx="10">
                <c:v>114.4549125168237</c:v>
              </c:pt>
              <c:pt idx="11">
                <c:v>135.8008075370121</c:v>
              </c:pt>
              <c:pt idx="12">
                <c:v>135.15477792732167</c:v>
              </c:pt>
              <c:pt idx="13">
                <c:v>142.77254374158815</c:v>
              </c:pt>
              <c:pt idx="14">
                <c:v>144.25302826379541</c:v>
              </c:pt>
              <c:pt idx="15">
                <c:v>156.47913862718707</c:v>
              </c:pt>
              <c:pt idx="16">
                <c:v>167.67429340511441</c:v>
              </c:pt>
              <c:pt idx="17">
                <c:v>151.36204576043068</c:v>
              </c:pt>
              <c:pt idx="18">
                <c:v>148.4979811574697</c:v>
              </c:pt>
              <c:pt idx="19">
                <c:v>98.807537012113045</c:v>
              </c:pt>
              <c:pt idx="20">
                <c:v>126.49798115746971</c:v>
              </c:pt>
              <c:pt idx="21">
                <c:v>145.71736204576041</c:v>
              </c:pt>
              <c:pt idx="22">
                <c:v>133.7765814266487</c:v>
              </c:pt>
              <c:pt idx="23">
                <c:v>91.251682368775235</c:v>
              </c:pt>
              <c:pt idx="24">
                <c:v>82.627187079407818</c:v>
              </c:pt>
              <c:pt idx="25">
                <c:v>58.87752355316286</c:v>
              </c:pt>
              <c:pt idx="26">
                <c:v>75.283983849259755</c:v>
              </c:pt>
              <c:pt idx="27">
                <c:v>66.453679812920583</c:v>
              </c:pt>
              <c:pt idx="28">
                <c:v>66.912373226917893</c:v>
              </c:pt>
              <c:pt idx="29">
                <c:v>64.962312903364733</c:v>
              </c:pt>
              <c:pt idx="30">
                <c:v>44.777501374966356</c:v>
              </c:pt>
              <c:pt idx="31">
                <c:v>51.523210994347245</c:v>
              </c:pt>
              <c:pt idx="32">
                <c:v>42.78285408209959</c:v>
              </c:pt>
              <c:pt idx="33">
                <c:v>31.131586347864467</c:v>
              </c:pt>
              <c:pt idx="34">
                <c:v>21.967939846414204</c:v>
              </c:pt>
              <c:pt idx="35">
                <c:v>19.621054955520634</c:v>
              </c:pt>
            </c:numLit>
          </c:val>
          <c:smooth val="1"/>
          <c:extLst>
            <c:ext xmlns:c16="http://schemas.microsoft.com/office/drawing/2014/chart" uri="{C3380CC4-5D6E-409C-BE32-E72D297353CC}">
              <c16:uniqueId val="{00000000-80AB-49EC-8B5A-F89AA7D17D66}"/>
            </c:ext>
          </c:extLst>
        </c:ser>
        <c:ser>
          <c:idx val="3"/>
          <c:order val="1"/>
          <c:tx>
            <c:v>Gas derivati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96.64336505500593</c:v>
              </c:pt>
              <c:pt idx="2">
                <c:v>92.143068757273809</c:v>
              </c:pt>
              <c:pt idx="3">
                <c:v>87.572291785051419</c:v>
              </c:pt>
              <c:pt idx="4">
                <c:v>80.101311274706205</c:v>
              </c:pt>
              <c:pt idx="5">
                <c:v>94.884899553688641</c:v>
              </c:pt>
              <c:pt idx="6">
                <c:v>90.245342794894697</c:v>
              </c:pt>
              <c:pt idx="7">
                <c:v>105.55972002045426</c:v>
              </c:pt>
              <c:pt idx="8">
                <c:v>123.03392350006852</c:v>
              </c:pt>
              <c:pt idx="9">
                <c:v>105.35661520226552</c:v>
              </c:pt>
              <c:pt idx="10">
                <c:v>94.317478411230908</c:v>
              </c:pt>
              <c:pt idx="11">
                <c:v>102.92956607928166</c:v>
              </c:pt>
              <c:pt idx="12">
                <c:v>103.46279958291413</c:v>
              </c:pt>
              <c:pt idx="13">
                <c:v>99.954688805348695</c:v>
              </c:pt>
              <c:pt idx="14">
                <c:v>148.64472248962093</c:v>
              </c:pt>
              <c:pt idx="15">
                <c:v>167.9523091942055</c:v>
              </c:pt>
              <c:pt idx="16">
                <c:v>176.26805193874191</c:v>
              </c:pt>
              <c:pt idx="17">
                <c:v>152.94530383861004</c:v>
              </c:pt>
              <c:pt idx="18">
                <c:v>141.36202736661923</c:v>
              </c:pt>
              <c:pt idx="19">
                <c:v>90.139582563351368</c:v>
              </c:pt>
              <c:pt idx="20">
                <c:v>118.58329090743973</c:v>
              </c:pt>
              <c:pt idx="21">
                <c:v>133.72235936253873</c:v>
              </c:pt>
              <c:pt idx="22">
                <c:v>112.6724132779195</c:v>
              </c:pt>
              <c:pt idx="23">
                <c:v>82.515111968654779</c:v>
              </c:pt>
              <c:pt idx="24">
                <c:v>83.45839054896274</c:v>
              </c:pt>
              <c:pt idx="25">
                <c:v>53.863759856351436</c:v>
              </c:pt>
              <c:pt idx="26">
                <c:v>69.493967405100463</c:v>
              </c:pt>
              <c:pt idx="27">
                <c:v>56.063016518026409</c:v>
              </c:pt>
              <c:pt idx="28">
                <c:v>62.208740989258551</c:v>
              </c:pt>
              <c:pt idx="29">
                <c:v>51.736666028380206</c:v>
              </c:pt>
              <c:pt idx="30">
                <c:v>34.852272601867149</c:v>
              </c:pt>
              <c:pt idx="31">
                <c:v>50.645736152458809</c:v>
              </c:pt>
              <c:pt idx="32">
                <c:v>38.617244578628402</c:v>
              </c:pt>
              <c:pt idx="33">
                <c:v>24.237383355023812</c:v>
              </c:pt>
              <c:pt idx="34">
                <c:v>16.411368100599645</c:v>
              </c:pt>
              <c:pt idx="35">
                <c:v>14.658104385227771</c:v>
              </c:pt>
            </c:numLit>
          </c:val>
          <c:smooth val="1"/>
          <c:extLst>
            <c:ext xmlns:c16="http://schemas.microsoft.com/office/drawing/2014/chart" uri="{C3380CC4-5D6E-409C-BE32-E72D297353CC}">
              <c16:uniqueId val="{00000001-80AB-49EC-8B5A-F89AA7D17D66}"/>
            </c:ext>
          </c:extLst>
        </c:ser>
        <c:dLbls>
          <c:showLegendKey val="0"/>
          <c:showVal val="0"/>
          <c:showCatName val="0"/>
          <c:showSerName val="0"/>
          <c:showPercent val="0"/>
          <c:showBubbleSize val="0"/>
        </c:dLbls>
        <c:smooth val="0"/>
        <c:axId val="165524224"/>
        <c:axId val="165540608"/>
      </c:lineChart>
      <c:catAx>
        <c:axId val="165524224"/>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40608"/>
        <c:crosses val="autoZero"/>
        <c:auto val="1"/>
        <c:lblAlgn val="ctr"/>
        <c:lblOffset val="100"/>
        <c:tickLblSkip val="1"/>
        <c:noMultiLvlLbl val="0"/>
      </c:catAx>
      <c:valAx>
        <c:axId val="165540608"/>
        <c:scaling>
          <c:orientation val="minMax"/>
          <c:max val="18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24224"/>
        <c:crosses val="autoZero"/>
        <c:crossBetween val="between"/>
      </c:valAx>
    </c:plotArea>
    <c:legend>
      <c:legendPos val="b"/>
      <c:layout>
        <c:manualLayout>
          <c:xMode val="edge"/>
          <c:yMode val="edge"/>
          <c:x val="0.14914532762682445"/>
          <c:y val="0.65661747345080512"/>
          <c:w val="0.42982467760142828"/>
          <c:h val="0.12580927384076934"/>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3069636176683"/>
          <c:y val="5.1400554097404488E-2"/>
          <c:w val="0.80814128508608862"/>
          <c:h val="0.79610588911701052"/>
        </c:manualLayout>
      </c:layout>
      <c:lineChart>
        <c:grouping val="standard"/>
        <c:varyColors val="0"/>
        <c:ser>
          <c:idx val="0"/>
          <c:order val="0"/>
          <c:tx>
            <c:v>Rifiuti e bioenergie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211.65048543689321</c:v>
              </c:pt>
              <c:pt idx="2">
                <c:v>178.64077669902915</c:v>
              </c:pt>
              <c:pt idx="3">
                <c:v>201.94174757281553</c:v>
              </c:pt>
              <c:pt idx="4">
                <c:v>274.75728155339806</c:v>
              </c:pt>
              <c:pt idx="5">
                <c:v>377.66990291262135</c:v>
              </c:pt>
              <c:pt idx="6">
                <c:v>587.37864077669894</c:v>
              </c:pt>
              <c:pt idx="7">
                <c:v>798.05825242718447</c:v>
              </c:pt>
              <c:pt idx="8">
                <c:v>1196.1165048543689</c:v>
              </c:pt>
              <c:pt idx="9">
                <c:v>1769.9029126213593</c:v>
              </c:pt>
              <c:pt idx="10">
                <c:v>1852.4271844660195</c:v>
              </c:pt>
              <c:pt idx="11">
                <c:v>2511.9417475728155</c:v>
              </c:pt>
              <c:pt idx="12">
                <c:v>3408.3495145631068</c:v>
              </c:pt>
              <c:pt idx="13">
                <c:v>4362.1359223300969</c:v>
              </c:pt>
              <c:pt idx="14">
                <c:v>5473.2038834951454</c:v>
              </c:pt>
              <c:pt idx="15">
                <c:v>5975.6310679611643</c:v>
              </c:pt>
              <c:pt idx="16">
                <c:v>6548.155339805825</c:v>
              </c:pt>
              <c:pt idx="17">
                <c:v>6751.1650485436903</c:v>
              </c:pt>
              <c:pt idx="18">
                <c:v>7442.4271844660198</c:v>
              </c:pt>
              <c:pt idx="19">
                <c:v>9057.3786407766984</c:v>
              </c:pt>
              <c:pt idx="20">
                <c:v>11247.378640776698</c:v>
              </c:pt>
              <c:pt idx="21">
                <c:v>12754.271844660196</c:v>
              </c:pt>
              <c:pt idx="22">
                <c:v>14323.203883495149</c:v>
              </c:pt>
              <c:pt idx="23">
                <c:v>18818.446601941749</c:v>
              </c:pt>
              <c:pt idx="24">
                <c:v>20566.990291262136</c:v>
              </c:pt>
              <c:pt idx="25">
                <c:v>21188.058252427181</c:v>
              </c:pt>
              <c:pt idx="26">
                <c:v>21370.582524271846</c:v>
              </c:pt>
              <c:pt idx="27">
                <c:v>21230.816436611665</c:v>
              </c:pt>
              <c:pt idx="28">
                <c:v>21025.70632358253</c:v>
              </c:pt>
              <c:pt idx="29">
                <c:v>21350.595716582524</c:v>
              </c:pt>
              <c:pt idx="30">
                <c:v>21394.260384126213</c:v>
              </c:pt>
              <c:pt idx="31">
                <c:v>20825.451143786406</c:v>
              </c:pt>
              <c:pt idx="32">
                <c:v>19428.986346398058</c:v>
              </c:pt>
              <c:pt idx="33">
                <c:v>17883.382088080994</c:v>
              </c:pt>
              <c:pt idx="34">
                <c:v>18985.477102756002</c:v>
              </c:pt>
              <c:pt idx="35">
                <c:v>19980.041744499878</c:v>
              </c:pt>
            </c:numLit>
          </c:val>
          <c:smooth val="1"/>
          <c:extLst>
            <c:ext xmlns:c16="http://schemas.microsoft.com/office/drawing/2014/chart" uri="{C3380CC4-5D6E-409C-BE32-E72D297353CC}">
              <c16:uniqueId val="{00000000-041F-4674-9AC7-42E760B24B67}"/>
            </c:ext>
          </c:extLst>
        </c:ser>
        <c:ser>
          <c:idx val="3"/>
          <c:order val="1"/>
          <c:tx>
            <c:v>Rifiuti e bioenergie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121.01594904498833</c:v>
              </c:pt>
              <c:pt idx="2">
                <c:v>95.795996360824589</c:v>
              </c:pt>
              <c:pt idx="3">
                <c:v>96.392186523642636</c:v>
              </c:pt>
              <c:pt idx="4">
                <c:v>118.75063983491675</c:v>
              </c:pt>
              <c:pt idx="5">
                <c:v>171.89471978830952</c:v>
              </c:pt>
              <c:pt idx="6">
                <c:v>208.76449456882611</c:v>
              </c:pt>
              <c:pt idx="7">
                <c:v>237.69813354635113</c:v>
              </c:pt>
              <c:pt idx="8">
                <c:v>351.58104852618237</c:v>
              </c:pt>
              <c:pt idx="9">
                <c:v>613.54213202117057</c:v>
              </c:pt>
              <c:pt idx="10">
                <c:v>426.45094309193109</c:v>
              </c:pt>
              <c:pt idx="11">
                <c:v>607.75767689903546</c:v>
              </c:pt>
              <c:pt idx="12">
                <c:v>607.96912172087434</c:v>
              </c:pt>
              <c:pt idx="13">
                <c:v>1622.5639275152023</c:v>
              </c:pt>
              <c:pt idx="14">
                <c:v>2247.0799074089641</c:v>
              </c:pt>
              <c:pt idx="15">
                <c:v>2067.3378885394304</c:v>
              </c:pt>
              <c:pt idx="16">
                <c:v>2272.4441276664238</c:v>
              </c:pt>
              <c:pt idx="17">
                <c:v>3278.1292785378755</c:v>
              </c:pt>
              <c:pt idx="18">
                <c:v>2893.9490637756207</c:v>
              </c:pt>
              <c:pt idx="19">
                <c:v>2860.2710959638534</c:v>
              </c:pt>
              <c:pt idx="20">
                <c:v>4035.0665725414487</c:v>
              </c:pt>
              <c:pt idx="21">
                <c:v>3991.9371247193426</c:v>
              </c:pt>
              <c:pt idx="22">
                <c:v>4105.4732604653918</c:v>
              </c:pt>
              <c:pt idx="23">
                <c:v>3993.9432140071631</c:v>
              </c:pt>
              <c:pt idx="24">
                <c:v>4119.932295406672</c:v>
              </c:pt>
              <c:pt idx="25">
                <c:v>4089.0353576678867</c:v>
              </c:pt>
              <c:pt idx="26">
                <c:v>4273.2899978497217</c:v>
              </c:pt>
              <c:pt idx="27">
                <c:v>4113.1715454396353</c:v>
              </c:pt>
              <c:pt idx="28">
                <c:v>4117.0208454580952</c:v>
              </c:pt>
              <c:pt idx="29">
                <c:v>4237.2099680873607</c:v>
              </c:pt>
              <c:pt idx="30">
                <c:v>4110.5909177893964</c:v>
              </c:pt>
              <c:pt idx="31">
                <c:v>4021.173220041384</c:v>
              </c:pt>
              <c:pt idx="32">
                <c:v>4097.3069467480527</c:v>
              </c:pt>
              <c:pt idx="33">
                <c:v>4238.967397614505</c:v>
              </c:pt>
              <c:pt idx="34">
                <c:v>3910.4252725702572</c:v>
              </c:pt>
              <c:pt idx="35">
                <c:v>4115.2743137687939</c:v>
              </c:pt>
            </c:numLit>
          </c:val>
          <c:smooth val="1"/>
          <c:extLst>
            <c:ext xmlns:c16="http://schemas.microsoft.com/office/drawing/2014/chart" uri="{C3380CC4-5D6E-409C-BE32-E72D297353CC}">
              <c16:uniqueId val="{00000001-041F-4674-9AC7-42E760B24B67}"/>
            </c:ext>
          </c:extLst>
        </c:ser>
        <c:dLbls>
          <c:showLegendKey val="0"/>
          <c:showVal val="0"/>
          <c:showCatName val="0"/>
          <c:showSerName val="0"/>
          <c:showPercent val="0"/>
          <c:showBubbleSize val="0"/>
        </c:dLbls>
        <c:smooth val="0"/>
        <c:axId val="165574912"/>
        <c:axId val="165583104"/>
      </c:lineChart>
      <c:catAx>
        <c:axId val="16557491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83104"/>
        <c:crosses val="autoZero"/>
        <c:auto val="1"/>
        <c:lblAlgn val="ctr"/>
        <c:lblOffset val="100"/>
        <c:tickLblSkip val="1"/>
        <c:noMultiLvlLbl val="0"/>
      </c:catAx>
      <c:valAx>
        <c:axId val="165583104"/>
        <c:scaling>
          <c:orientation val="minMax"/>
          <c:max val="22000"/>
          <c:min val="0"/>
        </c:scaling>
        <c:delete val="0"/>
        <c:axPos val="l"/>
        <c:majorGridlines>
          <c:spPr>
            <a:ln>
              <a:solidFill>
                <a:schemeClr val="bg1">
                  <a:lumMod val="85000"/>
                </a:schemeClr>
              </a:solidFill>
              <a:prstDash val="sys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74912"/>
        <c:crosses val="autoZero"/>
        <c:crossBetween val="between"/>
        <c:majorUnit val="2000"/>
      </c:valAx>
    </c:plotArea>
    <c:legend>
      <c:legendPos val="b"/>
      <c:layout>
        <c:manualLayout>
          <c:xMode val="edge"/>
          <c:yMode val="edge"/>
          <c:x val="0.14748572537563456"/>
          <c:y val="0.24183376679043433"/>
          <c:w val="0.48251412311272701"/>
          <c:h val="0.1156218284019049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26101971807299"/>
          <c:y val="4.0372568708062155E-2"/>
          <c:w val="0.84510651843576756"/>
          <c:h val="0.79672510877698177"/>
        </c:manualLayout>
      </c:layout>
      <c:lineChart>
        <c:grouping val="standard"/>
        <c:varyColors val="0"/>
        <c:ser>
          <c:idx val="1"/>
          <c:order val="0"/>
          <c:tx>
            <c:v>Produzione termoelettrica fossile</c:v>
          </c:tx>
          <c:spPr>
            <a:ln>
              <a:solidFill>
                <a:schemeClr val="tx1">
                  <a:lumMod val="65000"/>
                  <a:lumOff val="3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641.93412084697889</c:v>
              </c:pt>
              <c:pt idx="1">
                <c:v>640.98652573906975</c:v>
              </c:pt>
              <c:pt idx="2">
                <c:v>623.5246790649278</c:v>
              </c:pt>
              <c:pt idx="3">
                <c:v>607.74333808760105</c:v>
              </c:pt>
              <c:pt idx="4">
                <c:v>607.68274991203043</c:v>
              </c:pt>
              <c:pt idx="5">
                <c:v>611.04803890719609</c:v>
              </c:pt>
              <c:pt idx="6">
                <c:v>603.90088403600578</c:v>
              </c:pt>
              <c:pt idx="7">
                <c:v>589.48805317830136</c:v>
              </c:pt>
              <c:pt idx="8">
                <c:v>589.90392145618421</c:v>
              </c:pt>
              <c:pt idx="9">
                <c:v>570.8093019805483</c:v>
              </c:pt>
              <c:pt idx="10">
                <c:v>560.28572296324592</c:v>
              </c:pt>
              <c:pt idx="11">
                <c:v>559.43701760780345</c:v>
              </c:pt>
              <c:pt idx="12">
                <c:v>572.25604130731972</c:v>
              </c:pt>
              <c:pt idx="13">
                <c:v>540.7854986136249</c:v>
              </c:pt>
              <c:pt idx="14">
                <c:v>608.7583289666477</c:v>
              </c:pt>
              <c:pt idx="15">
                <c:v>583.10731930340819</c:v>
              </c:pt>
              <c:pt idx="16">
                <c:v>574.00775122847188</c:v>
              </c:pt>
              <c:pt idx="17">
                <c:v>560.54988500946115</c:v>
              </c:pt>
              <c:pt idx="18">
                <c:v>555.58716979680321</c:v>
              </c:pt>
              <c:pt idx="19">
                <c:v>546.65376851773942</c:v>
              </c:pt>
              <c:pt idx="20">
                <c:v>548.71268496992889</c:v>
              </c:pt>
              <c:pt idx="21">
                <c:v>549.31637291011464</c:v>
              </c:pt>
              <c:pt idx="22">
                <c:v>564.60606569377455</c:v>
              </c:pt>
              <c:pt idx="23">
                <c:v>557.92508330447913</c:v>
              </c:pt>
              <c:pt idx="24">
                <c:v>577.99620392705185</c:v>
              </c:pt>
              <c:pt idx="25">
                <c:v>547.60614524247296</c:v>
              </c:pt>
              <c:pt idx="26">
                <c:v>521.69420556750106</c:v>
              </c:pt>
              <c:pt idx="27">
                <c:v>496.11836645096122</c:v>
              </c:pt>
              <c:pt idx="28">
                <c:v>499.26106708855639</c:v>
              </c:pt>
              <c:pt idx="29">
                <c:v>467.27586408808406</c:v>
              </c:pt>
              <c:pt idx="30">
                <c:v>454.39897196236006</c:v>
              </c:pt>
              <c:pt idx="31">
                <c:v>456.75809863938161</c:v>
              </c:pt>
              <c:pt idx="32">
                <c:v>477.28927175241148</c:v>
              </c:pt>
              <c:pt idx="33">
                <c:v>460.24459987155439</c:v>
              </c:pt>
              <c:pt idx="34">
                <c:v>418.07725051101505</c:v>
              </c:pt>
              <c:pt idx="35">
                <c:v>413.27188683245237</c:v>
              </c:pt>
            </c:numLit>
          </c:val>
          <c:smooth val="1"/>
          <c:extLst>
            <c:ext xmlns:c16="http://schemas.microsoft.com/office/drawing/2014/chart" uri="{C3380CC4-5D6E-409C-BE32-E72D297353CC}">
              <c16:uniqueId val="{00000000-9F00-4417-9E3E-7FCAF029549D}"/>
            </c:ext>
          </c:extLst>
        </c:ser>
        <c:ser>
          <c:idx val="3"/>
          <c:order val="1"/>
          <c:tx>
            <c:v>Produzione termoelettrica (con bioenergie)</c:v>
          </c:tx>
          <c:spPr>
            <a:ln>
              <a:solidFill>
                <a:schemeClr val="accent1">
                  <a:lumMod val="7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641.74869793512244</c:v>
              </c:pt>
              <c:pt idx="1">
                <c:v>640.60938767225525</c:v>
              </c:pt>
              <c:pt idx="2">
                <c:v>623.20058347924908</c:v>
              </c:pt>
              <c:pt idx="3">
                <c:v>607.3814162426354</c:v>
              </c:pt>
              <c:pt idx="4">
                <c:v>607.04242700909947</c:v>
              </c:pt>
              <c:pt idx="5">
                <c:v>610.10431732806762</c:v>
              </c:pt>
              <c:pt idx="6">
                <c:v>602.39044540472401</c:v>
              </c:pt>
              <c:pt idx="7">
                <c:v>587.45108075099927</c:v>
              </c:pt>
              <c:pt idx="8">
                <c:v>587.07741786568204</c:v>
              </c:pt>
              <c:pt idx="9">
                <c:v>566.72536451599149</c:v>
              </c:pt>
              <c:pt idx="10">
                <c:v>556.46192751543117</c:v>
              </c:pt>
              <c:pt idx="11">
                <c:v>554.44406154261401</c:v>
              </c:pt>
              <c:pt idx="12">
                <c:v>565.57297249393037</c:v>
              </c:pt>
              <c:pt idx="13">
                <c:v>532.79561199459158</c:v>
              </c:pt>
              <c:pt idx="14">
                <c:v>597.63099970252586</c:v>
              </c:pt>
              <c:pt idx="15">
                <c:v>571.94377387630698</c:v>
              </c:pt>
              <c:pt idx="16">
                <c:v>562.43342162720228</c:v>
              </c:pt>
              <c:pt idx="17">
                <c:v>549.07320412415152</c:v>
              </c:pt>
              <c:pt idx="18">
                <c:v>542.90262198517496</c:v>
              </c:pt>
              <c:pt idx="19">
                <c:v>528.42693514697487</c:v>
              </c:pt>
              <c:pt idx="20">
                <c:v>526.3129167115593</c:v>
              </c:pt>
              <c:pt idx="21">
                <c:v>523.27715367380472</c:v>
              </c:pt>
              <c:pt idx="22">
                <c:v>532.20039547814781</c:v>
              </c:pt>
              <c:pt idx="23">
                <c:v>508.5175238657676</c:v>
              </c:pt>
              <c:pt idx="24">
                <c:v>516.53669026369857</c:v>
              </c:pt>
              <c:pt idx="25">
                <c:v>492.30278179801905</c:v>
              </c:pt>
              <c:pt idx="26">
                <c:v>470.66104108873679</c:v>
              </c:pt>
              <c:pt idx="27">
                <c:v>450.18648326345703</c:v>
              </c:pt>
              <c:pt idx="28">
                <c:v>449.51733448035259</c:v>
              </c:pt>
              <c:pt idx="29">
                <c:v>420.57379487934037</c:v>
              </c:pt>
              <c:pt idx="30">
                <c:v>405.19183200859817</c:v>
              </c:pt>
              <c:pt idx="31">
                <c:v>410.84231967688788</c:v>
              </c:pt>
              <c:pt idx="32">
                <c:v>435.08334003427979</c:v>
              </c:pt>
              <c:pt idx="33">
                <c:v>414.90312101526052</c:v>
              </c:pt>
              <c:pt idx="34">
                <c:v>370.69254703068754</c:v>
              </c:pt>
              <c:pt idx="35">
                <c:v>366.46138635452036</c:v>
              </c:pt>
            </c:numLit>
          </c:val>
          <c:smooth val="1"/>
          <c:extLst>
            <c:ext xmlns:c16="http://schemas.microsoft.com/office/drawing/2014/chart" uri="{C3380CC4-5D6E-409C-BE32-E72D297353CC}">
              <c16:uniqueId val="{00000001-9F00-4417-9E3E-7FCAF029549D}"/>
            </c:ext>
          </c:extLst>
        </c:ser>
        <c:ser>
          <c:idx val="0"/>
          <c:order val="2"/>
          <c:tx>
            <c:v>Produzione elettrica totale (no pomp+acc)</c:v>
          </c:tx>
          <c:spPr>
            <a:ln w="25400">
              <a:solidFill>
                <a:srgbClr val="7030A0"/>
              </a:solidFill>
              <a:prstDash val="solid"/>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536.8093409756965</c:v>
              </c:pt>
              <c:pt idx="1">
                <c:v>507.38608353442606</c:v>
              </c:pt>
              <c:pt idx="2">
                <c:v>495.37992380881008</c:v>
              </c:pt>
              <c:pt idx="3">
                <c:v>482.70438813070314</c:v>
              </c:pt>
              <c:pt idx="4">
                <c:v>479.41128414487207</c:v>
              </c:pt>
              <c:pt idx="5">
                <c:v>504.10530664028494</c:v>
              </c:pt>
              <c:pt idx="6">
                <c:v>487.03209145729716</c:v>
              </c:pt>
              <c:pt idx="7">
                <c:v>478.69768171490199</c:v>
              </c:pt>
              <c:pt idx="8">
                <c:v>481.36140455194908</c:v>
              </c:pt>
              <c:pt idx="9">
                <c:v>457.02932098500895</c:v>
              </c:pt>
              <c:pt idx="10">
                <c:v>454.45026692745</c:v>
              </c:pt>
              <c:pt idx="11">
                <c:v>447.35655336189274</c:v>
              </c:pt>
              <c:pt idx="12">
                <c:v>472.63303709890403</c:v>
              </c:pt>
              <c:pt idx="13">
                <c:v>451.85197498682885</c:v>
              </c:pt>
              <c:pt idx="14">
                <c:v>497.31009128591432</c:v>
              </c:pt>
              <c:pt idx="15">
                <c:v>487.61673063162397</c:v>
              </c:pt>
              <c:pt idx="16">
                <c:v>479.21320165023036</c:v>
              </c:pt>
              <c:pt idx="17">
                <c:v>473.43815737621657</c:v>
              </c:pt>
              <c:pt idx="18">
                <c:v>452.51697596031028</c:v>
              </c:pt>
              <c:pt idx="19">
                <c:v>415.35373573228645</c:v>
              </c:pt>
              <c:pt idx="20">
                <c:v>407.36304443551535</c:v>
              </c:pt>
              <c:pt idx="21">
                <c:v>397.73604730598964</c:v>
              </c:pt>
              <c:pt idx="22">
                <c:v>389.46372855491978</c:v>
              </c:pt>
              <c:pt idx="23">
                <c:v>340.86702405386484</c:v>
              </c:pt>
              <c:pt idx="24">
                <c:v>327.19544836891782</c:v>
              </c:pt>
              <c:pt idx="25">
                <c:v>335.79995128618555</c:v>
              </c:pt>
              <c:pt idx="26">
                <c:v>325.98029179355058</c:v>
              </c:pt>
              <c:pt idx="27">
                <c:v>320.76804897053978</c:v>
              </c:pt>
              <c:pt idx="28">
                <c:v>300.8258447874249</c:v>
              </c:pt>
              <c:pt idx="29">
                <c:v>281.9021120402586</c:v>
              </c:pt>
              <c:pt idx="30">
                <c:v>263.70148073625455</c:v>
              </c:pt>
              <c:pt idx="31">
                <c:v>271.59223412862542</c:v>
              </c:pt>
              <c:pt idx="32">
                <c:v>307.28517507746807</c:v>
              </c:pt>
              <c:pt idx="33">
                <c:v>256.34982212837758</c:v>
              </c:pt>
              <c:pt idx="34">
                <c:v>209.41601472227433</c:v>
              </c:pt>
              <c:pt idx="35">
                <c:v>213.80024504929128</c:v>
              </c:pt>
            </c:numLit>
          </c:val>
          <c:smooth val="1"/>
          <c:extLst>
            <c:ext xmlns:c16="http://schemas.microsoft.com/office/drawing/2014/chart" uri="{C3380CC4-5D6E-409C-BE32-E72D297353CC}">
              <c16:uniqueId val="{00000002-9F00-4417-9E3E-7FCAF029549D}"/>
            </c:ext>
          </c:extLst>
        </c:ser>
        <c:ser>
          <c:idx val="2"/>
          <c:order val="3"/>
          <c:tx>
            <c:v>Consumi elettrici</c:v>
          </c:tx>
          <c:spPr>
            <a:ln>
              <a:solidFill>
                <a:schemeClr val="accent6">
                  <a:lumMod val="7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522.99271682228914</c:v>
              </c:pt>
              <c:pt idx="1">
                <c:v>495.50482818688403</c:v>
              </c:pt>
              <c:pt idx="2">
                <c:v>483.64861894716125</c:v>
              </c:pt>
              <c:pt idx="3">
                <c:v>463.26879234194615</c:v>
              </c:pt>
              <c:pt idx="4">
                <c:v>463.57309033349492</c:v>
              </c:pt>
              <c:pt idx="5">
                <c:v>491.47287356565187</c:v>
              </c:pt>
              <c:pt idx="6">
                <c:v>474.0499920878085</c:v>
              </c:pt>
              <c:pt idx="7">
                <c:v>465.20504312874408</c:v>
              </c:pt>
              <c:pt idx="8">
                <c:v>468.15734061033561</c:v>
              </c:pt>
              <c:pt idx="9">
                <c:v>443.30012093581399</c:v>
              </c:pt>
              <c:pt idx="10">
                <c:v>439.19303374249989</c:v>
              </c:pt>
              <c:pt idx="11">
                <c:v>426.04949968705915</c:v>
              </c:pt>
              <c:pt idx="12">
                <c:v>450.82315848289375</c:v>
              </c:pt>
              <c:pt idx="13">
                <c:v>431.48775700210825</c:v>
              </c:pt>
              <c:pt idx="14">
                <c:v>483.04194201361975</c:v>
              </c:pt>
              <c:pt idx="15">
                <c:v>467.14999905583437</c:v>
              </c:pt>
              <c:pt idx="16">
                <c:v>464.31207518609426</c:v>
              </c:pt>
              <c:pt idx="17">
                <c:v>457.50969165836347</c:v>
              </c:pt>
              <c:pt idx="18">
                <c:v>444.70023242580504</c:v>
              </c:pt>
              <c:pt idx="19">
                <c:v>399.3158978075362</c:v>
              </c:pt>
              <c:pt idx="20">
                <c:v>392.75865789104358</c:v>
              </c:pt>
              <c:pt idx="21">
                <c:v>381.08161740581158</c:v>
              </c:pt>
              <c:pt idx="22">
                <c:v>376.88875791521474</c:v>
              </c:pt>
              <c:pt idx="23">
                <c:v>330.11106225365205</c:v>
              </c:pt>
              <c:pt idx="24">
                <c:v>312.61915584070766</c:v>
              </c:pt>
              <c:pt idx="25">
                <c:v>318.15118482390039</c:v>
              </c:pt>
              <c:pt idx="26">
                <c:v>317.63427507602239</c:v>
              </c:pt>
              <c:pt idx="27">
                <c:v>312.39874110051488</c:v>
              </c:pt>
              <c:pt idx="28">
                <c:v>285.50826902086607</c:v>
              </c:pt>
              <c:pt idx="29">
                <c:v>272.76178671426311</c:v>
              </c:pt>
              <c:pt idx="30">
                <c:v>258.84494133941354</c:v>
              </c:pt>
              <c:pt idx="31">
                <c:v>259.0385207996182</c:v>
              </c:pt>
              <c:pt idx="32">
                <c:v>292.95868590678816</c:v>
              </c:pt>
              <c:pt idx="33">
                <c:v>234.74146796238338</c:v>
              </c:pt>
              <c:pt idx="34">
                <c:v>192.59512656547312</c:v>
              </c:pt>
              <c:pt idx="35">
                <c:v>199.61039761053482</c:v>
              </c:pt>
            </c:numLit>
          </c:val>
          <c:smooth val="1"/>
          <c:extLst>
            <c:ext xmlns:c16="http://schemas.microsoft.com/office/drawing/2014/chart" uri="{C3380CC4-5D6E-409C-BE32-E72D297353CC}">
              <c16:uniqueId val="{00000003-9F00-4417-9E3E-7FCAF029549D}"/>
            </c:ext>
          </c:extLst>
        </c:ser>
        <c:ser>
          <c:idx val="4"/>
          <c:order val="4"/>
          <c:tx>
            <c:v>Produzione elettrica e calore (no pomp+acc)</c:v>
          </c:tx>
          <c:spPr>
            <a:ln w="28575">
              <a:solidFill>
                <a:srgbClr val="FFC000"/>
              </a:solidFill>
              <a:prstDash val="sysDash"/>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593.03378797824359</c:v>
              </c:pt>
              <c:pt idx="1">
                <c:v>561.09539502567782</c:v>
              </c:pt>
              <c:pt idx="2">
                <c:v>550.62336143084553</c:v>
              </c:pt>
              <c:pt idx="3">
                <c:v>539.89765718487138</c:v>
              </c:pt>
              <c:pt idx="4">
                <c:v>535.0568549944993</c:v>
              </c:pt>
              <c:pt idx="5">
                <c:v>562.20043880290734</c:v>
              </c:pt>
              <c:pt idx="6">
                <c:v>544.66620210552173</c:v>
              </c:pt>
              <c:pt idx="7">
                <c:v>537.7001993375161</c:v>
              </c:pt>
              <c:pt idx="8">
                <c:v>541.3328657625508</c:v>
              </c:pt>
              <c:pt idx="9">
                <c:v>517.71649794022892</c:v>
              </c:pt>
              <c:pt idx="10">
                <c:v>517.56966896970471</c:v>
              </c:pt>
              <c:pt idx="11">
                <c:v>507.51711738702704</c:v>
              </c:pt>
              <c:pt idx="12">
                <c:v>534.69944560910687</c:v>
              </c:pt>
              <c:pt idx="13">
                <c:v>510.80762687916723</c:v>
              </c:pt>
              <c:pt idx="14">
                <c:v>479.98735280264907</c:v>
              </c:pt>
              <c:pt idx="15">
                <c:v>450.39296217940154</c:v>
              </c:pt>
              <c:pt idx="16">
                <c:v>443.54314973069307</c:v>
              </c:pt>
              <c:pt idx="17">
                <c:v>439.42863935619613</c:v>
              </c:pt>
              <c:pt idx="18">
                <c:v>422.70013440134949</c:v>
              </c:pt>
              <c:pt idx="19">
                <c:v>392.38882638454493</c:v>
              </c:pt>
              <c:pt idx="20">
                <c:v>382.27311196070917</c:v>
              </c:pt>
              <c:pt idx="21">
                <c:v>369.77155588839383</c:v>
              </c:pt>
              <c:pt idx="22">
                <c:v>363.83343981804967</c:v>
              </c:pt>
              <c:pt idx="23">
                <c:v>320.29176094403186</c:v>
              </c:pt>
              <c:pt idx="24">
                <c:v>307.30457167193038</c:v>
              </c:pt>
              <c:pt idx="25">
                <c:v>315.96164692313295</c:v>
              </c:pt>
              <c:pt idx="26">
                <c:v>308.06424190877243</c:v>
              </c:pt>
              <c:pt idx="27">
                <c:v>303.22560580227633</c:v>
              </c:pt>
              <c:pt idx="28">
                <c:v>285.83333563138297</c:v>
              </c:pt>
              <c:pt idx="29">
                <c:v>270.69681755201674</c:v>
              </c:pt>
              <c:pt idx="30">
                <c:v>255.15960876547709</c:v>
              </c:pt>
              <c:pt idx="31">
                <c:v>261.90133872161925</c:v>
              </c:pt>
              <c:pt idx="32">
                <c:v>293.31210392915784</c:v>
              </c:pt>
              <c:pt idx="33">
                <c:v>251.28774098454818</c:v>
              </c:pt>
              <c:pt idx="34">
                <c:v>211.42033422298996</c:v>
              </c:pt>
              <c:pt idx="35">
                <c:v>216.67400499772782</c:v>
              </c:pt>
            </c:numLit>
          </c:val>
          <c:smooth val="1"/>
          <c:extLst>
            <c:ext xmlns:c16="http://schemas.microsoft.com/office/drawing/2014/chart" uri="{C3380CC4-5D6E-409C-BE32-E72D297353CC}">
              <c16:uniqueId val="{00000004-9F00-4417-9E3E-7FCAF029549D}"/>
            </c:ext>
          </c:extLst>
        </c:ser>
        <c:dLbls>
          <c:showLegendKey val="0"/>
          <c:showVal val="0"/>
          <c:showCatName val="0"/>
          <c:showSerName val="0"/>
          <c:showPercent val="0"/>
          <c:showBubbleSize val="0"/>
        </c:dLbls>
        <c:smooth val="0"/>
        <c:axId val="166802944"/>
        <c:axId val="166804480"/>
      </c:lineChart>
      <c:catAx>
        <c:axId val="166802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1050" b="1" i="0" u="none" strike="noStrike" baseline="0">
                <a:solidFill>
                  <a:srgbClr val="000000"/>
                </a:solidFill>
                <a:latin typeface="Calibri"/>
                <a:ea typeface="Calibri"/>
                <a:cs typeface="Calibri"/>
              </a:defRPr>
            </a:pPr>
            <a:endParaRPr lang="it-IT"/>
          </a:p>
        </c:txPr>
        <c:crossAx val="166804480"/>
        <c:crosses val="autoZero"/>
        <c:auto val="1"/>
        <c:lblAlgn val="ctr"/>
        <c:lblOffset val="100"/>
        <c:tickLblSkip val="1"/>
        <c:tickMarkSkip val="1"/>
        <c:noMultiLvlLbl val="1"/>
      </c:catAx>
      <c:valAx>
        <c:axId val="166804480"/>
        <c:scaling>
          <c:orientation val="minMax"/>
          <c:min val="100"/>
        </c:scaling>
        <c:delete val="0"/>
        <c:axPos val="l"/>
        <c:majorGridlines>
          <c:spPr>
            <a:ln w="3175">
              <a:solidFill>
                <a:srgbClr val="C0C0C0"/>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Calibri"/>
                <a:ea typeface="Calibri"/>
                <a:cs typeface="Calibri"/>
              </a:defRPr>
            </a:pPr>
            <a:endParaRPr lang="it-IT"/>
          </a:p>
        </c:txPr>
        <c:crossAx val="166802944"/>
        <c:crosses val="autoZero"/>
        <c:crossBetween val="between"/>
      </c:valAx>
      <c:spPr>
        <a:noFill/>
        <a:ln w="25400">
          <a:noFill/>
        </a:ln>
      </c:spPr>
    </c:plotArea>
    <c:legend>
      <c:legendPos val="b"/>
      <c:layout>
        <c:manualLayout>
          <c:xMode val="edge"/>
          <c:yMode val="edge"/>
          <c:x val="0.11726571211607033"/>
          <c:y val="0.52843866078079449"/>
          <c:w val="0.46118954095268982"/>
          <c:h val="0.2959317158850222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solidFill>
      <a:srgbClr val="FFFFFF"/>
    </a:solidFill>
    <a:ln>
      <a:noFill/>
    </a:ln>
  </c:spPr>
  <c:txPr>
    <a:bodyPr/>
    <a:lstStyle/>
    <a:p>
      <a:pPr>
        <a:defRPr sz="1050" b="0" i="0" u="none" strike="noStrike" baseline="0">
          <a:solidFill>
            <a:srgbClr val="000000"/>
          </a:solidFill>
          <a:latin typeface="Calibri"/>
          <a:ea typeface="Calibri"/>
          <a:cs typeface="Calibri"/>
        </a:defRPr>
      </a:pPr>
      <a:endParaRPr lang="it-IT"/>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267949790248"/>
          <c:y val="3.2300805768829856E-2"/>
          <c:w val="0.86215330833808168"/>
          <c:h val="0.66905055590296292"/>
        </c:manualLayout>
      </c:layout>
      <c:lineChart>
        <c:grouping val="standard"/>
        <c:varyColors val="0"/>
        <c:ser>
          <c:idx val="0"/>
          <c:order val="0"/>
          <c:tx>
            <c:strRef>
              <c:f>'23'!$A$18</c:f>
              <c:strCache>
                <c:ptCount val="1"/>
                <c:pt idx="0">
                  <c:v>Rend. elettrico - parco termoelettrico</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'23'!$B$18:$V$18</c:f>
              <c:numCache>
                <c:formatCode>_(* #,##0.000_);_(* \(#,##0.000\);_(* "-"??_);_(@_)</c:formatCode>
                <c:ptCount val="21"/>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pt idx="20">
                  <c:v>0.44897700557215842</c:v>
                </c:pt>
              </c:numCache>
            </c:numRef>
          </c:val>
          <c:smooth val="1"/>
          <c:extLst>
            <c:ext xmlns:c16="http://schemas.microsoft.com/office/drawing/2014/chart" uri="{C3380CC4-5D6E-409C-BE32-E72D297353CC}">
              <c16:uniqueId val="{00000000-16D2-4465-A624-D31428B62ACB}"/>
            </c:ext>
          </c:extLst>
        </c:ser>
        <c:ser>
          <c:idx val="1"/>
          <c:order val="1"/>
          <c:tx>
            <c:strRef>
              <c:f>'23'!$A$19</c:f>
              <c:strCache>
                <c:ptCount val="1"/>
                <c:pt idx="0">
                  <c:v>Rend. elettrico equivalente - parco termoelettrico</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'23'!$B$19:$V$19</c:f>
              <c:numCache>
                <c:formatCode>_(* #,##0.000_);_(* \(#,##0.000\);_(* "-"??_);_(@_)</c:formatCode>
                <c:ptCount val="21"/>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pt idx="18">
                  <c:v>0.51219513721535048</c:v>
                </c:pt>
                <c:pt idx="19">
                  <c:v>0.52726047903985274</c:v>
                </c:pt>
                <c:pt idx="20">
                  <c:v>0.52726054390305721</c:v>
                </c:pt>
              </c:numCache>
            </c:numRef>
          </c:val>
          <c:smooth val="1"/>
          <c:extLst>
            <c:ext xmlns:c16="http://schemas.microsoft.com/office/drawing/2014/chart" uri="{C3380CC4-5D6E-409C-BE32-E72D297353CC}">
              <c16:uniqueId val="{00000001-16D2-4465-A624-D31428B62ACB}"/>
            </c:ext>
          </c:extLst>
        </c:ser>
        <c:ser>
          <c:idx val="3"/>
          <c:order val="2"/>
          <c:tx>
            <c:strRef>
              <c:f>'23'!$A$14</c:f>
              <c:strCache>
                <c:ptCount val="1"/>
                <c:pt idx="0">
                  <c:v>Rend. elettrico equivalente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'23'!$B$14:$U$14</c:f>
              <c:numCache>
                <c:formatCode>_(* #,##0.000_);_(* \(#,##0.000\);_(* "-"??_);_(@_)</c:formatCode>
                <c:ptCount val="20"/>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pt idx="18">
                  <c:v>0.55763835083353497</c:v>
                </c:pt>
                <c:pt idx="19">
                  <c:v>0.55888751731519792</c:v>
                </c:pt>
              </c:numCache>
            </c:numRef>
          </c:val>
          <c:smooth val="1"/>
          <c:extLst>
            <c:ext xmlns:c16="http://schemas.microsoft.com/office/drawing/2014/chart" uri="{C3380CC4-5D6E-409C-BE32-E72D297353CC}">
              <c16:uniqueId val="{00000002-16D2-4465-A624-D31428B62ACB}"/>
            </c:ext>
          </c:extLst>
        </c:ser>
        <c:ser>
          <c:idx val="5"/>
          <c:order val="3"/>
          <c:tx>
            <c:strRef>
              <c:f>'23'!$A$13</c:f>
              <c:strCache>
                <c:ptCount val="1"/>
                <c:pt idx="0">
                  <c:v>Rend. elettrico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'23'!$B$13:$V$13</c:f>
              <c:numCache>
                <c:formatCode>_(* #,##0.000_);_(* \(#,##0.000\);_(* "-"??_);_(@_)</c:formatCode>
                <c:ptCount val="21"/>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pt idx="18">
                  <c:v>0.41832261897623979</c:v>
                </c:pt>
                <c:pt idx="19">
                  <c:v>0.41167299795114426</c:v>
                </c:pt>
                <c:pt idx="20">
                  <c:v>0.42722408518867133</c:v>
                </c:pt>
              </c:numCache>
            </c:numRef>
          </c:val>
          <c:smooth val="1"/>
          <c:extLst>
            <c:ext xmlns:c16="http://schemas.microsoft.com/office/drawing/2014/chart" uri="{C3380CC4-5D6E-409C-BE32-E72D297353CC}">
              <c16:uniqueId val="{00000003-16D2-4465-A624-D31428B62ACB}"/>
            </c:ext>
          </c:extLst>
        </c:ser>
        <c:ser>
          <c:idx val="2"/>
          <c:order val="4"/>
          <c:tx>
            <c:strRef>
              <c:f>'23'!$A$15</c:f>
              <c:strCache>
                <c:ptCount val="1"/>
                <c:pt idx="0">
                  <c:v>Rend. totale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'23'!$B$15:$U$15</c:f>
              <c:numCache>
                <c:formatCode>_(* #,##0.000_);_(* \(#,##0.000\);_(* "-"??_);_(@_)</c:formatCode>
                <c:ptCount val="20"/>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pt idx="18">
                  <c:v>0.63927548300353576</c:v>
                </c:pt>
                <c:pt idx="19">
                  <c:v>0.64513100704518722</c:v>
                </c:pt>
              </c:numCache>
            </c:numRef>
          </c:val>
          <c:smooth val="1"/>
          <c:extLst>
            <c:ext xmlns:c16="http://schemas.microsoft.com/office/drawing/2014/chart" uri="{C3380CC4-5D6E-409C-BE32-E72D297353CC}">
              <c16:uniqueId val="{00000004-16D2-4465-A624-D31428B62ACB}"/>
            </c:ext>
          </c:extLst>
        </c:ser>
        <c:ser>
          <c:idx val="4"/>
          <c:order val="5"/>
          <c:tx>
            <c:strRef>
              <c:f>'23'!$A$16</c:f>
              <c:strCache>
                <c:ptCount val="1"/>
                <c:pt idx="0">
                  <c:v>Rend. elettrico - centrali non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'23'!$B$16:$U$16</c:f>
              <c:numCache>
                <c:formatCode>_(* #,##0.000_);_(* \(#,##0.000\);_(* "-"??_);_(@_)</c:formatCode>
                <c:ptCount val="20"/>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pt idx="18">
                  <c:v>0.4537322732105411</c:v>
                </c:pt>
                <c:pt idx="19">
                  <c:v>0.48101586125549195</c:v>
                </c:pt>
              </c:numCache>
            </c:numRef>
          </c:val>
          <c:smooth val="1"/>
          <c:extLst>
            <c:ext xmlns:c16="http://schemas.microsoft.com/office/drawing/2014/chart" uri="{C3380CC4-5D6E-409C-BE32-E72D297353CC}">
              <c16:uniqueId val="{00000005-16D2-4465-A624-D31428B62ACB}"/>
            </c:ext>
          </c:extLst>
        </c:ser>
        <c:ser>
          <c:idx val="6"/>
          <c:order val="6"/>
          <c:tx>
            <c:strRef>
              <c:f>'23'!$A$20</c:f>
              <c:strCache>
                <c:ptCount val="1"/>
                <c:pt idx="0">
                  <c:v>Rend. totale - parco termoelettrico</c:v>
                </c:pt>
              </c:strCache>
            </c:strRef>
          </c:tx>
          <c:spPr>
            <a:ln w="50800">
              <a:solidFill>
                <a:schemeClr val="accent2">
                  <a:lumMod val="75000"/>
                </a:schemeClr>
              </a:solidFill>
            </a:ln>
          </c:spPr>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'23'!$B$20:$V$20</c:f>
              <c:numCache>
                <c:formatCode>_(* #,##0.000_);_(* \(#,##0.000\);_(* "-"??_);_(@_)</c:formatCode>
                <c:ptCount val="21"/>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pt idx="20">
                  <c:v>0.59611105551080579</c:v>
                </c:pt>
              </c:numCache>
            </c:numRef>
          </c:val>
          <c:smooth val="1"/>
          <c:extLst>
            <c:ext xmlns:c16="http://schemas.microsoft.com/office/drawing/2014/chart" uri="{C3380CC4-5D6E-409C-BE32-E72D297353CC}">
              <c16:uniqueId val="{00000006-16D2-4465-A624-D31428B62ACB}"/>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a:pPr>
            <a:endParaRPr lang="it-IT"/>
          </a:p>
        </c:txPr>
        <c:crossAx val="146916096"/>
        <c:crosses val="autoZero"/>
        <c:auto val="1"/>
        <c:lblAlgn val="ctr"/>
        <c:lblOffset val="100"/>
        <c:noMultiLvlLbl val="0"/>
      </c:catAx>
      <c:valAx>
        <c:axId val="146916096"/>
        <c:scaling>
          <c:orientation val="minMax"/>
          <c:max val="0.65000000000000124"/>
          <c:min val="0.35000000000000031"/>
        </c:scaling>
        <c:delete val="0"/>
        <c:axPos val="l"/>
        <c:majorGridlines>
          <c:spPr>
            <a:ln>
              <a:solidFill>
                <a:schemeClr val="bg1">
                  <a:lumMod val="85000"/>
                </a:schemeClr>
              </a:solidFill>
              <a:prstDash val="dash"/>
            </a:ln>
          </c:spPr>
        </c:majorGridlines>
        <c:numFmt formatCode="#,##0.00" sourceLinked="0"/>
        <c:majorTickMark val="out"/>
        <c:minorTickMark val="none"/>
        <c:tickLblPos val="nextTo"/>
        <c:crossAx val="146884864"/>
        <c:crosses val="autoZero"/>
        <c:crossBetween val="between"/>
      </c:valAx>
    </c:plotArea>
    <c:legend>
      <c:legendPos val="b"/>
      <c:layout>
        <c:manualLayout>
          <c:xMode val="edge"/>
          <c:yMode val="edge"/>
          <c:x val="4.3547873178796321E-3"/>
          <c:y val="0.82487282912720872"/>
          <c:w val="0.99176808560578655"/>
          <c:h val="0.16416974155106381"/>
        </c:manualLayout>
      </c:layout>
      <c:overlay val="0"/>
    </c:legend>
    <c:plotVisOnly val="1"/>
    <c:dispBlanksAs val="gap"/>
    <c:showDLblsOverMax val="0"/>
  </c:chart>
  <c:spPr>
    <a:ln>
      <a:noFill/>
    </a:ln>
  </c:spPr>
  <c:txPr>
    <a:bodyPr/>
    <a:lstStyle/>
    <a:p>
      <a:pPr>
        <a:defRPr sz="1100" b="1">
          <a:solidFill>
            <a:schemeClr val="tx1">
              <a:lumMod val="65000"/>
              <a:lumOff val="35000"/>
            </a:schemeClr>
          </a:solidFill>
        </a:defRPr>
      </a:pPr>
      <a:endParaRPr lang="it-IT"/>
    </a:p>
  </c:txPr>
  <c:printSettings>
    <c:headerFooter/>
    <c:pageMargins b="0.75000000000001033" l="0.70000000000000062" r="0.70000000000000062" t="0.750000000000010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560015607967"/>
          <c:y val="4.7691235760478387E-2"/>
          <c:w val="0.79847939115615629"/>
          <c:h val="0.70817831364829442"/>
        </c:manualLayout>
      </c:layout>
      <c:scatterChart>
        <c:scatterStyle val="lineMarker"/>
        <c:varyColors val="0"/>
        <c:ser>
          <c:idx val="0"/>
          <c:order val="0"/>
          <c:tx>
            <c:strRef>
              <c:f>'5-x'!$A$13</c:f>
              <c:strCache>
                <c:ptCount val="1"/>
                <c:pt idx="0">
                  <c:v>Produzione lorda</c:v>
                </c:pt>
              </c:strCache>
            </c:strRef>
          </c:tx>
          <c:spPr>
            <a:ln w="28575">
              <a:solidFill>
                <a:schemeClr val="accent1"/>
              </a:solidFill>
            </a:ln>
          </c:spPr>
          <c:marker>
            <c:symbol val="none"/>
          </c:marker>
          <c:xVal>
            <c:numRef>
              <c:f>'5-x'!$B$4:$AD$4</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'5-x'!$B$12:$AD$12</c:f>
              <c:numCache>
                <c:formatCode>#,##0.00</c:formatCode>
                <c:ptCount val="29"/>
                <c:pt idx="0">
                  <c:v>8.7504120000000007</c:v>
                </c:pt>
                <c:pt idx="1">
                  <c:v>8.6373683999999997</c:v>
                </c:pt>
                <c:pt idx="2">
                  <c:v>8.628994800000001</c:v>
                </c:pt>
                <c:pt idx="3">
                  <c:v>8.5787531999999995</c:v>
                </c:pt>
                <c:pt idx="4">
                  <c:v>8.7169175999999986</c:v>
                </c:pt>
                <c:pt idx="5">
                  <c:v>8.5787531999999995</c:v>
                </c:pt>
                <c:pt idx="6">
                  <c:v>8.5536323999999997</c:v>
                </c:pt>
                <c:pt idx="7">
                  <c:v>8.3945340000000002</c:v>
                </c:pt>
                <c:pt idx="8">
                  <c:v>8.2061280000000014</c:v>
                </c:pt>
                <c:pt idx="9">
                  <c:v>8.0344692000000002</c:v>
                </c:pt>
                <c:pt idx="10">
                  <c:v>7.9088651999999993</c:v>
                </c:pt>
                <c:pt idx="11">
                  <c:v>7.8460631999999997</c:v>
                </c:pt>
                <c:pt idx="12">
                  <c:v>7.7497667999999997</c:v>
                </c:pt>
                <c:pt idx="13">
                  <c:v>7.7455800000000004</c:v>
                </c:pt>
                <c:pt idx="14">
                  <c:v>7.6911516000000004</c:v>
                </c:pt>
                <c:pt idx="15">
                  <c:v>7.6911516000000004</c:v>
                </c:pt>
                <c:pt idx="16">
                  <c:v>7.7832612000000001</c:v>
                </c:pt>
                <c:pt idx="17">
                  <c:v>7.6869648000000002</c:v>
                </c:pt>
                <c:pt idx="18">
                  <c:v>7.8376896</c:v>
                </c:pt>
                <c:pt idx="19">
                  <c:v>7.5609999999999999</c:v>
                </c:pt>
                <c:pt idx="20">
                  <c:v>7.37</c:v>
                </c:pt>
                <c:pt idx="21">
                  <c:v>7.2450000000000001</c:v>
                </c:pt>
                <c:pt idx="22" formatCode="#,##0.000">
                  <c:v>7.266</c:v>
                </c:pt>
                <c:pt idx="23" formatCode="#,##0.000">
                  <c:v>7.141</c:v>
                </c:pt>
                <c:pt idx="24" formatCode="#,##0.000">
                  <c:v>7.1139999999999999</c:v>
                </c:pt>
                <c:pt idx="25" formatCode="#,##0.000">
                  <c:v>7.1040000000000001</c:v>
                </c:pt>
                <c:pt idx="26" formatCode="#,##0.000">
                  <c:v>7.1360000000000001</c:v>
                </c:pt>
                <c:pt idx="27" formatCode="#,##0.000">
                  <c:v>7.0549999999999997</c:v>
                </c:pt>
                <c:pt idx="28" formatCode="#,##0.000">
                  <c:v>6.8570000000000002</c:v>
                </c:pt>
              </c:numCache>
            </c:numRef>
          </c:yVal>
          <c:smooth val="1"/>
          <c:extLst>
            <c:ext xmlns:c16="http://schemas.microsoft.com/office/drawing/2014/chart" uri="{C3380CC4-5D6E-409C-BE32-E72D297353CC}">
              <c16:uniqueId val="{00000000-3524-4D16-94BA-8541560E6810}"/>
            </c:ext>
          </c:extLst>
        </c:ser>
        <c:ser>
          <c:idx val="1"/>
          <c:order val="1"/>
          <c:tx>
            <c:strRef>
              <c:f>'5-x'!$A$24</c:f>
              <c:strCache>
                <c:ptCount val="1"/>
                <c:pt idx="0">
                  <c:v>Produzione netta</c:v>
                </c:pt>
              </c:strCache>
            </c:strRef>
          </c:tx>
          <c:marker>
            <c:symbol val="none"/>
          </c:marker>
          <c:xVal>
            <c:numRef>
              <c:f>'5-x'!$B$4:$AD$4</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'5-x'!$B$23:$AD$23</c:f>
              <c:numCache>
                <c:formatCode>#,##0.00</c:formatCode>
                <c:ptCount val="29"/>
                <c:pt idx="0">
                  <c:v>9.2863223999999995</c:v>
                </c:pt>
                <c:pt idx="1">
                  <c:v>9.1523447999999981</c:v>
                </c:pt>
                <c:pt idx="2">
                  <c:v>9.1523447999999981</c:v>
                </c:pt>
                <c:pt idx="3">
                  <c:v>9.1021032000000002</c:v>
                </c:pt>
                <c:pt idx="4">
                  <c:v>9.2360807999999999</c:v>
                </c:pt>
                <c:pt idx="5">
                  <c:v>9.0811691999999997</c:v>
                </c:pt>
                <c:pt idx="6">
                  <c:v>9.0518616000000005</c:v>
                </c:pt>
                <c:pt idx="7">
                  <c:v>8.8592688000000006</c:v>
                </c:pt>
                <c:pt idx="8">
                  <c:v>8.6415551999999991</c:v>
                </c:pt>
                <c:pt idx="9">
                  <c:v>8.4405887999999987</c:v>
                </c:pt>
                <c:pt idx="10">
                  <c:v>8.2898639999999997</c:v>
                </c:pt>
                <c:pt idx="11">
                  <c:v>8.2103148000000008</c:v>
                </c:pt>
                <c:pt idx="12">
                  <c:v>8.0972711999999998</c:v>
                </c:pt>
                <c:pt idx="13">
                  <c:v>8.126578799999999</c:v>
                </c:pt>
                <c:pt idx="14">
                  <c:v>8.0512163999999995</c:v>
                </c:pt>
                <c:pt idx="15">
                  <c:v>8.042842799999999</c:v>
                </c:pt>
                <c:pt idx="16">
                  <c:v>8.1684467999999999</c:v>
                </c:pt>
                <c:pt idx="17">
                  <c:v>8.0888975999999992</c:v>
                </c:pt>
                <c:pt idx="18">
                  <c:v>8.2647431999999998</c:v>
                </c:pt>
                <c:pt idx="19">
                  <c:v>7.94</c:v>
                </c:pt>
                <c:pt idx="20">
                  <c:v>7.702</c:v>
                </c:pt>
                <c:pt idx="21">
                  <c:v>7.5759999999999996</c:v>
                </c:pt>
                <c:pt idx="22" formatCode="#,##0.000">
                  <c:v>7.5949999999999998</c:v>
                </c:pt>
                <c:pt idx="23" formatCode="#,##0.000">
                  <c:v>7.4589999999999996</c:v>
                </c:pt>
                <c:pt idx="24" formatCode="#,##0.000">
                  <c:v>7.4160000000000004</c:v>
                </c:pt>
                <c:pt idx="25" formatCode="#,##0.000">
                  <c:v>7.3940000000000001</c:v>
                </c:pt>
                <c:pt idx="26" formatCode="#,##0.000">
                  <c:v>7.43</c:v>
                </c:pt>
                <c:pt idx="27" formatCode="#,##0.000">
                  <c:v>7.343</c:v>
                </c:pt>
                <c:pt idx="28" formatCode="#,##0.000">
                  <c:v>7.1219999999999999</c:v>
                </c:pt>
              </c:numCache>
            </c:numRef>
          </c:yVal>
          <c:smooth val="1"/>
          <c:extLst>
            <c:ext xmlns:c16="http://schemas.microsoft.com/office/drawing/2014/chart" uri="{C3380CC4-5D6E-409C-BE32-E72D297353CC}">
              <c16:uniqueId val="{00000001-3524-4D16-94BA-8541560E6810}"/>
            </c:ext>
          </c:extLst>
        </c:ser>
        <c:dLbls>
          <c:showLegendKey val="0"/>
          <c:showVal val="0"/>
          <c:showCatName val="0"/>
          <c:showSerName val="0"/>
          <c:showPercent val="0"/>
          <c:showBubbleSize val="0"/>
        </c:dLbls>
        <c:axId val="151394176"/>
        <c:axId val="151395712"/>
      </c:scatterChart>
      <c:valAx>
        <c:axId val="151394176"/>
        <c:scaling>
          <c:orientation val="minMax"/>
          <c:max val="2024"/>
          <c:min val="1995"/>
        </c:scaling>
        <c:delete val="0"/>
        <c:axPos val="b"/>
        <c:numFmt formatCode="General" sourceLinked="1"/>
        <c:majorTickMark val="out"/>
        <c:minorTickMark val="none"/>
        <c:tickLblPos val="nextTo"/>
        <c:txPr>
          <a:bodyPr rot="-2700000"/>
          <a:lstStyle/>
          <a:p>
            <a:pPr>
              <a:defRPr sz="1100" b="1"/>
            </a:pPr>
            <a:endParaRPr lang="it-IT"/>
          </a:p>
        </c:txPr>
        <c:crossAx val="151395712"/>
        <c:crosses val="autoZero"/>
        <c:crossBetween val="midCat"/>
        <c:majorUnit val="1"/>
      </c:valAx>
      <c:valAx>
        <c:axId val="151395712"/>
        <c:scaling>
          <c:orientation val="minMax"/>
          <c:min val="6"/>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1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77073677458323"/>
          <c:y val="3.2300805768829856E-2"/>
          <c:w val="0.81404520663946611"/>
          <c:h val="0.79556229712428839"/>
        </c:manualLayout>
      </c:layout>
      <c:lineChart>
        <c:grouping val="standard"/>
        <c:varyColors val="0"/>
        <c:ser>
          <c:idx val="6"/>
          <c:order val="0"/>
          <c:tx>
            <c:strRef>
              <c:f>'2'!$A$33</c:f>
              <c:strCache>
                <c:ptCount val="1"/>
                <c:pt idx="0">
                  <c:v>fattore conversione della produzione nazionale</c:v>
                </c:pt>
              </c:strCache>
            </c:strRef>
          </c:tx>
          <c:spPr>
            <a:ln w="50800">
              <a:solidFill>
                <a:schemeClr val="accent2">
                  <a:lumMod val="75000"/>
                </a:schemeClr>
              </a:solidFill>
            </a:ln>
          </c:spPr>
          <c:marker>
            <c:symbol val="none"/>
          </c:marker>
          <c:cat>
            <c:numRef>
              <c:f>'2'!$Q$4:$AK$4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formatCode="0&quot;*&quot;">
                  <c:v>2025</c:v>
                </c:pt>
              </c:numCache>
            </c:numRef>
          </c:cat>
          <c:val>
            <c:numRef>
              <c:f>'2'!$Q$33:$AK$33</c:f>
              <c:numCache>
                <c:formatCode>0.00</c:formatCode>
                <c:ptCount val="21"/>
                <c:pt idx="0">
                  <c:v>0.42068662416582026</c:v>
                </c:pt>
                <c:pt idx="1">
                  <c:v>0.42331343636610758</c:v>
                </c:pt>
                <c:pt idx="2">
                  <c:v>0.4239656902195254</c:v>
                </c:pt>
                <c:pt idx="3">
                  <c:v>0.43634667314635106</c:v>
                </c:pt>
                <c:pt idx="4">
                  <c:v>0.44376959889090484</c:v>
                </c:pt>
                <c:pt idx="5">
                  <c:v>0.4466438862288144</c:v>
                </c:pt>
                <c:pt idx="6">
                  <c:v>0.44427976923397661</c:v>
                </c:pt>
                <c:pt idx="7">
                  <c:v>0.45016793010893302</c:v>
                </c:pt>
                <c:pt idx="8">
                  <c:v>0.46189486652011086</c:v>
                </c:pt>
                <c:pt idx="9">
                  <c:v>0.46320406648537898</c:v>
                </c:pt>
                <c:pt idx="10">
                  <c:v>0.4581775173917082</c:v>
                </c:pt>
                <c:pt idx="11">
                  <c:v>0.46412715575603181</c:v>
                </c:pt>
                <c:pt idx="12">
                  <c:v>0.46735726926674548</c:v>
                </c:pt>
                <c:pt idx="13">
                  <c:v>0.47603351825294321</c:v>
                </c:pt>
                <c:pt idx="14">
                  <c:v>0.48227364585375154</c:v>
                </c:pt>
                <c:pt idx="15">
                  <c:v>0.48427177763300855</c:v>
                </c:pt>
                <c:pt idx="16">
                  <c:v>0.48815500498984843</c:v>
                </c:pt>
                <c:pt idx="17">
                  <c:v>0.47621754142114464</c:v>
                </c:pt>
                <c:pt idx="18">
                  <c:v>0.49945147440872495</c:v>
                </c:pt>
                <c:pt idx="19">
                  <c:v>0.52277709876349998</c:v>
                </c:pt>
                <c:pt idx="20">
                  <c:v>0.52898009524287093</c:v>
                </c:pt>
              </c:numCache>
            </c:numRef>
          </c:val>
          <c:smooth val="1"/>
          <c:extLst>
            <c:ext xmlns:c16="http://schemas.microsoft.com/office/drawing/2014/chart" uri="{C3380CC4-5D6E-409C-BE32-E72D297353CC}">
              <c16:uniqueId val="{00000006-7FB4-41BD-A3E8-ECA33B52287C}"/>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sz="1200" b="1"/>
            </a:pPr>
            <a:endParaRPr lang="it-IT"/>
          </a:p>
        </c:txPr>
        <c:crossAx val="146916096"/>
        <c:crosses val="autoZero"/>
        <c:auto val="1"/>
        <c:lblAlgn val="ctr"/>
        <c:lblOffset val="100"/>
        <c:tickLblSkip val="1"/>
        <c:noMultiLvlLbl val="0"/>
      </c:catAx>
      <c:valAx>
        <c:axId val="146916096"/>
        <c:scaling>
          <c:orientation val="minMax"/>
          <c:min val="0.4"/>
        </c:scaling>
        <c:delete val="0"/>
        <c:axPos val="l"/>
        <c:majorGridlines>
          <c:spPr>
            <a:ln>
              <a:solidFill>
                <a:schemeClr val="bg1">
                  <a:lumMod val="85000"/>
                </a:schemeClr>
              </a:solidFill>
              <a:prstDash val="dash"/>
            </a:ln>
          </c:spPr>
        </c:majorGridlines>
        <c:numFmt formatCode="#,##0.00" sourceLinked="0"/>
        <c:majorTickMark val="out"/>
        <c:minorTickMark val="out"/>
        <c:tickLblPos val="nextTo"/>
        <c:spPr>
          <a:ln/>
        </c:spPr>
        <c:txPr>
          <a:bodyPr/>
          <a:lstStyle/>
          <a:p>
            <a:pPr>
              <a:defRPr sz="1200" b="1"/>
            </a:pPr>
            <a:endParaRPr lang="it-IT"/>
          </a:p>
        </c:txPr>
        <c:crossAx val="146884864"/>
        <c:crosses val="autoZero"/>
        <c:crossBetween val="between"/>
        <c:majorUnit val="2.0000000000000004E-2"/>
      </c:valAx>
    </c:plotArea>
    <c:plotVisOnly val="1"/>
    <c:dispBlanksAs val="gap"/>
    <c:showDLblsOverMax val="0"/>
  </c:chart>
  <c:spPr>
    <a:ln>
      <a:noFill/>
    </a:ln>
  </c:spPr>
  <c:printSettings>
    <c:headerFooter/>
    <c:pageMargins b="0.75000000000001033" l="0.70000000000000062" r="0.70000000000000062" t="0.75000000000001033"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6897499105476"/>
          <c:y val="4.7691235760478387E-2"/>
          <c:w val="0.83584593146752295"/>
          <c:h val="0.70817831364829442"/>
        </c:manualLayout>
      </c:layout>
      <c:scatterChart>
        <c:scatterStyle val="lineMarker"/>
        <c:varyColors val="0"/>
        <c:ser>
          <c:idx val="0"/>
          <c:order val="0"/>
          <c:tx>
            <c:strRef>
              <c:f>'5-x'!$A$54</c:f>
              <c:strCache>
                <c:ptCount val="1"/>
                <c:pt idx="0">
                  <c:v>Mcal/kWh elettriche</c:v>
                </c:pt>
              </c:strCache>
            </c:strRef>
          </c:tx>
          <c:spPr>
            <a:ln w="28575">
              <a:solidFill>
                <a:schemeClr val="accent1"/>
              </a:solidFill>
            </a:ln>
          </c:spPr>
          <c:marker>
            <c:symbol val="none"/>
          </c:marker>
          <c:xVal>
            <c:numRef>
              <c:f>'5-x'!$K$4:$AD$4</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'5-x'!$K$54:$AD$54</c:f>
              <c:numCache>
                <c:formatCode>General</c:formatCode>
                <c:ptCount val="20"/>
                <c:pt idx="0" formatCode="0.000">
                  <c:v>2.047641</c:v>
                </c:pt>
                <c:pt idx="1">
                  <c:v>2.0270000000000001</c:v>
                </c:pt>
                <c:pt idx="2">
                  <c:v>1.9950000000000001</c:v>
                </c:pt>
                <c:pt idx="3">
                  <c:v>1.9710000000000001</c:v>
                </c:pt>
                <c:pt idx="4">
                  <c:v>2.0129999999999999</c:v>
                </c:pt>
                <c:pt idx="5" formatCode="0.000">
                  <c:v>1.9969319999999999</c:v>
                </c:pt>
                <c:pt idx="6">
                  <c:v>1.9930000000000001</c:v>
                </c:pt>
                <c:pt idx="7">
                  <c:v>2.028</c:v>
                </c:pt>
                <c:pt idx="8">
                  <c:v>2.085</c:v>
                </c:pt>
                <c:pt idx="9">
                  <c:v>2.1309999999999998</c:v>
                </c:pt>
                <c:pt idx="10" formatCode="0.000">
                  <c:v>2.0598464220884685</c:v>
                </c:pt>
                <c:pt idx="11" formatCode="0.000">
                  <c:v>2.0009171682430495</c:v>
                </c:pt>
                <c:pt idx="12" formatCode="0.000">
                  <c:v>1.9372516002675073</c:v>
                </c:pt>
                <c:pt idx="13" formatCode="0.000">
                  <c:v>1.9531623196713481</c:v>
                </c:pt>
                <c:pt idx="14" formatCode="0.000">
                  <c:v>1.8902505493455621</c:v>
                </c:pt>
                <c:pt idx="15" formatCode="0.000">
                  <c:v>1.882463865218986</c:v>
                </c:pt>
                <c:pt idx="16" formatCode="0.000">
                  <c:v>1.8760784261575809</c:v>
                </c:pt>
                <c:pt idx="17" formatCode="0.000">
                  <c:v>1.904650548799935</c:v>
                </c:pt>
                <c:pt idx="18" formatCode="0.000">
                  <c:v>1.8950497432656714</c:v>
                </c:pt>
                <c:pt idx="19" formatCode="0.000">
                  <c:v>1.7875610704701439</c:v>
                </c:pt>
              </c:numCache>
            </c:numRef>
          </c:yVal>
          <c:smooth val="1"/>
          <c:extLst>
            <c:ext xmlns:c16="http://schemas.microsoft.com/office/drawing/2014/chart" uri="{C3380CC4-5D6E-409C-BE32-E72D297353CC}">
              <c16:uniqueId val="{00000000-D10B-4F9B-B9F7-C08A3F09C509}"/>
            </c:ext>
          </c:extLst>
        </c:ser>
        <c:ser>
          <c:idx val="1"/>
          <c:order val="1"/>
          <c:tx>
            <c:strRef>
              <c:f>'5-x'!$A$55</c:f>
              <c:strCache>
                <c:ptCount val="1"/>
                <c:pt idx="0">
                  <c:v>Mcal/kWh cogenerative</c:v>
                </c:pt>
              </c:strCache>
            </c:strRef>
          </c:tx>
          <c:marker>
            <c:symbol val="none"/>
          </c:marker>
          <c:xVal>
            <c:numRef>
              <c:f>'5-x'!$K$4:$AD$4</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'5-x'!$K$55:$AD$55</c:f>
              <c:numCache>
                <c:formatCode>General</c:formatCode>
                <c:ptCount val="20"/>
                <c:pt idx="0" formatCode="0.000">
                  <c:v>1.7031890000000001</c:v>
                </c:pt>
                <c:pt idx="1">
                  <c:v>1.673</c:v>
                </c:pt>
                <c:pt idx="2">
                  <c:v>1.698</c:v>
                </c:pt>
                <c:pt idx="3">
                  <c:v>1.667</c:v>
                </c:pt>
                <c:pt idx="4">
                  <c:v>1.6459999999999999</c:v>
                </c:pt>
                <c:pt idx="5" formatCode="0.000">
                  <c:v>1.6666460000000001</c:v>
                </c:pt>
                <c:pt idx="6">
                  <c:v>1.643</c:v>
                </c:pt>
                <c:pt idx="7">
                  <c:v>1.6639999999999999</c:v>
                </c:pt>
                <c:pt idx="8">
                  <c:v>1.5609999999999999</c:v>
                </c:pt>
                <c:pt idx="9">
                  <c:v>1.5980000000000001</c:v>
                </c:pt>
                <c:pt idx="10" formatCode="0.000">
                  <c:v>1.5529343412630172</c:v>
                </c:pt>
                <c:pt idx="11" formatCode="0.000">
                  <c:v>1.5462823636189931</c:v>
                </c:pt>
                <c:pt idx="12" formatCode="0.000">
                  <c:v>1.5452749116270184</c:v>
                </c:pt>
                <c:pt idx="13" formatCode="0.000">
                  <c:v>1.5542956434508457</c:v>
                </c:pt>
                <c:pt idx="14" formatCode="0.000">
                  <c:v>1.55412677940193</c:v>
                </c:pt>
                <c:pt idx="15" formatCode="0.000">
                  <c:v>1.553062903355533</c:v>
                </c:pt>
                <c:pt idx="16" formatCode="0.000">
                  <c:v>1.5423816682213749</c:v>
                </c:pt>
                <c:pt idx="17" formatCode="0.000">
                  <c:v>1.5277079810635823</c:v>
                </c:pt>
                <c:pt idx="18" formatCode="0.000">
                  <c:v>1.5419406261669841</c:v>
                </c:pt>
                <c:pt idx="19" formatCode="0.000">
                  <c:v>1.5384942429731439</c:v>
                </c:pt>
              </c:numCache>
            </c:numRef>
          </c:yVal>
          <c:smooth val="1"/>
          <c:extLst>
            <c:ext xmlns:c16="http://schemas.microsoft.com/office/drawing/2014/chart" uri="{C3380CC4-5D6E-409C-BE32-E72D297353CC}">
              <c16:uniqueId val="{00000001-D10B-4F9B-B9F7-C08A3F09C509}"/>
            </c:ext>
          </c:extLst>
        </c:ser>
        <c:dLbls>
          <c:showLegendKey val="0"/>
          <c:showVal val="0"/>
          <c:showCatName val="0"/>
          <c:showSerName val="0"/>
          <c:showPercent val="0"/>
          <c:showBubbleSize val="0"/>
        </c:dLbls>
        <c:axId val="151394176"/>
        <c:axId val="151395712"/>
      </c:scatterChart>
      <c:valAx>
        <c:axId val="151394176"/>
        <c:scaling>
          <c:orientation val="minMax"/>
          <c:max val="2025"/>
          <c:min val="2005"/>
        </c:scaling>
        <c:delete val="0"/>
        <c:axPos val="b"/>
        <c:numFmt formatCode="General" sourceLinked="1"/>
        <c:majorTickMark val="out"/>
        <c:minorTickMark val="none"/>
        <c:tickLblPos val="nextTo"/>
        <c:txPr>
          <a:bodyPr rot="-2700000"/>
          <a:lstStyle/>
          <a:p>
            <a:pPr>
              <a:defRPr sz="1200" b="1"/>
            </a:pPr>
            <a:endParaRPr lang="it-IT"/>
          </a:p>
        </c:txPr>
        <c:crossAx val="151395712"/>
        <c:crosses val="autoZero"/>
        <c:crossBetween val="midCat"/>
        <c:majorUnit val="1"/>
      </c:valAx>
      <c:valAx>
        <c:axId val="151395712"/>
        <c:scaling>
          <c:orientation val="minMax"/>
          <c:min val="1.4"/>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2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2833923382708"/>
          <c:y val="4.9341351442506835E-2"/>
          <c:w val="0.83678823791767121"/>
          <c:h val="0.73076477917422933"/>
        </c:manualLayout>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D366-4D3D-B52F-CAFBFC7CBFDD}"/>
            </c:ext>
          </c:extLst>
        </c:ser>
        <c:ser>
          <c:idx val="1"/>
          <c:order val="1"/>
          <c:tx>
            <c:strRef>
              <c:f>'5-x'!$J$119</c:f>
              <c:strCache>
                <c:ptCount val="1"/>
                <c:pt idx="0">
                  <c:v>Elettricità termo tot</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'5-x'!$K$119:$AB$119</c:f>
              <c:numCache>
                <c:formatCode>_(* #,##0.0_);_(* \(#,##0.0\);_(* "-"??_);_(@_)</c:formatCode>
                <c:ptCount val="18"/>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numCache>
            </c:numRef>
          </c:yVal>
          <c:smooth val="1"/>
          <c:extLst>
            <c:ext xmlns:c16="http://schemas.microsoft.com/office/drawing/2014/chart" uri="{C3380CC4-5D6E-409C-BE32-E72D297353CC}">
              <c16:uniqueId val="{00000007-D366-4D3D-B52F-CAFBFC7CBFDD}"/>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930F-4C7C-8C65-9A598B056F2E}"/>
            </c:ext>
          </c:extLst>
        </c:ser>
        <c:ser>
          <c:idx val="1"/>
          <c:order val="1"/>
          <c:tx>
            <c:strRef>
              <c:f>'5-x'!$J$120</c:f>
              <c:strCache>
                <c:ptCount val="1"/>
                <c:pt idx="0">
                  <c:v>Elettricità CHP</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'5-x'!$K$120:$AB$120</c:f>
              <c:numCache>
                <c:formatCode>_(* #,##0.0_);_(* \(#,##0.0\);_(* "-"??_);_(@_)</c:formatCode>
                <c:ptCount val="18"/>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numCache>
            </c:numRef>
          </c:yVal>
          <c:smooth val="1"/>
          <c:extLst>
            <c:ext xmlns:c16="http://schemas.microsoft.com/office/drawing/2014/chart" uri="{C3380CC4-5D6E-409C-BE32-E72D297353CC}">
              <c16:uniqueId val="{00000001-930F-4C7C-8C65-9A598B056F2E}"/>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14804360893226E-2"/>
          <c:y val="4.7647885835433675E-2"/>
          <c:w val="0.87770128737757935"/>
          <c:h val="0.59201059404133216"/>
        </c:manualLayout>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numCache>
            </c:numRef>
          </c:yVal>
          <c:smooth val="1"/>
          <c:extLst>
            <c:ext xmlns:c16="http://schemas.microsoft.com/office/drawing/2014/chart" uri="{C3380CC4-5D6E-409C-BE32-E72D297353CC}">
              <c16:uniqueId val="{00000000-C35C-4F21-902E-06DA676C0A65}"/>
            </c:ext>
          </c:extLst>
        </c:ser>
        <c:ser>
          <c:idx val="1"/>
          <c:order val="1"/>
          <c:tx>
            <c:strRef>
              <c:f>'5-x'!$A$89</c:f>
              <c:strCache>
                <c:ptCount val="1"/>
                <c:pt idx="0">
                  <c:v>Rend el. eq. - elc/fuel elc</c:v>
                </c:pt>
              </c:strCache>
            </c:strRef>
          </c:tx>
          <c:spPr>
            <a:ln w="19050" cap="rnd">
              <a:solidFill>
                <a:schemeClr val="accent2"/>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'5-x'!$K$89:$AB$89</c:f>
              <c:numCache>
                <c:formatCode>0.00%</c:formatCode>
                <c:ptCount val="18"/>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numCache>
            </c:numRef>
          </c:yVal>
          <c:smooth val="1"/>
          <c:extLst>
            <c:ext xmlns:c16="http://schemas.microsoft.com/office/drawing/2014/chart" uri="{C3380CC4-5D6E-409C-BE32-E72D297353CC}">
              <c16:uniqueId val="{00000002-C35C-4F21-902E-06DA676C0A65}"/>
            </c:ext>
          </c:extLst>
        </c:ser>
        <c:ser>
          <c:idx val="2"/>
          <c:order val="2"/>
          <c:tx>
            <c:strRef>
              <c:f>'5-x'!$A$90</c:f>
              <c:strCache>
                <c:ptCount val="1"/>
                <c:pt idx="0">
                  <c:v>Rend totale CHP - elc+heat/fuel tot</c:v>
                </c:pt>
              </c:strCache>
            </c:strRef>
          </c:tx>
          <c:spPr>
            <a:ln w="19050" cap="rnd">
              <a:solidFill>
                <a:schemeClr val="accent3"/>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'5-x'!$K$90:$AB$90</c:f>
              <c:numCache>
                <c:formatCode>0.00%</c:formatCode>
                <c:ptCount val="18"/>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numCache>
            </c:numRef>
          </c:yVal>
          <c:smooth val="1"/>
          <c:extLst>
            <c:ext xmlns:c16="http://schemas.microsoft.com/office/drawing/2014/chart" uri="{C3380CC4-5D6E-409C-BE32-E72D297353CC}">
              <c16:uniqueId val="{00000003-C35C-4F21-902E-06DA676C0A65}"/>
            </c:ext>
          </c:extLst>
        </c:ser>
        <c:ser>
          <c:idx val="3"/>
          <c:order val="3"/>
          <c:tx>
            <c:strRef>
              <c:f>'5-x'!$A$91</c:f>
              <c:strCache>
                <c:ptCount val="1"/>
                <c:pt idx="0">
                  <c:v>Rend el. eq. CHP - elc/fuel elc</c:v>
                </c:pt>
              </c:strCache>
            </c:strRef>
          </c:tx>
          <c:spPr>
            <a:ln w="19050" cap="rnd">
              <a:solidFill>
                <a:schemeClr val="accent4"/>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'5-x'!$K$91:$AB$91</c:f>
              <c:numCache>
                <c:formatCode>0.00%</c:formatCode>
                <c:ptCount val="18"/>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numCache>
            </c:numRef>
          </c:yVal>
          <c:smooth val="1"/>
          <c:extLst>
            <c:ext xmlns:c16="http://schemas.microsoft.com/office/drawing/2014/chart" uri="{C3380CC4-5D6E-409C-BE32-E72D297353CC}">
              <c16:uniqueId val="{00000004-C35C-4F21-902E-06DA676C0A65}"/>
            </c:ext>
          </c:extLst>
        </c:ser>
        <c:ser>
          <c:idx val="4"/>
          <c:order val="4"/>
          <c:tx>
            <c:strRef>
              <c:f>'5-x'!$A$92</c:f>
              <c:strCache>
                <c:ptCount val="1"/>
                <c:pt idx="0">
                  <c:v>Rend el. no CHP - elc/fuel tot</c:v>
                </c:pt>
              </c:strCache>
            </c:strRef>
          </c:tx>
          <c:spPr>
            <a:ln w="19050" cap="rnd">
              <a:solidFill>
                <a:schemeClr val="accent5"/>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'5-x'!$K$92:$AB$92</c:f>
              <c:numCache>
                <c:formatCode>0.00%</c:formatCode>
                <c:ptCount val="18"/>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numCache>
            </c:numRef>
          </c:yVal>
          <c:smooth val="1"/>
          <c:extLst>
            <c:ext xmlns:c16="http://schemas.microsoft.com/office/drawing/2014/chart" uri="{C3380CC4-5D6E-409C-BE32-E72D297353CC}">
              <c16:uniqueId val="{00000005-C35C-4F21-902E-06DA676C0A65}"/>
            </c:ext>
          </c:extLst>
        </c:ser>
        <c:ser>
          <c:idx val="5"/>
          <c:order val="5"/>
          <c:tx>
            <c:strRef>
              <c:f>'5-x'!$A$105</c:f>
              <c:strCache>
                <c:ptCount val="1"/>
                <c:pt idx="0">
                  <c:v>Rend el.  - elc/fuel tot</c:v>
                </c:pt>
              </c:strCache>
            </c:strRef>
          </c:tx>
          <c:spPr>
            <a:ln w="19050" cap="rnd">
              <a:solidFill>
                <a:schemeClr val="accent6"/>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numCache>
            </c:numRef>
          </c:yVal>
          <c:smooth val="1"/>
          <c:extLst>
            <c:ext xmlns:c16="http://schemas.microsoft.com/office/drawing/2014/chart" uri="{C3380CC4-5D6E-409C-BE32-E72D297353CC}">
              <c16:uniqueId val="{00000006-C35C-4F21-902E-06DA676C0A65}"/>
            </c:ext>
          </c:extLst>
        </c:ser>
        <c:ser>
          <c:idx val="6"/>
          <c:order val="6"/>
          <c:tx>
            <c:strRef>
              <c:f>'5-x'!$A$106</c:f>
              <c:strCache>
                <c:ptCount val="1"/>
                <c:pt idx="0">
                  <c:v>Rend el. CHP - elc/fuel tot</c:v>
                </c:pt>
              </c:strCache>
            </c:strRef>
          </c:tx>
          <c:spPr>
            <a:ln w="19050" cap="rnd">
              <a:solidFill>
                <a:schemeClr val="accent1">
                  <a:lumMod val="60000"/>
                </a:schemeClr>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'5-x'!$K$106:$AB$106</c:f>
              <c:numCache>
                <c:formatCode>0.00%</c:formatCode>
                <c:ptCount val="18"/>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numCache>
            </c:numRef>
          </c:yVal>
          <c:smooth val="1"/>
          <c:extLst>
            <c:ext xmlns:c16="http://schemas.microsoft.com/office/drawing/2014/chart" uri="{C3380CC4-5D6E-409C-BE32-E72D297353CC}">
              <c16:uniqueId val="{00000007-C35C-4F21-902E-06DA676C0A65}"/>
            </c:ext>
          </c:extLst>
        </c:ser>
        <c:dLbls>
          <c:showLegendKey val="0"/>
          <c:showVal val="0"/>
          <c:showCatName val="0"/>
          <c:showSerName val="0"/>
          <c:showPercent val="0"/>
          <c:showBubbleSize val="0"/>
        </c:dLbls>
        <c:axId val="1218186943"/>
        <c:axId val="1218185503"/>
      </c:scatterChart>
      <c:valAx>
        <c:axId val="1218186943"/>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6943"/>
        <c:crosses val="autoZero"/>
        <c:crossBetween val="midCat"/>
      </c:valAx>
      <c:spPr>
        <a:noFill/>
        <a:ln>
          <a:noFill/>
        </a:ln>
        <a:effectLst/>
      </c:spPr>
    </c:plotArea>
    <c:legend>
      <c:legendPos val="b"/>
      <c:layout>
        <c:manualLayout>
          <c:xMode val="edge"/>
          <c:yMode val="edge"/>
          <c:x val="0"/>
          <c:y val="0.71882732370567792"/>
          <c:w val="1"/>
          <c:h val="0.2605191409755570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'5-x'!$A$92</c:f>
              <c:strCache>
                <c:ptCount val="1"/>
                <c:pt idx="0">
                  <c:v>Rend el. no CHP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'5-x'!$K$92:$AD$92</c:f>
              <c:numCache>
                <c:formatCode>0.00%</c:formatCode>
                <c:ptCount val="20"/>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pt idx="18">
                  <c:v>0.4537322732105411</c:v>
                </c:pt>
                <c:pt idx="19">
                  <c:v>0.48101586125549195</c:v>
                </c:pt>
              </c:numCache>
            </c:numRef>
          </c:yVal>
          <c:smooth val="1"/>
          <c:extLst>
            <c:ext xmlns:c16="http://schemas.microsoft.com/office/drawing/2014/chart" uri="{C3380CC4-5D6E-409C-BE32-E72D297353CC}">
              <c16:uniqueId val="{00000000-4F19-4794-A809-30CD92709DB7}"/>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'5-x'!$J$113</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'5-x'!$L$113:$AD$113</c:f>
              <c:numCache>
                <c:formatCode>0.0%</c:formatCode>
                <c:ptCount val="19"/>
                <c:pt idx="0">
                  <c:v>1.0183029107054598E-2</c:v>
                </c:pt>
                <c:pt idx="1">
                  <c:v>1.6040100250626743E-2</c:v>
                </c:pt>
                <c:pt idx="2">
                  <c:v>1.2176560121765378E-2</c:v>
                </c:pt>
                <c:pt idx="3">
                  <c:v>-2.0864381520119157E-2</c:v>
                </c:pt>
                <c:pt idx="4">
                  <c:v>8.0463430903008337E-3</c:v>
                </c:pt>
                <c:pt idx="5">
                  <c:v>1.9729051680881238E-3</c:v>
                </c:pt>
                <c:pt idx="6">
                  <c:v>-1.725838264299806E-2</c:v>
                </c:pt>
                <c:pt idx="7">
                  <c:v>-2.7338129496402686E-2</c:v>
                </c:pt>
                <c:pt idx="8">
                  <c:v>-2.1586109807601894E-2</c:v>
                </c:pt>
                <c:pt idx="9">
                  <c:v>3.4543147075687619E-2</c:v>
                </c:pt>
                <c:pt idx="10">
                  <c:v>2.9451121106209177E-2</c:v>
                </c:pt>
                <c:pt idx="11">
                  <c:v>3.2863861341888123E-2</c:v>
                </c:pt>
                <c:pt idx="12">
                  <c:v>-8.1461326811372858E-3</c:v>
                </c:pt>
                <c:pt idx="13">
                  <c:v>3.3282238879690507E-2</c:v>
                </c:pt>
                <c:pt idx="14">
                  <c:v>4.1364321889230116E-3</c:v>
                </c:pt>
                <c:pt idx="15">
                  <c:v>3.4036098770577894E-3</c:v>
                </c:pt>
                <c:pt idx="16">
                  <c:v>-1.5001241388010178E-2</c:v>
                </c:pt>
                <c:pt idx="17">
                  <c:v>5.0662551568270153E-3</c:v>
                </c:pt>
                <c:pt idx="18">
                  <c:v>6.0131468832702373E-2</c:v>
                </c:pt>
              </c:numCache>
            </c:numRef>
          </c:yVal>
          <c:smooth val="1"/>
          <c:extLst>
            <c:ext xmlns:c16="http://schemas.microsoft.com/office/drawing/2014/chart" uri="{C3380CC4-5D6E-409C-BE32-E72D297353CC}">
              <c16:uniqueId val="{00000001-4F19-4794-A809-30CD92709DB7}"/>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max val="6.0000000000000012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27456101325031"/>
          <c:y val="5.0897804136111544E-2"/>
          <c:w val="0.79796568874904716"/>
          <c:h val="0.59353700072388105"/>
        </c:manualLayout>
      </c:layout>
      <c:scatterChart>
        <c:scatterStyle val="smoothMarker"/>
        <c:varyColors val="0"/>
        <c:ser>
          <c:idx val="4"/>
          <c:order val="0"/>
          <c:tx>
            <c:strRef>
              <c:f>'5-x'!$J$124</c:f>
              <c:strCache>
                <c:ptCount val="1"/>
                <c:pt idx="0">
                  <c:v>Elettricità totale</c:v>
                </c:pt>
              </c:strCache>
            </c:strRef>
          </c:tx>
          <c:spPr>
            <a:ln w="38100" cap="rnd">
              <a:solidFill>
                <a:srgbClr val="00206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'5-x'!$K$125:$AD$125</c:f>
              <c:numCache>
                <c:formatCode>_(* #,##0.0_);_(* \(#,##0.0\);_(* "-"??_);_(@_)</c:formatCode>
                <c:ptCount val="20"/>
                <c:pt idx="0">
                  <c:v>1</c:v>
                </c:pt>
                <c:pt idx="1">
                  <c:v>1.0343268754904134</c:v>
                </c:pt>
                <c:pt idx="2">
                  <c:v>1.0335534094901546</c:v>
                </c:pt>
                <c:pt idx="3">
                  <c:v>1.050812666139608</c:v>
                </c:pt>
                <c:pt idx="4">
                  <c:v>0.96359770680007995</c:v>
                </c:pt>
                <c:pt idx="5">
                  <c:v>0.99461366048299982</c:v>
                </c:pt>
                <c:pt idx="6">
                  <c:v>0.99632055407692954</c:v>
                </c:pt>
                <c:pt idx="7">
                  <c:v>0.98544046567328902</c:v>
                </c:pt>
                <c:pt idx="8">
                  <c:v>0.9542505891545513</c:v>
                </c:pt>
                <c:pt idx="9">
                  <c:v>0.92140314437472248</c:v>
                </c:pt>
                <c:pt idx="10">
                  <c:v>0.93182731918791672</c:v>
                </c:pt>
                <c:pt idx="11">
                  <c:v>0.9541330381276919</c:v>
                </c:pt>
                <c:pt idx="12">
                  <c:v>0.97409298244077425</c:v>
                </c:pt>
                <c:pt idx="13">
                  <c:v>0.95393632859173538</c:v>
                </c:pt>
                <c:pt idx="14">
                  <c:v>0.96758386277132624</c:v>
                </c:pt>
                <c:pt idx="15">
                  <c:v>0.92371733225682506</c:v>
                </c:pt>
                <c:pt idx="16">
                  <c:v>0.95183241654091133</c:v>
                </c:pt>
                <c:pt idx="17">
                  <c:v>0.93498549764364536</c:v>
                </c:pt>
                <c:pt idx="18">
                  <c:v>0.87161690820528892</c:v>
                </c:pt>
                <c:pt idx="19">
                  <c:v>0.89221270252317153</c:v>
                </c:pt>
              </c:numCache>
            </c:numRef>
          </c:yVal>
          <c:smooth val="1"/>
          <c:extLst>
            <c:ext xmlns:c16="http://schemas.microsoft.com/office/drawing/2014/chart" uri="{C3380CC4-5D6E-409C-BE32-E72D297353CC}">
              <c16:uniqueId val="{00000005-117B-4739-94EC-1DE7A847B6AD}"/>
            </c:ext>
          </c:extLst>
        </c:ser>
        <c:ser>
          <c:idx val="1"/>
          <c:order val="1"/>
          <c:tx>
            <c:strRef>
              <c:f>'5-x'!$J$119</c:f>
              <c:strCache>
                <c:ptCount val="1"/>
                <c:pt idx="0">
                  <c:v>Elettricità termo tot</c:v>
                </c:pt>
              </c:strCache>
            </c:strRef>
          </c:tx>
          <c:spPr>
            <a:ln w="38100" cap="rnd">
              <a:solidFill>
                <a:schemeClr val="accent2"/>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'5-x'!$K$119:$AD$119</c:f>
              <c:numCache>
                <c:formatCode>_(* #,##0.0_);_(* \(#,##0.0\);_(* "-"??_);_(@_)</c:formatCode>
                <c:ptCount val="20"/>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pt idx="18">
                  <c:v>0.61014419321722468</c:v>
                </c:pt>
                <c:pt idx="19">
                  <c:v>0.58776746883812436</c:v>
                </c:pt>
              </c:numCache>
            </c:numRef>
          </c:yVal>
          <c:smooth val="1"/>
          <c:extLst>
            <c:ext xmlns:c16="http://schemas.microsoft.com/office/drawing/2014/chart" uri="{C3380CC4-5D6E-409C-BE32-E72D297353CC}">
              <c16:uniqueId val="{00000002-117B-4739-94EC-1DE7A847B6AD}"/>
            </c:ext>
          </c:extLst>
        </c:ser>
        <c:ser>
          <c:idx val="0"/>
          <c:order val="2"/>
          <c:tx>
            <c:strRef>
              <c:f>'5-x'!$J$118</c:f>
              <c:strCache>
                <c:ptCount val="1"/>
                <c:pt idx="0">
                  <c:v>Calore</c:v>
                </c:pt>
              </c:strCache>
            </c:strRef>
          </c:tx>
          <c:spPr>
            <a:ln w="38100" cap="rnd">
              <a:solidFill>
                <a:schemeClr val="accent2">
                  <a:lumMod val="60000"/>
                  <a:lumOff val="40000"/>
                </a:schemeClr>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'5-x'!$K$118:$AD$118</c:f>
              <c:numCache>
                <c:formatCode>_(* #,##0.0_);_(* \(#,##0.0\);_(* "-"??_);_(@_)</c:formatCode>
                <c:ptCount val="20"/>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pt idx="18">
                  <c:v>0.94849577716160549</c:v>
                </c:pt>
                <c:pt idx="19">
                  <c:v>0.96442002232143509</c:v>
                </c:pt>
              </c:numCache>
            </c:numRef>
          </c:yVal>
          <c:smooth val="1"/>
          <c:extLst>
            <c:ext xmlns:c16="http://schemas.microsoft.com/office/drawing/2014/chart" uri="{C3380CC4-5D6E-409C-BE32-E72D297353CC}">
              <c16:uniqueId val="{00000000-117B-4739-94EC-1DE7A847B6AD}"/>
            </c:ext>
          </c:extLst>
        </c:ser>
        <c:ser>
          <c:idx val="2"/>
          <c:order val="3"/>
          <c:tx>
            <c:strRef>
              <c:f>'5-x'!$J$120</c:f>
              <c:strCache>
                <c:ptCount val="1"/>
                <c:pt idx="0">
                  <c:v>Elettricità CHP</c:v>
                </c:pt>
              </c:strCache>
            </c:strRef>
          </c:tx>
          <c:spPr>
            <a:ln w="19050" cap="rnd">
              <a:solidFill>
                <a:schemeClr val="accent1"/>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'5-x'!$K$120:$AD$120</c:f>
              <c:numCache>
                <c:formatCode>_(* #,##0.0_);_(* \(#,##0.0\);_(* "-"??_);_(@_)</c:formatCode>
                <c:ptCount val="20"/>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pt idx="18">
                  <c:v>1.0198820252681966</c:v>
                </c:pt>
                <c:pt idx="19">
                  <c:v>0.96585658762853865</c:v>
                </c:pt>
              </c:numCache>
            </c:numRef>
          </c:yVal>
          <c:smooth val="1"/>
          <c:extLst>
            <c:ext xmlns:c16="http://schemas.microsoft.com/office/drawing/2014/chart" uri="{C3380CC4-5D6E-409C-BE32-E72D297353CC}">
              <c16:uniqueId val="{00000003-117B-4739-94EC-1DE7A847B6AD}"/>
            </c:ext>
          </c:extLst>
        </c:ser>
        <c:ser>
          <c:idx val="3"/>
          <c:order val="4"/>
          <c:tx>
            <c:strRef>
              <c:f>'5-x'!$J$121</c:f>
              <c:strCache>
                <c:ptCount val="1"/>
                <c:pt idx="0">
                  <c:v>Elettricità no CHP</c:v>
                </c:pt>
              </c:strCache>
            </c:strRef>
          </c:tx>
          <c:spPr>
            <a:ln w="1905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'5-x'!$K$121:$AD$121</c:f>
              <c:numCache>
                <c:formatCode>_(* #,##0.0_);_(* \(#,##0.0\);_(* "-"??_);_(@_)</c:formatCode>
                <c:ptCount val="20"/>
                <c:pt idx="0">
                  <c:v>1</c:v>
                </c:pt>
                <c:pt idx="1">
                  <c:v>1.0124572306403183</c:v>
                </c:pt>
                <c:pt idx="2">
                  <c:v>0.99721769048631703</c:v>
                </c:pt>
                <c:pt idx="3">
                  <c:v>0.99972322907872102</c:v>
                </c:pt>
                <c:pt idx="4">
                  <c:v>0.79727990046403563</c:v>
                </c:pt>
                <c:pt idx="5">
                  <c:v>0.75542718576026302</c:v>
                </c:pt>
                <c:pt idx="6">
                  <c:v>0.80105820441690845</c:v>
                </c:pt>
                <c:pt idx="7">
                  <c:v>0.73618335438739035</c:v>
                </c:pt>
                <c:pt idx="8">
                  <c:v>0.64077343506992279</c:v>
                </c:pt>
                <c:pt idx="9">
                  <c:v>0.57359757761964303</c:v>
                </c:pt>
                <c:pt idx="10">
                  <c:v>0.60676247849629583</c:v>
                </c:pt>
                <c:pt idx="11">
                  <c:v>0.59396055379576085</c:v>
                </c:pt>
                <c:pt idx="12">
                  <c:v>0.62651414642197412</c:v>
                </c:pt>
                <c:pt idx="13">
                  <c:v>0.55358310427788815</c:v>
                </c:pt>
                <c:pt idx="14">
                  <c:v>0.55749788930432742</c:v>
                </c:pt>
                <c:pt idx="15">
                  <c:v>0.51007420761627875</c:v>
                </c:pt>
                <c:pt idx="16">
                  <c:v>0.55571925525769539</c:v>
                </c:pt>
                <c:pt idx="17">
                  <c:v>0.59082656746925999</c:v>
                </c:pt>
                <c:pt idx="18">
                  <c:v>0.416869695488507</c:v>
                </c:pt>
                <c:pt idx="19">
                  <c:v>0.38244117030933594</c:v>
                </c:pt>
              </c:numCache>
            </c:numRef>
          </c:yVal>
          <c:smooth val="1"/>
          <c:extLst>
            <c:ext xmlns:c16="http://schemas.microsoft.com/office/drawing/2014/chart" uri="{C3380CC4-5D6E-409C-BE32-E72D297353CC}">
              <c16:uniqueId val="{00000004-117B-4739-94EC-1DE7A847B6AD}"/>
            </c:ext>
          </c:extLst>
        </c:ser>
        <c:dLbls>
          <c:showLegendKey val="0"/>
          <c:showVal val="0"/>
          <c:showCatName val="0"/>
          <c:showSerName val="0"/>
          <c:showPercent val="0"/>
          <c:showBubbleSize val="0"/>
        </c:dLbls>
        <c:axId val="1208708607"/>
        <c:axId val="1208701887"/>
      </c:scatterChart>
      <c:valAx>
        <c:axId val="1208708607"/>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majorUnit val="1"/>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Indice (2005 = 1)</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title>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layout>
        <c:manualLayout>
          <c:xMode val="edge"/>
          <c:yMode val="edge"/>
          <c:x val="5.2494694547032809E-2"/>
          <c:y val="0.84754024108387849"/>
          <c:w val="0.93446289999476329"/>
          <c:h val="0.1263918290381686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'5-x'!$A$89</c:f>
              <c:strCache>
                <c:ptCount val="1"/>
                <c:pt idx="0">
                  <c:v>Rend el. eq. - elc/fuel elc</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'5-x'!$K$89:$AD$89</c:f>
              <c:numCache>
                <c:formatCode>0.00%</c:formatCode>
                <c:ptCount val="20"/>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pt idx="18">
                  <c:v>0.51219513721535048</c:v>
                </c:pt>
                <c:pt idx="19">
                  <c:v>0.52726047903985274</c:v>
                </c:pt>
              </c:numCache>
            </c:numRef>
          </c:yVal>
          <c:smooth val="1"/>
          <c:extLst>
            <c:ext xmlns:c16="http://schemas.microsoft.com/office/drawing/2014/chart" uri="{C3380CC4-5D6E-409C-BE32-E72D297353CC}">
              <c16:uniqueId val="{00000000-984B-4B06-88A1-4168DAF423F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'5-x'!$J$110</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'5-x'!$L$110:$AD$110</c:f>
              <c:numCache>
                <c:formatCode>0.0%</c:formatCode>
                <c:ptCount val="19"/>
                <c:pt idx="0">
                  <c:v>1.5035237948492597E-2</c:v>
                </c:pt>
                <c:pt idx="1">
                  <c:v>7.9149830126816756E-3</c:v>
                </c:pt>
                <c:pt idx="2">
                  <c:v>1.2291924436491408E-2</c:v>
                </c:pt>
                <c:pt idx="3">
                  <c:v>-3.4592390477239388E-4</c:v>
                </c:pt>
                <c:pt idx="4">
                  <c:v>7.6357024145612407E-3</c:v>
                </c:pt>
                <c:pt idx="5">
                  <c:v>3.3587419465197499E-4</c:v>
                </c:pt>
                <c:pt idx="6">
                  <c:v>-1.1813411477134661E-2</c:v>
                </c:pt>
                <c:pt idx="7">
                  <c:v>1.2739554590090574E-2</c:v>
                </c:pt>
                <c:pt idx="8">
                  <c:v>-1.9516009710866866E-2</c:v>
                </c:pt>
                <c:pt idx="9">
                  <c:v>3.6091771460227795E-2</c:v>
                </c:pt>
                <c:pt idx="10">
                  <c:v>2.6528483979068485E-2</c:v>
                </c:pt>
                <c:pt idx="11">
                  <c:v>1.6700100150668584E-2</c:v>
                </c:pt>
                <c:pt idx="12">
                  <c:v>-2.7981252615252306E-3</c:v>
                </c:pt>
                <c:pt idx="13">
                  <c:v>1.7727230562033069E-2</c:v>
                </c:pt>
                <c:pt idx="14">
                  <c:v>2.9672702036549481E-3</c:v>
                </c:pt>
                <c:pt idx="15">
                  <c:v>1.8273196297986516E-3</c:v>
                </c:pt>
                <c:pt idx="16">
                  <c:v>-4.0223477703175137E-3</c:v>
                </c:pt>
                <c:pt idx="17">
                  <c:v>1.1763246778368153E-2</c:v>
                </c:pt>
                <c:pt idx="18">
                  <c:v>2.9413285542709167E-2</c:v>
                </c:pt>
              </c:numCache>
            </c:numRef>
          </c:yVal>
          <c:smooth val="1"/>
          <c:extLst>
            <c:ext xmlns:c16="http://schemas.microsoft.com/office/drawing/2014/chart" uri="{C3380CC4-5D6E-409C-BE32-E72D297353CC}">
              <c16:uniqueId val="{00000001-984B-4B06-88A1-4168DAF423F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numCache>
            </c:numRef>
          </c:yVal>
          <c:smooth val="1"/>
          <c:extLst>
            <c:ext xmlns:c16="http://schemas.microsoft.com/office/drawing/2014/chart" uri="{C3380CC4-5D6E-409C-BE32-E72D297353CC}">
              <c16:uniqueId val="{00000000-5C87-431A-9A1B-5D19C7FF3A9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'5-x'!$J$109</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'5-x'!$L$109:$AB$109</c:f>
              <c:numCache>
                <c:formatCode>0.0%</c:formatCode>
                <c:ptCount val="17"/>
                <c:pt idx="0">
                  <c:v>1.6317284688043943E-2</c:v>
                </c:pt>
                <c:pt idx="1">
                  <c:v>4.5948406801887831E-3</c:v>
                </c:pt>
                <c:pt idx="2">
                  <c:v>9.7722978201961741E-3</c:v>
                </c:pt>
                <c:pt idx="3">
                  <c:v>1.215976951493003E-3</c:v>
                </c:pt>
                <c:pt idx="4">
                  <c:v>1.6499741336756468E-2</c:v>
                </c:pt>
                <c:pt idx="5">
                  <c:v>5.3240061789272541E-3</c:v>
                </c:pt>
                <c:pt idx="6">
                  <c:v>-8.4003770517830922E-3</c:v>
                </c:pt>
                <c:pt idx="7">
                  <c:v>2.2175354599389019E-2</c:v>
                </c:pt>
                <c:pt idx="8">
                  <c:v>-1.0697704280250409E-2</c:v>
                </c:pt>
                <c:pt idx="9">
                  <c:v>2.6644575451693964E-2</c:v>
                </c:pt>
                <c:pt idx="10">
                  <c:v>2.2648154843578405E-2</c:v>
                </c:pt>
                <c:pt idx="11">
                  <c:v>1.0135501193172525E-2</c:v>
                </c:pt>
                <c:pt idx="12">
                  <c:v>2.6904621960994746E-3</c:v>
                </c:pt>
                <c:pt idx="13">
                  <c:v>1.4685297038409706E-2</c:v>
                </c:pt>
                <c:pt idx="14">
                  <c:v>7.934911410891754E-3</c:v>
                </c:pt>
                <c:pt idx="15">
                  <c:v>-4.1833840501646069E-3</c:v>
                </c:pt>
                <c:pt idx="16">
                  <c:v>-9.618119223784416E-3</c:v>
                </c:pt>
              </c:numCache>
            </c:numRef>
          </c:yVal>
          <c:smooth val="1"/>
          <c:extLst>
            <c:ext xmlns:c16="http://schemas.microsoft.com/office/drawing/2014/chart" uri="{C3380CC4-5D6E-409C-BE32-E72D297353CC}">
              <c16:uniqueId val="{00000001-5C87-431A-9A1B-5D19C7FF3A9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min val="-3.0000000000000006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'5-x'!$A$105</c:f>
              <c:strCache>
                <c:ptCount val="1"/>
                <c:pt idx="0">
                  <c:v>Rend el.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0-72B9-4CC8-8AC6-CD38BA1D70FD}"/>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'5-x'!$J$114</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'5-x'!$L$114:$AD$114</c:f>
              <c:numCache>
                <c:formatCode>0.0%</c:formatCode>
                <c:ptCount val="19"/>
                <c:pt idx="0">
                  <c:v>8.4713132534659508E-3</c:v>
                </c:pt>
                <c:pt idx="1">
                  <c:v>1.0959391540686703E-2</c:v>
                </c:pt>
                <c:pt idx="2">
                  <c:v>1.2098567196245913E-2</c:v>
                </c:pt>
                <c:pt idx="3">
                  <c:v>-7.6014211678240295E-3</c:v>
                </c:pt>
                <c:pt idx="4">
                  <c:v>-1.1883051182016713E-3</c:v>
                </c:pt>
                <c:pt idx="5">
                  <c:v>-9.8957799205109387E-3</c:v>
                </c:pt>
                <c:pt idx="6">
                  <c:v>-6.1423811843590581E-3</c:v>
                </c:pt>
                <c:pt idx="7">
                  <c:v>-1.4378133162672224E-2</c:v>
                </c:pt>
                <c:pt idx="8">
                  <c:v>-2.0449513623120197E-2</c:v>
                </c:pt>
                <c:pt idx="9">
                  <c:v>3.4960540893571146E-2</c:v>
                </c:pt>
                <c:pt idx="10">
                  <c:v>2.4612962521769033E-2</c:v>
                </c:pt>
                <c:pt idx="11">
                  <c:v>2.1500296471690827E-2</c:v>
                </c:pt>
                <c:pt idx="12">
                  <c:v>-1.0925226313617808E-2</c:v>
                </c:pt>
                <c:pt idx="13">
                  <c:v>1.5893177691344906E-2</c:v>
                </c:pt>
                <c:pt idx="14">
                  <c:v>-6.6970180206271657E-3</c:v>
                </c:pt>
                <c:pt idx="15">
                  <c:v>1.338866381948689E-2</c:v>
                </c:pt>
                <c:pt idx="16">
                  <c:v>5.4463514611780006E-3</c:v>
                </c:pt>
                <c:pt idx="17">
                  <c:v>-4.706741478531562E-3</c:v>
                </c:pt>
                <c:pt idx="18">
                  <c:v>1.1321932461296758E-2</c:v>
                </c:pt>
              </c:numCache>
            </c:numRef>
          </c:yVal>
          <c:smooth val="1"/>
          <c:extLst>
            <c:ext xmlns:c16="http://schemas.microsoft.com/office/drawing/2014/chart" uri="{C3380CC4-5D6E-409C-BE32-E72D297353CC}">
              <c16:uniqueId val="{00000001-72B9-4CC8-8AC6-CD38BA1D70FD}"/>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0804470305717"/>
          <c:y val="4.5716875614552607E-2"/>
          <c:w val="0.77107993904128569"/>
          <c:h val="0.72694659537856421"/>
        </c:manualLayout>
      </c:layout>
      <c:scatterChart>
        <c:scatterStyle val="smoothMarker"/>
        <c:varyColors val="0"/>
        <c:ser>
          <c:idx val="0"/>
          <c:order val="0"/>
          <c:tx>
            <c:strRef>
              <c:f>'5-x'!$A$90</c:f>
              <c:strCache>
                <c:ptCount val="1"/>
                <c:pt idx="0">
                  <c:v>Rend totale CHP - elc+heat/fuel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'5-x'!$K$90:$AD$90</c:f>
              <c:numCache>
                <c:formatCode>0.00%</c:formatCode>
                <c:ptCount val="20"/>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pt idx="18">
                  <c:v>0.63927548300353576</c:v>
                </c:pt>
                <c:pt idx="19">
                  <c:v>0.64513100704518722</c:v>
                </c:pt>
              </c:numCache>
            </c:numRef>
          </c:yVal>
          <c:smooth val="1"/>
          <c:extLst>
            <c:ext xmlns:c16="http://schemas.microsoft.com/office/drawing/2014/chart" uri="{C3380CC4-5D6E-409C-BE32-E72D297353CC}">
              <c16:uniqueId val="{00000000-AAE9-40AA-845A-6B17DF6F269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'5-x'!$J$111</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'5-x'!$L$111:$AD$111</c:f>
              <c:numCache>
                <c:formatCode>0.0%</c:formatCode>
                <c:ptCount val="19"/>
                <c:pt idx="0">
                  <c:v>1.2429101576957979E-2</c:v>
                </c:pt>
                <c:pt idx="1">
                  <c:v>-1.966137356961517E-2</c:v>
                </c:pt>
                <c:pt idx="2">
                  <c:v>1.5287838355035221E-2</c:v>
                </c:pt>
                <c:pt idx="3">
                  <c:v>-2.7032324051442513E-3</c:v>
                </c:pt>
                <c:pt idx="4">
                  <c:v>-3.9855261507717454E-3</c:v>
                </c:pt>
                <c:pt idx="5">
                  <c:v>2.5883210041366844E-2</c:v>
                </c:pt>
                <c:pt idx="6">
                  <c:v>-9.3642817024591762E-3</c:v>
                </c:pt>
                <c:pt idx="7">
                  <c:v>5.5940529467150002E-2</c:v>
                </c:pt>
                <c:pt idx="8">
                  <c:v>-1.0120623597478007E-2</c:v>
                </c:pt>
                <c:pt idx="9">
                  <c:v>1.1805126402653077E-2</c:v>
                </c:pt>
                <c:pt idx="10">
                  <c:v>-1.8823722218762606E-3</c:v>
                </c:pt>
                <c:pt idx="11">
                  <c:v>-3.8439902719991093E-3</c:v>
                </c:pt>
                <c:pt idx="12">
                  <c:v>-1.9972089731430387E-3</c:v>
                </c:pt>
                <c:pt idx="13">
                  <c:v>-9.9954956689130015E-4</c:v>
                </c:pt>
                <c:pt idx="14">
                  <c:v>5.6832343531159069E-3</c:v>
                </c:pt>
                <c:pt idx="15">
                  <c:v>2.2404043289931952E-3</c:v>
                </c:pt>
                <c:pt idx="16">
                  <c:v>5.6793798168386367E-4</c:v>
                </c:pt>
                <c:pt idx="17">
                  <c:v>-9.9529264332735012E-3</c:v>
                </c:pt>
                <c:pt idx="18">
                  <c:v>9.1596255406827254E-3</c:v>
                </c:pt>
              </c:numCache>
            </c:numRef>
          </c:yVal>
          <c:smooth val="1"/>
          <c:extLst>
            <c:ext xmlns:c16="http://schemas.microsoft.com/office/drawing/2014/chart" uri="{C3380CC4-5D6E-409C-BE32-E72D297353CC}">
              <c16:uniqueId val="{00000001-AAE9-40AA-845A-6B17DF6F269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layout>
        <c:manualLayout>
          <c:xMode val="edge"/>
          <c:yMode val="edge"/>
          <c:x val="3.2854437979126259E-2"/>
          <c:y val="0.8887536873156342"/>
          <c:w val="0.94308857485914854"/>
          <c:h val="8.78318584070796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56682989152"/>
          <c:h val="0.72432435895314162"/>
        </c:manualLayout>
      </c:layout>
      <c:lineChart>
        <c:grouping val="standard"/>
        <c:varyColors val="0"/>
        <c:ser>
          <c:idx val="2"/>
          <c:order val="0"/>
          <c:tx>
            <c:v> solidi</c:v>
          </c:tx>
          <c:spPr>
            <a:ln w="28575">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0.14795475530932592</c:v>
              </c:pt>
              <c:pt idx="1">
                <c:v>0.12851613833957348</c:v>
              </c:pt>
              <c:pt idx="2">
                <c:v>9.4380651833779736E-2</c:v>
              </c:pt>
              <c:pt idx="3">
                <c:v>7.4770423963878244E-2</c:v>
              </c:pt>
              <c:pt idx="4">
                <c:v>8.5655358830642153E-2</c:v>
              </c:pt>
              <c:pt idx="5">
                <c:v>9.9888897308896538E-2</c:v>
              </c:pt>
              <c:pt idx="6">
                <c:v>9.033198230835035E-2</c:v>
              </c:pt>
              <c:pt idx="7">
                <c:v>8.15923025349366E-2</c:v>
              </c:pt>
              <c:pt idx="8">
                <c:v>8.9728785114359833E-2</c:v>
              </c:pt>
              <c:pt idx="9">
                <c:v>8.9633635876340809E-2</c:v>
              </c:pt>
              <c:pt idx="10">
                <c:v>9.4967468798133045E-2</c:v>
              </c:pt>
              <c:pt idx="11">
                <c:v>0.11372409309247099</c:v>
              </c:pt>
              <c:pt idx="12">
                <c:v>0.12425475888680748</c:v>
              </c:pt>
              <c:pt idx="13">
                <c:v>0.13206916064473079</c:v>
              </c:pt>
              <c:pt idx="14">
                <c:v>0.15005198646308107</c:v>
              </c:pt>
              <c:pt idx="15">
                <c:v>0.14358446337626965</c:v>
              </c:pt>
              <c:pt idx="16">
                <c:v>0.14073281508606977</c:v>
              </c:pt>
              <c:pt idx="17">
                <c:v>0.14053484045264553</c:v>
              </c:pt>
              <c:pt idx="18">
                <c:v>0.13497275088240016</c:v>
              </c:pt>
              <c:pt idx="19">
                <c:v>0.13581481301765361</c:v>
              </c:pt>
              <c:pt idx="20">
                <c:v>0.13154249616502678</c:v>
              </c:pt>
              <c:pt idx="21">
                <c:v>0.14781522904684594</c:v>
              </c:pt>
              <c:pt idx="22">
                <c:v>0.16420082853230564</c:v>
              </c:pt>
              <c:pt idx="23">
                <c:v>0.15563765705016391</c:v>
              </c:pt>
              <c:pt idx="24">
                <c:v>0.15529063904209797</c:v>
              </c:pt>
              <c:pt idx="25">
                <c:v>0.15265800688353817</c:v>
              </c:pt>
              <c:pt idx="26">
                <c:v>0.12288339438213025</c:v>
              </c:pt>
              <c:pt idx="27">
                <c:v>0.11029113644724294</c:v>
              </c:pt>
              <c:pt idx="28">
                <c:v>9.8270750280906358E-2</c:v>
              </c:pt>
              <c:pt idx="29">
                <c:v>6.4111773457795979E-2</c:v>
              </c:pt>
              <c:pt idx="30">
                <c:v>4.7693432182796015E-2</c:v>
              </c:pt>
              <c:pt idx="31">
                <c:v>4.8507083769751588E-2</c:v>
              </c:pt>
              <c:pt idx="32">
                <c:v>7.9614026765364998E-2</c:v>
              </c:pt>
              <c:pt idx="33">
                <c:v>4.9941346304237196E-2</c:v>
              </c:pt>
              <c:pt idx="34">
                <c:v>1.457184816690393E-2</c:v>
              </c:pt>
              <c:pt idx="35">
                <c:v>1.2091717331429296E-2</c:v>
              </c:pt>
            </c:numLit>
          </c:val>
          <c:smooth val="1"/>
          <c:extLst>
            <c:ext xmlns:c16="http://schemas.microsoft.com/office/drawing/2014/chart" uri="{C3380CC4-5D6E-409C-BE32-E72D297353CC}">
              <c16:uniqueId val="{00000000-C643-41E7-99B5-63A7395BFA81}"/>
            </c:ext>
          </c:extLst>
        </c:ser>
        <c:ser>
          <c:idx val="3"/>
          <c:order val="1"/>
          <c:tx>
            <c:v> gas naturale</c:v>
          </c:tx>
          <c:spPr>
            <a:ln w="28575">
              <a:solidFill>
                <a:schemeClr val="accent1"/>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0.18332871652816252</c:v>
              </c:pt>
              <c:pt idx="1">
                <c:v>0.16383812746121232</c:v>
              </c:pt>
              <c:pt idx="2">
                <c:v>0.15679722789431347</c:v>
              </c:pt>
              <c:pt idx="3">
                <c:v>0.17936553531835442</c:v>
              </c:pt>
              <c:pt idx="4">
                <c:v>0.17602141729076967</c:v>
              </c:pt>
              <c:pt idx="5">
                <c:v>0.1946181243563353</c:v>
              </c:pt>
              <c:pt idx="6">
                <c:v>0.20533752373362374</c:v>
              </c:pt>
              <c:pt idx="7">
                <c:v>0.24373900961467343</c:v>
              </c:pt>
              <c:pt idx="8">
                <c:v>0.27284309876286594</c:v>
              </c:pt>
              <c:pt idx="9">
                <c:v>0.32742325505760761</c:v>
              </c:pt>
              <c:pt idx="10">
                <c:v>0.36639397980278493</c:v>
              </c:pt>
              <c:pt idx="11">
                <c:v>0.37342038919230452</c:v>
              </c:pt>
              <c:pt idx="12">
                <c:v>0.34848189547835651</c:v>
              </c:pt>
              <c:pt idx="13">
                <c:v>0.39914061301078418</c:v>
              </c:pt>
              <c:pt idx="14">
                <c:v>0.42779914303101191</c:v>
              </c:pt>
              <c:pt idx="15">
                <c:v>0.49147063578641798</c:v>
              </c:pt>
              <c:pt idx="16">
                <c:v>0.50323870052135633</c:v>
              </c:pt>
              <c:pt idx="17">
                <c:v>0.55002389387297368</c:v>
              </c:pt>
              <c:pt idx="18">
                <c:v>0.54115067984918985</c:v>
              </c:pt>
              <c:pt idx="19">
                <c:v>0.50324218005170807</c:v>
              </c:pt>
              <c:pt idx="20">
                <c:v>0.50564738215402616</c:v>
              </c:pt>
              <c:pt idx="21">
                <c:v>0.4777175631235408</c:v>
              </c:pt>
              <c:pt idx="22">
                <c:v>0.43123409078302921</c:v>
              </c:pt>
              <c:pt idx="23">
                <c:v>0.37568714568713535</c:v>
              </c:pt>
              <c:pt idx="24">
                <c:v>0.33462424444712863</c:v>
              </c:pt>
              <c:pt idx="25">
                <c:v>0.39174010756411798</c:v>
              </c:pt>
              <c:pt idx="26">
                <c:v>0.43534142117734104</c:v>
              </c:pt>
              <c:pt idx="27">
                <c:v>0.4743700351923692</c:v>
              </c:pt>
              <c:pt idx="28">
                <c:v>0.44350639563290067</c:v>
              </c:pt>
              <c:pt idx="29">
                <c:v>0.48216935633586394</c:v>
              </c:pt>
              <c:pt idx="30">
                <c:v>0.47653477476337064</c:v>
              </c:pt>
              <c:pt idx="31">
                <c:v>0.49814299727081174</c:v>
              </c:pt>
              <c:pt idx="32">
                <c:v>0.49812907901925657</c:v>
              </c:pt>
              <c:pt idx="33">
                <c:v>0.44950063939437052</c:v>
              </c:pt>
              <c:pt idx="34">
                <c:v>0.4375272320974119</c:v>
              </c:pt>
              <c:pt idx="35">
                <c:v>0.45687838503073358</c:v>
              </c:pt>
            </c:numLit>
          </c:val>
          <c:smooth val="1"/>
          <c:extLst>
            <c:ext xmlns:c16="http://schemas.microsoft.com/office/drawing/2014/chart" uri="{C3380CC4-5D6E-409C-BE32-E72D297353CC}">
              <c16:uniqueId val="{00000001-C643-41E7-99B5-63A7395BFA81}"/>
            </c:ext>
          </c:extLst>
        </c:ser>
        <c:ser>
          <c:idx val="4"/>
          <c:order val="2"/>
          <c:tx>
            <c:v> gas derivati </c:v>
          </c:tx>
          <c:spPr>
            <a:ln w="28575">
              <a:solidFill>
                <a:srgbClr val="7030A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1.7151431209602955E-2</c:v>
              </c:pt>
              <c:pt idx="1">
                <c:v>1.6527174488822967E-2</c:v>
              </c:pt>
              <c:pt idx="2">
                <c:v>1.6136731284308786E-2</c:v>
              </c:pt>
              <c:pt idx="3">
                <c:v>1.5870593621242178E-2</c:v>
              </c:pt>
              <c:pt idx="4">
                <c:v>1.3321099318544671E-2</c:v>
              </c:pt>
              <c:pt idx="5">
                <c:v>1.4269842472699506E-2</c:v>
              </c:pt>
              <c:pt idx="6">
                <c:v>1.3267509901538957E-2</c:v>
              </c:pt>
              <c:pt idx="7">
                <c:v>1.690461439107201E-2</c:v>
              </c:pt>
              <c:pt idx="8">
                <c:v>1.738300345658483E-2</c:v>
              </c:pt>
              <c:pt idx="9">
                <c:v>1.6611508278275323E-2</c:v>
              </c:pt>
              <c:pt idx="10">
                <c:v>1.5370039484228902E-2</c:v>
              </c:pt>
              <c:pt idx="11">
                <c:v>1.8081879913379017E-2</c:v>
              </c:pt>
              <c:pt idx="12">
                <c:v>1.7600449808747153E-2</c:v>
              </c:pt>
              <c:pt idx="13">
                <c:v>1.804794342255564E-2</c:v>
              </c:pt>
              <c:pt idx="14">
                <c:v>1.766616713070986E-2</c:v>
              </c:pt>
              <c:pt idx="15">
                <c:v>1.9141390177541562E-2</c:v>
              </c:pt>
              <c:pt idx="16">
                <c:v>1.983013654846558E-2</c:v>
              </c:pt>
              <c:pt idx="17">
                <c:v>1.7914351615862981E-2</c:v>
              </c:pt>
              <c:pt idx="18">
                <c:v>1.7286707343975614E-2</c:v>
              </c:pt>
              <c:pt idx="19">
                <c:v>1.2543286589170543E-2</c:v>
              </c:pt>
              <c:pt idx="20">
                <c:v>1.5557729060198488E-2</c:v>
              </c:pt>
              <c:pt idx="21">
                <c:v>1.7890778538706697E-2</c:v>
              </c:pt>
              <c:pt idx="22">
                <c:v>1.6606064899246917E-2</c:v>
              </c:pt>
              <c:pt idx="23">
                <c:v>1.1697565146638812E-2</c:v>
              </c:pt>
              <c:pt idx="24">
                <c:v>1.0969587768495099E-2</c:v>
              </c:pt>
              <c:pt idx="25">
                <c:v>7.7291391336918808E-3</c:v>
              </c:pt>
              <c:pt idx="26">
                <c:v>9.6518527567897375E-3</c:v>
              </c:pt>
              <c:pt idx="27">
                <c:v>8.3451788595844921E-3</c:v>
              </c:pt>
              <c:pt idx="28">
                <c:v>8.5803316469331235E-3</c:v>
              </c:pt>
              <c:pt idx="29">
                <c:v>8.2127743700041896E-3</c:v>
              </c:pt>
              <c:pt idx="30">
                <c:v>5.9297692342850901E-3</c:v>
              </c:pt>
              <c:pt idx="31">
                <c:v>6.6215468887028395E-3</c:v>
              </c:pt>
              <c:pt idx="32">
                <c:v>5.5973428327157522E-3</c:v>
              </c:pt>
              <c:pt idx="33">
                <c:v>4.3691065302383127E-3</c:v>
              </c:pt>
              <c:pt idx="34">
                <c:v>3.0118820336753629E-3</c:v>
              </c:pt>
              <c:pt idx="35">
                <c:v>2.6251678520429647E-3</c:v>
              </c:pt>
            </c:numLit>
          </c:val>
          <c:smooth val="1"/>
          <c:extLst>
            <c:ext xmlns:c16="http://schemas.microsoft.com/office/drawing/2014/chart" uri="{C3380CC4-5D6E-409C-BE32-E72D297353CC}">
              <c16:uniqueId val="{00000002-C643-41E7-99B5-63A7395BFA81}"/>
            </c:ext>
          </c:extLst>
        </c:ser>
        <c:ser>
          <c:idx val="5"/>
          <c:order val="3"/>
          <c:tx>
            <c:v> prodotti petroliferi</c:v>
          </c:tx>
          <c:spPr>
            <a:ln w="28575">
              <a:solidFill>
                <a:schemeClr val="tx1">
                  <a:lumMod val="50000"/>
                  <a:lumOff val="5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0.47423361034164357</c:v>
              </c:pt>
              <c:pt idx="1">
                <c:v>0.47014987613635595</c:v>
              </c:pt>
              <c:pt idx="2">
                <c:v>0.51278651427157085</c:v>
              </c:pt>
              <c:pt idx="3">
                <c:v>0.51130151434906335</c:v>
              </c:pt>
              <c:pt idx="4">
                <c:v>0.50174990412518383</c:v>
              </c:pt>
              <c:pt idx="5">
                <c:v>0.50023127414454449</c:v>
              </c:pt>
              <c:pt idx="6">
                <c:v>0.47902133806703467</c:v>
              </c:pt>
              <c:pt idx="7">
                <c:v>0.45059883930396416</c:v>
              </c:pt>
              <c:pt idx="8">
                <c:v>0.41303879227387846</c:v>
              </c:pt>
              <c:pt idx="9">
                <c:v>0.34397077157501038</c:v>
              </c:pt>
              <c:pt idx="10">
                <c:v>0.31042997432422614</c:v>
              </c:pt>
              <c:pt idx="11">
                <c:v>0.26883830820985455</c:v>
              </c:pt>
              <c:pt idx="12">
                <c:v>0.30765067471312074</c:v>
              </c:pt>
              <c:pt idx="13">
                <c:v>0.25855788629455373</c:v>
              </c:pt>
              <c:pt idx="14">
                <c:v>0.19413696867164534</c:v>
              </c:pt>
              <c:pt idx="15">
                <c:v>0.1551650505321242</c:v>
              </c:pt>
              <c:pt idx="16">
                <c:v>0.14604952392837323</c:v>
              </c:pt>
              <c:pt idx="17">
                <c:v>0.11280520440411863</c:v>
              </c:pt>
              <c:pt idx="18">
                <c:v>9.8576252406545814E-2</c:v>
              </c:pt>
              <c:pt idx="19">
                <c:v>8.891665123259565E-2</c:v>
              </c:pt>
              <c:pt idx="20">
                <c:v>7.1891513161797732E-2</c:v>
              </c:pt>
              <c:pt idx="21">
                <c:v>6.5718387763704242E-2</c:v>
              </c:pt>
              <c:pt idx="22">
                <c:v>6.311427370435739E-2</c:v>
              </c:pt>
              <c:pt idx="23">
                <c:v>5.3421296262748691E-2</c:v>
              </c:pt>
              <c:pt idx="24">
                <c:v>5.0617486014633263E-2</c:v>
              </c:pt>
              <c:pt idx="25">
                <c:v>4.7300649483734643E-2</c:v>
              </c:pt>
              <c:pt idx="26">
                <c:v>4.1860010863856004E-2</c:v>
              </c:pt>
              <c:pt idx="27">
                <c:v>3.8963914130431675E-2</c:v>
              </c:pt>
              <c:pt idx="28">
                <c:v>3.8069753151331105E-2</c:v>
              </c:pt>
              <c:pt idx="29">
                <c:v>3.4551659878252962E-2</c:v>
              </c:pt>
              <c:pt idx="30">
                <c:v>3.5800884916097016E-2</c:v>
              </c:pt>
              <c:pt idx="31">
                <c:v>2.6803537972473254E-2</c:v>
              </c:pt>
              <c:pt idx="32">
                <c:v>4.5295986670940688E-2</c:v>
              </c:pt>
              <c:pt idx="33">
                <c:v>3.8500823505800655E-2</c:v>
              </c:pt>
              <c:pt idx="34">
                <c:v>3.1649798644864779E-2</c:v>
              </c:pt>
              <c:pt idx="35">
                <c:v>2.7945330884521367E-2</c:v>
              </c:pt>
            </c:numLit>
          </c:val>
          <c:smooth val="1"/>
          <c:extLst>
            <c:ext xmlns:c16="http://schemas.microsoft.com/office/drawing/2014/chart" uri="{C3380CC4-5D6E-409C-BE32-E72D297353CC}">
              <c16:uniqueId val="{00000003-C643-41E7-99B5-63A7395BFA81}"/>
            </c:ext>
          </c:extLst>
        </c:ser>
        <c:ser>
          <c:idx val="6"/>
          <c:order val="4"/>
          <c:tx>
            <c:v> rifiuti non rinnovabili</c:v>
          </c:tx>
          <c:spPr>
            <a:ln w="28575">
              <a:solidFill>
                <a:schemeClr val="accent3">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4.7553093259464452E-4</c:v>
              </c:pt>
              <c:pt idx="1">
                <c:v>9.8279433676034026E-4</c:v>
              </c:pt>
              <c:pt idx="2">
                <c:v>8.1324529069099329E-4</c:v>
              </c:pt>
              <c:pt idx="3">
                <c:v>9.3356433066130466E-4</c:v>
              </c:pt>
              <c:pt idx="4">
                <c:v>1.2208131823666262E-3</c:v>
              </c:pt>
              <c:pt idx="5">
                <c:v>1.6108440864422832E-3</c:v>
              </c:pt>
              <c:pt idx="6">
                <c:v>2.4751290442278965E-3</c:v>
              </c:pt>
              <c:pt idx="7">
                <c:v>3.2687821758318495E-3</c:v>
              </c:pt>
              <c:pt idx="8">
                <c:v>4.7422188349230537E-3</c:v>
              </c:pt>
              <c:pt idx="9">
                <c:v>6.86217529827689E-3</c:v>
              </c:pt>
              <c:pt idx="10">
                <c:v>6.8969979623491875E-3</c:v>
              </c:pt>
              <c:pt idx="11">
                <c:v>9.2731908622171524E-3</c:v>
              </c:pt>
              <c:pt idx="12">
                <c:v>1.2305942859706783E-2</c:v>
              </c:pt>
              <c:pt idx="13">
                <c:v>1.5288350263488404E-2</c:v>
              </c:pt>
              <c:pt idx="14">
                <c:v>1.858392434832315E-2</c:v>
              </c:pt>
              <c:pt idx="15">
                <c:v>2.0266521434623021E-2</c:v>
              </c:pt>
              <c:pt idx="16">
                <c:v>2.1471213973893653E-2</c:v>
              </c:pt>
              <c:pt idx="17">
                <c:v>2.2153443266388011E-2</c:v>
              </c:pt>
              <c:pt idx="18">
                <c:v>2.4020648664367081E-2</c:v>
              </c:pt>
              <c:pt idx="19">
                <c:v>3.1878817369719925E-2</c:v>
              </c:pt>
              <c:pt idx="20">
                <c:v>3.8352381073453512E-2</c:v>
              </c:pt>
              <c:pt idx="21">
                <c:v>4.341622059798575E-2</c:v>
              </c:pt>
              <c:pt idx="22">
                <c:v>4.9295266379351263E-2</c:v>
              </c:pt>
              <c:pt idx="23">
                <c:v>6.6883157887109176E-2</c:v>
              </c:pt>
              <c:pt idx="24">
                <c:v>7.5703592418491075E-2</c:v>
              </c:pt>
              <c:pt idx="25">
                <c:v>7.7117182696452916E-2</c:v>
              </c:pt>
              <c:pt idx="26">
                <c:v>7.5963131910264825E-2</c:v>
              </c:pt>
              <c:pt idx="27">
                <c:v>7.3919958876501671E-2</c:v>
              </c:pt>
              <c:pt idx="28">
                <c:v>7.4752658357632992E-2</c:v>
              </c:pt>
              <c:pt idx="29">
                <c:v>7.4837076969652472E-2</c:v>
              </c:pt>
              <c:pt idx="30">
                <c:v>7.8551344043728433E-2</c:v>
              </c:pt>
              <c:pt idx="31">
                <c:v>7.4204349572552564E-2</c:v>
              </c:pt>
              <c:pt idx="32">
                <c:v>7.0475911937373709E-2</c:v>
              </c:pt>
              <c:pt idx="33">
                <c:v>6.9585611012721246E-2</c:v>
              </c:pt>
              <c:pt idx="34">
                <c:v>7.2168644645269661E-2</c:v>
              </c:pt>
              <c:pt idx="35">
                <c:v>7.4115581595664171E-2</c:v>
              </c:pt>
            </c:numLit>
          </c:val>
          <c:smooth val="1"/>
          <c:extLst>
            <c:ext xmlns:c16="http://schemas.microsoft.com/office/drawing/2014/chart" uri="{C3380CC4-5D6E-409C-BE32-E72D297353CC}">
              <c16:uniqueId val="{00000004-C643-41E7-99B5-63A7395BFA81}"/>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3.0253934631825134E-2"/>
          <c:y val="0.90471529273099882"/>
          <c:w val="0.95054996449220541"/>
          <c:h val="6.765143161992204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'5-x'!$A$106</c:f>
              <c:strCache>
                <c:ptCount val="1"/>
                <c:pt idx="0">
                  <c:v>Rend el. CHP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'5-x'!$K$106:$AD$106</c:f>
              <c:numCache>
                <c:formatCode>0.00%</c:formatCode>
                <c:ptCount val="20"/>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pt idx="18">
                  <c:v>0.41832261897623979</c:v>
                </c:pt>
                <c:pt idx="19">
                  <c:v>0.41167299795114426</c:v>
                </c:pt>
              </c:numCache>
            </c:numRef>
          </c:yVal>
          <c:smooth val="1"/>
          <c:extLst>
            <c:ext xmlns:c16="http://schemas.microsoft.com/office/drawing/2014/chart" uri="{C3380CC4-5D6E-409C-BE32-E72D297353CC}">
              <c16:uniqueId val="{00000000-BBE8-4B7E-84CE-A9AEB3CCD6EB}"/>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'5-x'!$J$115</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'5-x'!$L$115:$AD$115</c:f>
              <c:numCache>
                <c:formatCode>0.0%</c:formatCode>
                <c:ptCount val="19"/>
                <c:pt idx="0">
                  <c:v>1.0527881995278987E-2</c:v>
                </c:pt>
                <c:pt idx="1">
                  <c:v>8.2152568885118793E-3</c:v>
                </c:pt>
                <c:pt idx="2">
                  <c:v>1.0046563499350736E-2</c:v>
                </c:pt>
                <c:pt idx="3">
                  <c:v>2.0766502551245347E-2</c:v>
                </c:pt>
                <c:pt idx="4">
                  <c:v>-7.0081494960784196E-3</c:v>
                </c:pt>
                <c:pt idx="5">
                  <c:v>-2.9576900111815241E-2</c:v>
                </c:pt>
                <c:pt idx="6">
                  <c:v>1.0175515072055719E-2</c:v>
                </c:pt>
                <c:pt idx="7">
                  <c:v>-1.0619402383049703E-4</c:v>
                </c:pt>
                <c:pt idx="8">
                  <c:v>-1.7942307826878001E-2</c:v>
                </c:pt>
                <c:pt idx="9">
                  <c:v>3.8204974336284891E-2</c:v>
                </c:pt>
                <c:pt idx="10">
                  <c:v>2.1806717053374669E-2</c:v>
                </c:pt>
                <c:pt idx="11">
                  <c:v>1.2857286427822467E-2</c:v>
                </c:pt>
                <c:pt idx="12">
                  <c:v>-1.0669087045600767E-2</c:v>
                </c:pt>
                <c:pt idx="13">
                  <c:v>3.2064123721087245E-3</c:v>
                </c:pt>
                <c:pt idx="14">
                  <c:v>-1.2423477343846079E-2</c:v>
                </c:pt>
                <c:pt idx="15">
                  <c:v>1.6636105367948018E-2</c:v>
                </c:pt>
                <c:pt idx="16">
                  <c:v>2.0265288910905177E-2</c:v>
                </c:pt>
                <c:pt idx="17">
                  <c:v>-3.9064120785176071E-3</c:v>
                </c:pt>
                <c:pt idx="18">
                  <c:v>-1.5895915552855189E-2</c:v>
                </c:pt>
              </c:numCache>
            </c:numRef>
          </c:yVal>
          <c:smooth val="1"/>
          <c:extLst>
            <c:ext xmlns:c16="http://schemas.microsoft.com/office/drawing/2014/chart" uri="{C3380CC4-5D6E-409C-BE32-E72D297353CC}">
              <c16:uniqueId val="{00000001-BBE8-4B7E-84CE-A9AEB3CCD6EB}"/>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'5-x'!$A$91</c:f>
              <c:strCache>
                <c:ptCount val="1"/>
                <c:pt idx="0">
                  <c:v>Rend el. eq. CHP - elc/fuel elc</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'5-x'!$K$91:$AD$91</c:f>
              <c:numCache>
                <c:formatCode>0.00%</c:formatCode>
                <c:ptCount val="20"/>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pt idx="18">
                  <c:v>0.55763835083353497</c:v>
                </c:pt>
                <c:pt idx="19">
                  <c:v>0.55888751731519792</c:v>
                </c:pt>
              </c:numCache>
            </c:numRef>
          </c:yVal>
          <c:smooth val="1"/>
          <c:extLst>
            <c:ext xmlns:c16="http://schemas.microsoft.com/office/drawing/2014/chart" uri="{C3380CC4-5D6E-409C-BE32-E72D297353CC}">
              <c16:uniqueId val="{00000000-1AB6-487D-A0A8-7B58AAD7FAB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'5-x'!$J$112</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'5-x'!$L$112:$AD$112</c:f>
              <c:numCache>
                <c:formatCode>0.0%</c:formatCode>
                <c:ptCount val="19"/>
                <c:pt idx="0">
                  <c:v>1.804482964734011E-2</c:v>
                </c:pt>
                <c:pt idx="1">
                  <c:v>-1.4723203769139825E-2</c:v>
                </c:pt>
                <c:pt idx="2">
                  <c:v>1.8596280743851112E-2</c:v>
                </c:pt>
                <c:pt idx="3">
                  <c:v>1.2758201701093652E-2</c:v>
                </c:pt>
                <c:pt idx="4">
                  <c:v>-1.2387753608145036E-2</c:v>
                </c:pt>
                <c:pt idx="5">
                  <c:v>1.4391965916007221E-2</c:v>
                </c:pt>
                <c:pt idx="6">
                  <c:v>-1.2620192307691847E-2</c:v>
                </c:pt>
                <c:pt idx="7">
                  <c:v>6.5983344010249745E-2</c:v>
                </c:pt>
                <c:pt idx="8">
                  <c:v>-2.3153942428035257E-2</c:v>
                </c:pt>
                <c:pt idx="9">
                  <c:v>2.9019680703519235E-2</c:v>
                </c:pt>
                <c:pt idx="10">
                  <c:v>4.3019165196034326E-3</c:v>
                </c:pt>
                <c:pt idx="11">
                  <c:v>6.5195647997295936E-4</c:v>
                </c:pt>
                <c:pt idx="12">
                  <c:v>-5.8037425903086914E-3</c:v>
                </c:pt>
                <c:pt idx="13">
                  <c:v>1.0865525975956025E-4</c:v>
                </c:pt>
                <c:pt idx="14">
                  <c:v>6.8501800158826676E-4</c:v>
                </c:pt>
                <c:pt idx="15">
                  <c:v>6.9251569531911805E-3</c:v>
                </c:pt>
                <c:pt idx="16">
                  <c:v>9.605034037706961E-3</c:v>
                </c:pt>
                <c:pt idx="17">
                  <c:v>-9.2303457486438978E-3</c:v>
                </c:pt>
                <c:pt idx="18">
                  <c:v>2.2401014560704535E-3</c:v>
                </c:pt>
              </c:numCache>
            </c:numRef>
          </c:yVal>
          <c:smooth val="1"/>
          <c:extLst>
            <c:ext xmlns:c16="http://schemas.microsoft.com/office/drawing/2014/chart" uri="{C3380CC4-5D6E-409C-BE32-E72D297353CC}">
              <c16:uniqueId val="{00000001-1AB6-487D-A0A8-7B58AAD7FAB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'5-x'!$K$88:$AD$88</c:f>
              <c:numCache>
                <c:formatCode>0.00%</c:formatCode>
                <c:ptCount val="20"/>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numCache>
            </c:numRef>
          </c:yVal>
          <c:smooth val="1"/>
          <c:extLst>
            <c:ext xmlns:c16="http://schemas.microsoft.com/office/drawing/2014/chart" uri="{C3380CC4-5D6E-409C-BE32-E72D297353CC}">
              <c16:uniqueId val="{00000004-EC47-4546-A6F8-32BC9B2DAC03}"/>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3-EC47-4546-A6F8-32BC9B2DAC03}"/>
            </c:ext>
          </c:extLst>
        </c:ser>
        <c:ser>
          <c:idx val="2"/>
          <c:order val="2"/>
          <c:spPr>
            <a:ln w="38100">
              <a:solidFill>
                <a:srgbClr val="C00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'5-x'!$AE$88:$AQ$88</c:f>
              <c:numCache>
                <c:formatCode>0.0%</c:formatCode>
                <c:ptCount val="13"/>
                <c:pt idx="0" formatCode="0.00%">
                  <c:v>0.59611105551080579</c:v>
                </c:pt>
                <c:pt idx="1">
                  <c:v>0.60810287604869273</c:v>
                </c:pt>
                <c:pt idx="3">
                  <c:v>0.61661775054908741</c:v>
                </c:pt>
                <c:pt idx="5">
                  <c:v>0.63398408717697585</c:v>
                </c:pt>
                <c:pt idx="6">
                  <c:v>0.63348170329299558</c:v>
                </c:pt>
                <c:pt idx="7">
                  <c:v>0.66535661333173146</c:v>
                </c:pt>
                <c:pt idx="8">
                  <c:v>0.67015288623140512</c:v>
                </c:pt>
                <c:pt idx="9">
                  <c:v>0.67418592317741033</c:v>
                </c:pt>
                <c:pt idx="10">
                  <c:v>0.71748322800905007</c:v>
                </c:pt>
                <c:pt idx="11">
                  <c:v>0.63420753713329681</c:v>
                </c:pt>
                <c:pt idx="12">
                  <c:v>0.71793933284061295</c:v>
                </c:pt>
              </c:numCache>
            </c:numRef>
          </c:yVal>
          <c:smooth val="1"/>
          <c:extLst>
            <c:ext xmlns:c16="http://schemas.microsoft.com/office/drawing/2014/chart" uri="{C3380CC4-5D6E-409C-BE32-E72D297353CC}">
              <c16:uniqueId val="{00000005-EC47-4546-A6F8-32BC9B2DAC03}"/>
            </c:ext>
          </c:extLst>
        </c:ser>
        <c:ser>
          <c:idx val="3"/>
          <c:order val="3"/>
          <c:spPr>
            <a:ln w="38100">
              <a:solidFill>
                <a:srgbClr val="FFC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'5-x'!$AE$105:$AR$105</c:f>
              <c:numCache>
                <c:formatCode>0.0%</c:formatCode>
                <c:ptCount val="14"/>
                <c:pt idx="0" formatCode="0.00%">
                  <c:v>0.44897700557215842</c:v>
                </c:pt>
                <c:pt idx="1">
                  <c:v>0.43987326880343719</c:v>
                </c:pt>
                <c:pt idx="3">
                  <c:v>0.43835938233276989</c:v>
                </c:pt>
                <c:pt idx="6">
                  <c:v>0.42837225834561127</c:v>
                </c:pt>
                <c:pt idx="7">
                  <c:v>0.43688638906970484</c:v>
                </c:pt>
                <c:pt idx="8">
                  <c:v>0.43190317682934448</c:v>
                </c:pt>
                <c:pt idx="9">
                  <c:v>0.43504123577174636</c:v>
                </c:pt>
                <c:pt idx="10">
                  <c:v>0.43063545183958996</c:v>
                </c:pt>
                <c:pt idx="11">
                  <c:v>0.4438761830745756</c:v>
                </c:pt>
                <c:pt idx="12">
                  <c:v>0.48105462833984464</c:v>
                </c:pt>
                <c:pt idx="13">
                  <c:v>0.53661033136680758</c:v>
                </c:pt>
              </c:numCache>
            </c:numRef>
          </c:yVal>
          <c:smooth val="1"/>
          <c:extLst>
            <c:ext xmlns:c16="http://schemas.microsoft.com/office/drawing/2014/chart" uri="{C3380CC4-5D6E-409C-BE32-E72D297353CC}">
              <c16:uniqueId val="{00000006-EC47-4546-A6F8-32BC9B2DAC03}"/>
            </c:ext>
          </c:extLst>
        </c:ser>
        <c:dLbls>
          <c:showLegendKey val="0"/>
          <c:showVal val="0"/>
          <c:showCatName val="0"/>
          <c:showSerName val="0"/>
          <c:showPercent val="0"/>
          <c:showBubbleSize val="0"/>
        </c:dLbls>
        <c:axId val="1218186943"/>
        <c:axId val="1218185503"/>
      </c:scatterChart>
      <c:valAx>
        <c:axId val="1218186943"/>
        <c:scaling>
          <c:orientation val="minMax"/>
          <c:max val="205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'5-x'!$K$88:$AD$88</c:f>
              <c:numCache>
                <c:formatCode>0.00%</c:formatCode>
                <c:ptCount val="20"/>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numCache>
            </c:numRef>
          </c:yVal>
          <c:smooth val="1"/>
          <c:extLst>
            <c:ext xmlns:c16="http://schemas.microsoft.com/office/drawing/2014/chart" uri="{C3380CC4-5D6E-409C-BE32-E72D297353CC}">
              <c16:uniqueId val="{00000000-FE74-475D-B70B-097A11939FB1}"/>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1-FE74-475D-B70B-097A11939FB1}"/>
            </c:ext>
          </c:extLst>
        </c:ser>
        <c:ser>
          <c:idx val="2"/>
          <c:order val="2"/>
          <c:spPr>
            <a:ln w="38100">
              <a:solidFill>
                <a:srgbClr val="C00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'5-x'!$AE$89:$AQ$89</c:f>
              <c:numCache>
                <c:formatCode>0.0%</c:formatCode>
                <c:ptCount val="13"/>
                <c:pt idx="0" formatCode="0.00%">
                  <c:v>0.52726054390305721</c:v>
                </c:pt>
                <c:pt idx="1">
                  <c:v>0.51734677134693197</c:v>
                </c:pt>
                <c:pt idx="3">
                  <c:v>0.54983140579711065</c:v>
                </c:pt>
                <c:pt idx="5">
                  <c:v>0.57416538568994779</c:v>
                </c:pt>
                <c:pt idx="6">
                  <c:v>0.56866515378371796</c:v>
                </c:pt>
                <c:pt idx="7">
                  <c:v>0.51140082276167342</c:v>
                </c:pt>
                <c:pt idx="8">
                  <c:v>0.50192157434355411</c:v>
                </c:pt>
                <c:pt idx="9">
                  <c:v>0.53411907150429228</c:v>
                </c:pt>
                <c:pt idx="10">
                  <c:v>0.51242786773782178</c:v>
                </c:pt>
                <c:pt idx="11">
                  <c:v>0.52323127344784104</c:v>
                </c:pt>
                <c:pt idx="12">
                  <c:v>0.53081205958100874</c:v>
                </c:pt>
              </c:numCache>
            </c:numRef>
          </c:yVal>
          <c:smooth val="1"/>
          <c:extLst>
            <c:ext xmlns:c16="http://schemas.microsoft.com/office/drawing/2014/chart" uri="{C3380CC4-5D6E-409C-BE32-E72D297353CC}">
              <c16:uniqueId val="{00000002-FE74-475D-B70B-097A11939FB1}"/>
            </c:ext>
          </c:extLst>
        </c:ser>
        <c:ser>
          <c:idx val="3"/>
          <c:order val="3"/>
          <c:spPr>
            <a:ln w="38100">
              <a:solidFill>
                <a:srgbClr val="FFC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'5-x'!$AE$106:$AR$106</c:f>
              <c:numCache>
                <c:formatCode>0.0%</c:formatCode>
                <c:ptCount val="14"/>
                <c:pt idx="0" formatCode="0.00%">
                  <c:v>0.42722408518867133</c:v>
                </c:pt>
                <c:pt idx="1">
                  <c:v>0.42538256748298042</c:v>
                </c:pt>
                <c:pt idx="3">
                  <c:v>0.42948086251049999</c:v>
                </c:pt>
                <c:pt idx="6">
                  <c:v>0.44147089273726076</c:v>
                </c:pt>
                <c:pt idx="7">
                  <c:v>0.44582655340607064</c:v>
                </c:pt>
                <c:pt idx="8">
                  <c:v>0.40512108091811938</c:v>
                </c:pt>
                <c:pt idx="9">
                  <c:v>0.3932261198751133</c:v>
                </c:pt>
                <c:pt idx="10">
                  <c:v>0.41480278937617088</c:v>
                </c:pt>
                <c:pt idx="11">
                  <c:v>0.40452754752704673</c:v>
                </c:pt>
                <c:pt idx="12">
                  <c:v>0.39449624050102877</c:v>
                </c:pt>
                <c:pt idx="13">
                  <c:v>0.38534670322182979</c:v>
                </c:pt>
              </c:numCache>
            </c:numRef>
          </c:yVal>
          <c:smooth val="1"/>
          <c:extLst>
            <c:ext xmlns:c16="http://schemas.microsoft.com/office/drawing/2014/chart" uri="{C3380CC4-5D6E-409C-BE32-E72D297353CC}">
              <c16:uniqueId val="{00000003-FE74-475D-B70B-097A11939FB1}"/>
            </c:ext>
          </c:extLst>
        </c:ser>
        <c:dLbls>
          <c:showLegendKey val="0"/>
          <c:showVal val="0"/>
          <c:showCatName val="0"/>
          <c:showSerName val="0"/>
          <c:showPercent val="0"/>
          <c:showBubbleSize val="0"/>
        </c:dLbls>
        <c:axId val="1218186943"/>
        <c:axId val="1218185503"/>
      </c:scatterChart>
      <c:valAx>
        <c:axId val="1218186943"/>
        <c:scaling>
          <c:orientation val="minMax"/>
          <c:max val="208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'6-y'!$A$21</c:f>
              <c:strCache>
                <c:ptCount val="1"/>
                <c:pt idx="0">
                  <c:v>Totale</c:v>
                </c:pt>
              </c:strCache>
            </c:strRef>
          </c:tx>
          <c:spPr>
            <a:ln w="25400">
              <a:solidFill>
                <a:srgbClr val="FF00FF"/>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'6-y'!$B$21:$AC$21</c:f>
              <c:numCache>
                <c:formatCode>#,##0</c:formatCode>
                <c:ptCount val="28"/>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pt idx="27" formatCode="#,##0.0">
                  <c:v>151.44928000000002</c:v>
                </c:pt>
              </c:numCache>
            </c:numRef>
          </c:val>
          <c:smooth val="1"/>
          <c:extLst>
            <c:ext xmlns:c16="http://schemas.microsoft.com/office/drawing/2014/chart" uri="{C3380CC4-5D6E-409C-BE32-E72D297353CC}">
              <c16:uniqueId val="{00000000-6C52-493D-9BCE-D356CC778AD4}"/>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'6-y'!$B$6:$AC$6</c:f>
              <c:numCache>
                <c:formatCode>#,##0</c:formatCode>
                <c:ptCount val="28"/>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pt idx="27" formatCode="#,##0.0">
                  <c:v>60.246340000000004</c:v>
                </c:pt>
              </c:numCache>
            </c:numRef>
          </c:val>
          <c:smooth val="1"/>
          <c:extLst>
            <c:ext xmlns:c16="http://schemas.microsoft.com/office/drawing/2014/chart" uri="{C3380CC4-5D6E-409C-BE32-E72D297353CC}">
              <c16:uniqueId val="{00000001-6C52-493D-9BCE-D356CC778AD4}"/>
            </c:ext>
          </c:extLst>
        </c:ser>
        <c:ser>
          <c:idx val="2"/>
          <c:order val="2"/>
          <c:tx>
            <c:strRef>
              <c:f>'6-y'!$A$14</c:f>
              <c:strCache>
                <c:ptCount val="1"/>
                <c:pt idx="0">
                  <c:v>Produzione elettrica da impianti cogenerativi</c:v>
                </c:pt>
              </c:strCache>
            </c:strRef>
          </c:tx>
          <c:spPr>
            <a:ln w="25400">
              <a:solidFill>
                <a:srgbClr val="00FF00"/>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'6-y'!$B$14:$AC$14</c:f>
              <c:numCache>
                <c:formatCode>#,##0.0</c:formatCode>
                <c:ptCount val="28"/>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pt idx="27">
                  <c:v>91.202940000000012</c:v>
                </c:pt>
              </c:numCache>
            </c:numRef>
          </c:val>
          <c:smooth val="1"/>
          <c:extLst>
            <c:ext xmlns:c16="http://schemas.microsoft.com/office/drawing/2014/chart" uri="{C3380CC4-5D6E-409C-BE32-E72D297353CC}">
              <c16:uniqueId val="{00000002-6C52-493D-9BCE-D356CC778AD4}"/>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100" b="1" i="0" u="none" strike="noStrike" baseline="0">
                    <a:solidFill>
                      <a:srgbClr val="000000"/>
                    </a:solidFill>
                    <a:latin typeface="Arial"/>
                    <a:ea typeface="Arial"/>
                    <a:cs typeface="Arial"/>
                  </a:defRPr>
                </a:pPr>
                <a:r>
                  <a:rPr lang="it-IT" sz="1100"/>
                  <a:t>Produzione termoelettrica (TWh)</a:t>
                </a:r>
              </a:p>
            </c:rich>
          </c:tx>
          <c:layout>
            <c:manualLayout>
              <c:xMode val="edge"/>
              <c:yMode val="edge"/>
              <c:x val="6.5805904934403462E-4"/>
              <c:y val="5.351719627675300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none"/>
          </c:marker>
          <c:xVal>
            <c:numRef>
              <c:f>'6-y'!$J$46:$AB$46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'6-y'!$J$48:$AB$48</c:f>
              <c:numCache>
                <c:formatCode>_(* #,##0.0_);_(* \(#,##0.0\);_(* "-"??_);_(@_)</c:formatCode>
                <c:ptCount val="19"/>
                <c:pt idx="0">
                  <c:v>46.348999999999997</c:v>
                </c:pt>
                <c:pt idx="1">
                  <c:v>48.863</c:v>
                </c:pt>
                <c:pt idx="2">
                  <c:v>51.848999999999997</c:v>
                </c:pt>
                <c:pt idx="3">
                  <c:v>54.497</c:v>
                </c:pt>
                <c:pt idx="4">
                  <c:v>52.261000000000003</c:v>
                </c:pt>
                <c:pt idx="5">
                  <c:v>53.965000000000003</c:v>
                </c:pt>
                <c:pt idx="6">
                  <c:v>55.862000000000002</c:v>
                </c:pt>
                <c:pt idx="7">
                  <c:v>57.064900000000002</c:v>
                </c:pt>
                <c:pt idx="8">
                  <c:v>55.301900000000003</c:v>
                </c:pt>
                <c:pt idx="9">
                  <c:v>51.501599999999996</c:v>
                </c:pt>
                <c:pt idx="10">
                  <c:v>42.029799999999987</c:v>
                </c:pt>
                <c:pt idx="11">
                  <c:v>38.687399999999997</c:v>
                </c:pt>
                <c:pt idx="12">
                  <c:v>37.882599999999996</c:v>
                </c:pt>
                <c:pt idx="13">
                  <c:v>37.868299999999991</c:v>
                </c:pt>
                <c:pt idx="14">
                  <c:v>37.812099999999994</c:v>
                </c:pt>
                <c:pt idx="15" formatCode="#,##0.0">
                  <c:v>36.295100000000005</c:v>
                </c:pt>
                <c:pt idx="16" formatCode="#,##0.0">
                  <c:v>35.798500000000004</c:v>
                </c:pt>
                <c:pt idx="17" formatCode="#,##0.0">
                  <c:v>35.810800000000008</c:v>
                </c:pt>
                <c:pt idx="18" formatCode="#,##0.0">
                  <c:v>36.396799999999999</c:v>
                </c:pt>
              </c:numCache>
            </c:numRef>
          </c:yVal>
          <c:smooth val="1"/>
          <c:extLst>
            <c:ext xmlns:c16="http://schemas.microsoft.com/office/drawing/2014/chart" uri="{C3380CC4-5D6E-409C-BE32-E72D297353CC}">
              <c16:uniqueId val="{00000000-F5AE-4256-B98D-A96D936EA1E1}"/>
            </c:ext>
          </c:extLst>
        </c:ser>
        <c:ser>
          <c:idx val="1"/>
          <c:order val="1"/>
          <c:spPr>
            <a:ln w="19050" cap="rnd">
              <a:solidFill>
                <a:schemeClr val="accent2"/>
              </a:solidFill>
              <a:round/>
            </a:ln>
            <a:effectLst/>
          </c:spPr>
          <c:marker>
            <c:symbol val="none"/>
          </c:marker>
          <c:xVal>
            <c:numRef>
              <c:f>'6-y'!$J$46:$AB$46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'6-y'!$J$58:$AB$58</c:f>
              <c:numCache>
                <c:formatCode>_(* #,##0.0_);_(* \(#,##0.0\);_(* "-"??_);_(@_)</c:formatCode>
                <c:ptCount val="19"/>
                <c:pt idx="0">
                  <c:v>18.297000000000001</c:v>
                </c:pt>
                <c:pt idx="1">
                  <c:v>19.486999999999998</c:v>
                </c:pt>
                <c:pt idx="2">
                  <c:v>20.390999999999998</c:v>
                </c:pt>
                <c:pt idx="3">
                  <c:v>21.521999999999998</c:v>
                </c:pt>
                <c:pt idx="4">
                  <c:v>24.408999999999999</c:v>
                </c:pt>
                <c:pt idx="5">
                  <c:v>24.376000000000001</c:v>
                </c:pt>
                <c:pt idx="6">
                  <c:v>23.849</c:v>
                </c:pt>
                <c:pt idx="7">
                  <c:v>23.5092</c:v>
                </c:pt>
                <c:pt idx="8">
                  <c:v>23.198900000000002</c:v>
                </c:pt>
                <c:pt idx="9">
                  <c:v>23.464000000000002</c:v>
                </c:pt>
                <c:pt idx="10">
                  <c:v>26.5688</c:v>
                </c:pt>
                <c:pt idx="11">
                  <c:v>26.227800000000002</c:v>
                </c:pt>
                <c:pt idx="12">
                  <c:v>26.162499999999994</c:v>
                </c:pt>
                <c:pt idx="13">
                  <c:v>26.151900000000001</c:v>
                </c:pt>
                <c:pt idx="14">
                  <c:v>26.136899999999997</c:v>
                </c:pt>
                <c:pt idx="15" formatCode="#,##0.0">
                  <c:v>26.358800000000002</c:v>
                </c:pt>
                <c:pt idx="16" formatCode="#,##0.0">
                  <c:v>26.134</c:v>
                </c:pt>
                <c:pt idx="17" formatCode="#,##0.000">
                  <c:v>26.582000000000001</c:v>
                </c:pt>
                <c:pt idx="18" formatCode="#,##0.000">
                  <c:v>26.814700000000002</c:v>
                </c:pt>
              </c:numCache>
            </c:numRef>
          </c:yVal>
          <c:smooth val="1"/>
          <c:extLst>
            <c:ext xmlns:c16="http://schemas.microsoft.com/office/drawing/2014/chart" uri="{C3380CC4-5D6E-409C-BE32-E72D297353CC}">
              <c16:uniqueId val="{00000001-F5AE-4256-B98D-A96D936EA1E1}"/>
            </c:ext>
          </c:extLst>
        </c:ser>
        <c:dLbls>
          <c:showLegendKey val="0"/>
          <c:showVal val="0"/>
          <c:showCatName val="0"/>
          <c:showSerName val="0"/>
          <c:showPercent val="0"/>
          <c:showBubbleSize val="0"/>
        </c:dLbls>
        <c:axId val="1523966416"/>
        <c:axId val="1742615168"/>
      </c:scatterChart>
      <c:valAx>
        <c:axId val="1523966416"/>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42615168"/>
        <c:crosses val="autoZero"/>
        <c:crossBetween val="midCat"/>
      </c:valAx>
      <c:valAx>
        <c:axId val="174261516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239664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0833333333333689E-3"/>
          <c:y val="4.6296296296297014E-3"/>
        </c:manualLayout>
      </c:layout>
      <c:overlay val="0"/>
      <c:txPr>
        <a:bodyPr/>
        <a:lstStyle/>
        <a:p>
          <a:pPr>
            <a:defRPr sz="1400"/>
          </a:pPr>
          <a:endParaRPr lang="it-IT"/>
        </a:p>
      </c:txPr>
    </c:title>
    <c:autoTitleDeleted val="0"/>
    <c:plotArea>
      <c:layout>
        <c:manualLayout>
          <c:layoutTarget val="inner"/>
          <c:xMode val="edge"/>
          <c:yMode val="edge"/>
          <c:x val="0.13968408830820103"/>
          <c:y val="0"/>
          <c:w val="0.78497483192096551"/>
          <c:h val="1"/>
        </c:manualLayout>
      </c:layout>
      <c:pieChart>
        <c:varyColors val="1"/>
        <c:ser>
          <c:idx val="0"/>
          <c:order val="0"/>
          <c:tx>
            <c:strRef>
              <c:f>'25x'!$AL$53</c:f>
              <c:strCache>
                <c:ptCount val="1"/>
                <c:pt idx="0">
                  <c:v>2005</c:v>
                </c:pt>
              </c:strCache>
            </c:strRef>
          </c:tx>
          <c:dPt>
            <c:idx val="3"/>
            <c:bubble3D val="0"/>
            <c:spPr>
              <a:solidFill>
                <a:schemeClr val="accent6"/>
              </a:solidFill>
            </c:spPr>
            <c:extLst>
              <c:ext xmlns:c16="http://schemas.microsoft.com/office/drawing/2014/chart" uri="{C3380CC4-5D6E-409C-BE32-E72D297353CC}">
                <c16:uniqueId val="{00000000-8884-42AD-B742-B6F84106BFE8}"/>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84-42AD-B742-B6F84106BFE8}"/>
                </c:ext>
              </c:extLst>
            </c:dLbl>
            <c:dLbl>
              <c:idx val="1"/>
              <c:layout>
                <c:manualLayout>
                  <c:x val="-0.1912134720562795"/>
                  <c:y val="2.884361798539418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84-42AD-B742-B6F84106BFE8}"/>
                </c:ext>
              </c:extLst>
            </c:dLbl>
            <c:dLbl>
              <c:idx val="2"/>
              <c:layout>
                <c:manualLayout>
                  <c:x val="0.16762406001297478"/>
                  <c:y val="-0.1453891064652720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84-42AD-B742-B6F84106BFE8}"/>
                </c:ext>
              </c:extLst>
            </c:dLbl>
            <c:dLbl>
              <c:idx val="3"/>
              <c:layout>
                <c:manualLayout>
                  <c:x val="0.12419944639654025"/>
                  <c:y val="9.9833303728804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884-42AD-B742-B6F84106BFE8}"/>
                </c:ext>
              </c:extLst>
            </c:dLbl>
            <c:dLbl>
              <c:idx val="4"/>
              <c:layout>
                <c:manualLayout>
                  <c:x val="0.11474668026189869"/>
                  <c:y val="0.1438747620440476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84-42AD-B742-B6F84106BFE8}"/>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'25x'!$AK$54:$AK$58</c:f>
              <c:strCache>
                <c:ptCount val="5"/>
                <c:pt idx="0">
                  <c:v>Agricoltura e Pesca</c:v>
                </c:pt>
                <c:pt idx="1">
                  <c:v>Industria</c:v>
                </c:pt>
                <c:pt idx="2">
                  <c:v>Servizi</c:v>
                </c:pt>
                <c:pt idx="3">
                  <c:v>Trasporti</c:v>
                </c:pt>
                <c:pt idx="4">
                  <c:v>Residenziale</c:v>
                </c:pt>
              </c:strCache>
            </c:strRef>
          </c:cat>
          <c:val>
            <c:numRef>
              <c:f>'25x'!$AL$54:$AL$58</c:f>
              <c:numCache>
                <c:formatCode>0.0</c:formatCode>
                <c:ptCount val="5"/>
                <c:pt idx="0">
                  <c:v>2.5155826417795613</c:v>
                </c:pt>
                <c:pt idx="1">
                  <c:v>72.088671548787971</c:v>
                </c:pt>
                <c:pt idx="2">
                  <c:v>34.642954973802304</c:v>
                </c:pt>
                <c:pt idx="3">
                  <c:v>4.6509485946554481</c:v>
                </c:pt>
                <c:pt idx="4">
                  <c:v>31.387337851560375</c:v>
                </c:pt>
              </c:numCache>
            </c:numRef>
          </c:val>
          <c:extLst>
            <c:ext xmlns:c16="http://schemas.microsoft.com/office/drawing/2014/chart" uri="{C3380CC4-5D6E-409C-BE32-E72D297353CC}">
              <c16:uniqueId val="{00000005-8884-42AD-B742-B6F84106BFE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42533716770066"/>
          <c:y val="1.2577370298003743E-3"/>
        </c:manualLayout>
      </c:layout>
      <c:overlay val="0"/>
      <c:txPr>
        <a:bodyPr/>
        <a:lstStyle/>
        <a:p>
          <a:pPr>
            <a:defRPr sz="1400"/>
          </a:pPr>
          <a:endParaRPr lang="it-IT"/>
        </a:p>
      </c:txPr>
    </c:title>
    <c:autoTitleDeleted val="0"/>
    <c:plotArea>
      <c:layout>
        <c:manualLayout>
          <c:layoutTarget val="inner"/>
          <c:xMode val="edge"/>
          <c:yMode val="edge"/>
          <c:x val="0.24173612759709356"/>
          <c:y val="0"/>
          <c:w val="0.78497483192096551"/>
          <c:h val="1"/>
        </c:manualLayout>
      </c:layout>
      <c:pieChart>
        <c:varyColors val="1"/>
        <c:ser>
          <c:idx val="0"/>
          <c:order val="0"/>
          <c:tx>
            <c:strRef>
              <c:f>'25x'!$AO$53</c:f>
              <c:strCache>
                <c:ptCount val="1"/>
                <c:pt idx="0">
                  <c:v>2020</c:v>
                </c:pt>
              </c:strCache>
            </c:strRef>
          </c:tx>
          <c:dPt>
            <c:idx val="3"/>
            <c:bubble3D val="0"/>
            <c:spPr>
              <a:solidFill>
                <a:schemeClr val="accent6"/>
              </a:solidFill>
            </c:spPr>
            <c:extLst>
              <c:ext xmlns:c16="http://schemas.microsoft.com/office/drawing/2014/chart" uri="{C3380CC4-5D6E-409C-BE32-E72D297353CC}">
                <c16:uniqueId val="{00000000-36DC-4F0B-B475-D740C85B1A40}"/>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DC-4F0B-B475-D740C85B1A40}"/>
                </c:ext>
              </c:extLst>
            </c:dLbl>
            <c:dLbl>
              <c:idx val="1"/>
              <c:layout>
                <c:manualLayout>
                  <c:x val="-0.10782860301208277"/>
                  <c:y val="0.1506387192264802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6DC-4F0B-B475-D740C85B1A40}"/>
                </c:ext>
              </c:extLst>
            </c:dLbl>
            <c:dLbl>
              <c:idx val="2"/>
              <c:layout>
                <c:manualLayout>
                  <c:x val="0.16762406001297478"/>
                  <c:y val="-0.14538910646527209"/>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DC-4F0B-B475-D740C85B1A40}"/>
                </c:ext>
              </c:extLst>
            </c:dLbl>
            <c:dLbl>
              <c:idx val="3"/>
              <c:layout>
                <c:manualLayout>
                  <c:x val="0.12275138148573923"/>
                  <c:y val="7.4257267911878701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6DC-4F0B-B475-D740C85B1A40}"/>
                </c:ext>
              </c:extLst>
            </c:dLbl>
            <c:dLbl>
              <c:idx val="4"/>
              <c:layout>
                <c:manualLayout>
                  <c:x val="0.11912275249327661"/>
                  <c:y val="0.1627251652160447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6DC-4F0B-B475-D740C85B1A40}"/>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'25x'!$AK$54:$AK$58</c:f>
              <c:strCache>
                <c:ptCount val="5"/>
                <c:pt idx="0">
                  <c:v>Agricoltura e Pesca</c:v>
                </c:pt>
                <c:pt idx="1">
                  <c:v>Industria</c:v>
                </c:pt>
                <c:pt idx="2">
                  <c:v>Servizi</c:v>
                </c:pt>
                <c:pt idx="3">
                  <c:v>Trasporti</c:v>
                </c:pt>
                <c:pt idx="4">
                  <c:v>Residenziale</c:v>
                </c:pt>
              </c:strCache>
            </c:strRef>
          </c:cat>
          <c:val>
            <c:numRef>
              <c:f>'25x'!$AO$54:$AO$58</c:f>
              <c:numCache>
                <c:formatCode>0.0</c:formatCode>
                <c:ptCount val="5"/>
                <c:pt idx="0">
                  <c:v>1.645342284710704</c:v>
                </c:pt>
                <c:pt idx="1">
                  <c:v>32.700216463466397</c:v>
                </c:pt>
                <c:pt idx="2">
                  <c:v>19.734747177558297</c:v>
                </c:pt>
                <c:pt idx="3">
                  <c:v>2.6554659008150079</c:v>
                </c:pt>
                <c:pt idx="4">
                  <c:v>17.263409431637946</c:v>
                </c:pt>
              </c:numCache>
            </c:numRef>
          </c:val>
          <c:extLst>
            <c:ext xmlns:c16="http://schemas.microsoft.com/office/drawing/2014/chart" uri="{C3380CC4-5D6E-409C-BE32-E72D297353CC}">
              <c16:uniqueId val="{00000005-36DC-4F0B-B475-D740C85B1A4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711" l="0.70000000000000062" r="0.70000000000000062" t="0.750000000000007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7000070937079"/>
          <c:y val="4.656084656084656E-2"/>
          <c:w val="0.80257804880191908"/>
          <c:h val="0.65421392889043661"/>
        </c:manualLayout>
      </c:layout>
      <c:scatterChart>
        <c:scatterStyle val="smoothMarker"/>
        <c:varyColors val="0"/>
        <c:ser>
          <c:idx val="0"/>
          <c:order val="0"/>
          <c:tx>
            <c:strRef>
              <c:f>'25x'!$A$21</c:f>
              <c:strCache>
                <c:ptCount val="1"/>
                <c:pt idx="0">
                  <c:v>Agricoltura e Pesca</c:v>
                </c:pt>
              </c:strCache>
            </c:strRef>
          </c:tx>
          <c:spPr>
            <a:ln w="19050" cap="rnd">
              <a:solidFill>
                <a:schemeClr val="accent1"/>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'25x'!$P$21:$AC$21</c:f>
              <c:numCache>
                <c:formatCode>0.00%</c:formatCode>
                <c:ptCount val="14"/>
                <c:pt idx="0">
                  <c:v>1.8104653357702123E-2</c:v>
                </c:pt>
                <c:pt idx="1">
                  <c:v>1.8824953958694376E-2</c:v>
                </c:pt>
                <c:pt idx="2">
                  <c:v>1.9281511308526962E-2</c:v>
                </c:pt>
                <c:pt idx="3">
                  <c:v>1.9096380891876905E-2</c:v>
                </c:pt>
                <c:pt idx="4">
                  <c:v>1.8455447167435669E-2</c:v>
                </c:pt>
                <c:pt idx="5">
                  <c:v>1.9146247236107354E-2</c:v>
                </c:pt>
                <c:pt idx="6">
                  <c:v>1.8840382526328435E-2</c:v>
                </c:pt>
                <c:pt idx="7">
                  <c:v>1.9843613801215181E-2</c:v>
                </c:pt>
                <c:pt idx="8">
                  <c:v>1.9256664556528504E-2</c:v>
                </c:pt>
                <c:pt idx="9">
                  <c:v>2.0054088119500154E-2</c:v>
                </c:pt>
                <c:pt idx="10">
                  <c:v>2.2234593369965243E-2</c:v>
                </c:pt>
                <c:pt idx="11">
                  <c:v>2.2313352300194083E-2</c:v>
                </c:pt>
                <c:pt idx="12">
                  <c:v>2.2366817676953976E-2</c:v>
                </c:pt>
                <c:pt idx="13">
                  <c:v>2.2039019992746052E-2</c:v>
                </c:pt>
              </c:numCache>
            </c:numRef>
          </c:yVal>
          <c:smooth val="1"/>
          <c:extLst>
            <c:ext xmlns:c16="http://schemas.microsoft.com/office/drawing/2014/chart" uri="{C3380CC4-5D6E-409C-BE32-E72D297353CC}">
              <c16:uniqueId val="{00000000-870F-487C-90C3-01D9FA0DB9ED}"/>
            </c:ext>
          </c:extLst>
        </c:ser>
        <c:ser>
          <c:idx val="3"/>
          <c:order val="3"/>
          <c:tx>
            <c:strRef>
              <c:f>'25x'!$A$24</c:f>
              <c:strCache>
                <c:ptCount val="1"/>
                <c:pt idx="0">
                  <c:v>di cui trasporti (+ magazzinaggio)</c:v>
                </c:pt>
              </c:strCache>
            </c:strRef>
          </c:tx>
          <c:spPr>
            <a:ln w="19050" cap="rnd">
              <a:solidFill>
                <a:schemeClr val="accent4"/>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'25x'!$P$24:$AC$24</c:f>
              <c:numCache>
                <c:formatCode>0.00%</c:formatCode>
                <c:ptCount val="14"/>
                <c:pt idx="0">
                  <c:v>3.4419268532505397E-2</c:v>
                </c:pt>
                <c:pt idx="1">
                  <c:v>3.4164088611477135E-2</c:v>
                </c:pt>
                <c:pt idx="2">
                  <c:v>3.5020896105145791E-2</c:v>
                </c:pt>
                <c:pt idx="3">
                  <c:v>3.6242119505266651E-2</c:v>
                </c:pt>
                <c:pt idx="4">
                  <c:v>3.594176091480588E-2</c:v>
                </c:pt>
                <c:pt idx="5">
                  <c:v>3.6528586002616395E-2</c:v>
                </c:pt>
                <c:pt idx="6">
                  <c:v>3.7773824867560153E-2</c:v>
                </c:pt>
                <c:pt idx="7">
                  <c:v>3.7706642551057067E-2</c:v>
                </c:pt>
                <c:pt idx="8">
                  <c:v>3.8030207071746938E-2</c:v>
                </c:pt>
                <c:pt idx="9">
                  <c:v>3.8850074121001797E-2</c:v>
                </c:pt>
                <c:pt idx="10">
                  <c:v>3.5885058726738771E-2</c:v>
                </c:pt>
                <c:pt idx="11">
                  <c:v>3.63395432371462E-2</c:v>
                </c:pt>
                <c:pt idx="12">
                  <c:v>3.9228341962416625E-2</c:v>
                </c:pt>
                <c:pt idx="13">
                  <c:v>4.0935076828665089E-2</c:v>
                </c:pt>
              </c:numCache>
            </c:numRef>
          </c:yVal>
          <c:smooth val="1"/>
          <c:extLst>
            <c:ext xmlns:c16="http://schemas.microsoft.com/office/drawing/2014/chart" uri="{C3380CC4-5D6E-409C-BE32-E72D297353CC}">
              <c16:uniqueId val="{00000003-870F-487C-90C3-01D9FA0DB9ED}"/>
            </c:ext>
          </c:extLst>
        </c:ser>
        <c:dLbls>
          <c:showLegendKey val="0"/>
          <c:showVal val="0"/>
          <c:showCatName val="0"/>
          <c:showSerName val="0"/>
          <c:showPercent val="0"/>
          <c:showBubbleSize val="0"/>
        </c:dLbls>
        <c:axId val="1438863679"/>
        <c:axId val="1495566351"/>
      </c:scatterChart>
      <c:scatterChart>
        <c:scatterStyle val="smoothMarker"/>
        <c:varyColors val="0"/>
        <c:ser>
          <c:idx val="1"/>
          <c:order val="1"/>
          <c:tx>
            <c:strRef>
              <c:f>'25x'!$A$22</c:f>
              <c:strCache>
                <c:ptCount val="1"/>
                <c:pt idx="0">
                  <c:v>Industria</c:v>
                </c:pt>
              </c:strCache>
            </c:strRef>
          </c:tx>
          <c:spPr>
            <a:ln w="19050" cap="rnd">
              <a:solidFill>
                <a:schemeClr val="accent2"/>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'25x'!$P$22:$AC$22</c:f>
              <c:numCache>
                <c:formatCode>0.00%</c:formatCode>
                <c:ptCount val="14"/>
                <c:pt idx="0">
                  <c:v>0.44674893278130062</c:v>
                </c:pt>
                <c:pt idx="1">
                  <c:v>0.44629067587505955</c:v>
                </c:pt>
                <c:pt idx="2">
                  <c:v>0.42576119800720913</c:v>
                </c:pt>
                <c:pt idx="3">
                  <c:v>0.42003494021126675</c:v>
                </c:pt>
                <c:pt idx="4">
                  <c:v>0.42085675159559693</c:v>
                </c:pt>
                <c:pt idx="5">
                  <c:v>0.41174341344816945</c:v>
                </c:pt>
                <c:pt idx="6">
                  <c:v>0.41534456587633578</c:v>
                </c:pt>
                <c:pt idx="7">
                  <c:v>0.41580890841212859</c:v>
                </c:pt>
                <c:pt idx="8">
                  <c:v>0.41665815775520881</c:v>
                </c:pt>
                <c:pt idx="9">
                  <c:v>0.42723116806349026</c:v>
                </c:pt>
                <c:pt idx="10">
                  <c:v>0.44189955058673885</c:v>
                </c:pt>
                <c:pt idx="11">
                  <c:v>0.45115309784994956</c:v>
                </c:pt>
                <c:pt idx="12">
                  <c:v>0.43945103037728156</c:v>
                </c:pt>
                <c:pt idx="13">
                  <c:v>0.43318641347632986</c:v>
                </c:pt>
              </c:numCache>
            </c:numRef>
          </c:yVal>
          <c:smooth val="1"/>
          <c:extLst>
            <c:ext xmlns:c16="http://schemas.microsoft.com/office/drawing/2014/chart" uri="{C3380CC4-5D6E-409C-BE32-E72D297353CC}">
              <c16:uniqueId val="{00000001-870F-487C-90C3-01D9FA0DB9ED}"/>
            </c:ext>
          </c:extLst>
        </c:ser>
        <c:ser>
          <c:idx val="2"/>
          <c:order val="2"/>
          <c:tx>
            <c:strRef>
              <c:f>'25x'!$A$23</c:f>
              <c:strCache>
                <c:ptCount val="1"/>
                <c:pt idx="0">
                  <c:v>Servizi</c:v>
                </c:pt>
              </c:strCache>
            </c:strRef>
          </c:tx>
          <c:spPr>
            <a:ln w="19050" cap="rnd">
              <a:solidFill>
                <a:schemeClr val="accent3"/>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'25x'!$P$23:$AC$23</c:f>
              <c:numCache>
                <c:formatCode>0.00%</c:formatCode>
                <c:ptCount val="14"/>
                <c:pt idx="0">
                  <c:v>0.31071377577307274</c:v>
                </c:pt>
                <c:pt idx="1">
                  <c:v>0.31137531894864223</c:v>
                </c:pt>
                <c:pt idx="2">
                  <c:v>0.32888328924901589</c:v>
                </c:pt>
                <c:pt idx="3">
                  <c:v>0.33555655536110307</c:v>
                </c:pt>
                <c:pt idx="4">
                  <c:v>0.33994012301405285</c:v>
                </c:pt>
                <c:pt idx="5">
                  <c:v>0.3463899653084429</c:v>
                </c:pt>
                <c:pt idx="6">
                  <c:v>0.3482078314118377</c:v>
                </c:pt>
                <c:pt idx="7">
                  <c:v>0.34740501947777802</c:v>
                </c:pt>
                <c:pt idx="8">
                  <c:v>0.34942246531853671</c:v>
                </c:pt>
                <c:pt idx="9">
                  <c:v>0.33539471670005483</c:v>
                </c:pt>
                <c:pt idx="10">
                  <c:v>0.3025736880955695</c:v>
                </c:pt>
                <c:pt idx="11">
                  <c:v>0.30368499733310561</c:v>
                </c:pt>
                <c:pt idx="12">
                  <c:v>0.32008361743934222</c:v>
                </c:pt>
                <c:pt idx="13">
                  <c:v>0.32477367149413955</c:v>
                </c:pt>
              </c:numCache>
            </c:numRef>
          </c:yVal>
          <c:smooth val="1"/>
          <c:extLst>
            <c:ext xmlns:c16="http://schemas.microsoft.com/office/drawing/2014/chart" uri="{C3380CC4-5D6E-409C-BE32-E72D297353CC}">
              <c16:uniqueId val="{00000002-870F-487C-90C3-01D9FA0DB9ED}"/>
            </c:ext>
          </c:extLst>
        </c:ser>
        <c:ser>
          <c:idx val="4"/>
          <c:order val="4"/>
          <c:tx>
            <c:strRef>
              <c:f>'25x'!$A$25</c:f>
              <c:strCache>
                <c:ptCount val="1"/>
                <c:pt idx="0">
                  <c:v>Domestico</c:v>
                </c:pt>
              </c:strCache>
            </c:strRef>
          </c:tx>
          <c:spPr>
            <a:ln w="19050" cap="rnd">
              <a:solidFill>
                <a:schemeClr val="accent5"/>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'25x'!$P$25:$AC$25</c:f>
              <c:numCache>
                <c:formatCode>0.00%</c:formatCode>
                <c:ptCount val="14"/>
                <c:pt idx="0">
                  <c:v>0.22444213203480409</c:v>
                </c:pt>
                <c:pt idx="1">
                  <c:v>0.22352967676390839</c:v>
                </c:pt>
                <c:pt idx="2">
                  <c:v>0.22608349962047303</c:v>
                </c:pt>
                <c:pt idx="3">
                  <c:v>0.22531516100769211</c:v>
                </c:pt>
                <c:pt idx="4">
                  <c:v>0.22074323965368825</c:v>
                </c:pt>
                <c:pt idx="5">
                  <c:v>0.22271716720687684</c:v>
                </c:pt>
                <c:pt idx="6">
                  <c:v>0.21760497998195399</c:v>
                </c:pt>
                <c:pt idx="7">
                  <c:v>0.21694246767682343</c:v>
                </c:pt>
                <c:pt idx="8">
                  <c:v>0.21466239360468267</c:v>
                </c:pt>
                <c:pt idx="9">
                  <c:v>0.21731999398284582</c:v>
                </c:pt>
                <c:pt idx="10">
                  <c:v>0.23329181560491097</c:v>
                </c:pt>
                <c:pt idx="11">
                  <c:v>0.22284866533182116</c:v>
                </c:pt>
                <c:pt idx="12">
                  <c:v>0.21809832438606833</c:v>
                </c:pt>
                <c:pt idx="13">
                  <c:v>0.22000080934148961</c:v>
                </c:pt>
              </c:numCache>
            </c:numRef>
          </c:yVal>
          <c:smooth val="1"/>
          <c:extLst>
            <c:ext xmlns:c16="http://schemas.microsoft.com/office/drawing/2014/chart" uri="{C3380CC4-5D6E-409C-BE32-E72D297353CC}">
              <c16:uniqueId val="{00000004-870F-487C-90C3-01D9FA0DB9ED}"/>
            </c:ext>
          </c:extLst>
        </c:ser>
        <c:dLbls>
          <c:showLegendKey val="0"/>
          <c:showVal val="0"/>
          <c:showCatName val="0"/>
          <c:showSerName val="0"/>
          <c:showPercent val="0"/>
          <c:showBubbleSize val="0"/>
        </c:dLbls>
        <c:axId val="1495508111"/>
        <c:axId val="1495511439"/>
      </c:scatterChart>
      <c:valAx>
        <c:axId val="1438863679"/>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66351"/>
        <c:crosses val="autoZero"/>
        <c:crossBetween val="midCat"/>
        <c:majorUnit val="1"/>
      </c:valAx>
      <c:valAx>
        <c:axId val="1495566351"/>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38863679"/>
        <c:crosses val="autoZero"/>
        <c:crossBetween val="midCat"/>
      </c:valAx>
      <c:valAx>
        <c:axId val="1495511439"/>
        <c:scaling>
          <c:orientation val="minMax"/>
          <c:min val="0.1"/>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08111"/>
        <c:crosses val="max"/>
        <c:crossBetween val="midCat"/>
      </c:valAx>
      <c:valAx>
        <c:axId val="1495508111"/>
        <c:scaling>
          <c:orientation val="minMax"/>
        </c:scaling>
        <c:delete val="1"/>
        <c:axPos val="b"/>
        <c:numFmt formatCode="General" sourceLinked="1"/>
        <c:majorTickMark val="out"/>
        <c:minorTickMark val="none"/>
        <c:tickLblPos val="nextTo"/>
        <c:crossAx val="1495511439"/>
        <c:crosses val="autoZero"/>
        <c:crossBetween val="midCat"/>
      </c:valAx>
      <c:spPr>
        <a:noFill/>
        <a:ln>
          <a:noFill/>
        </a:ln>
        <a:effectLst/>
      </c:spPr>
    </c:plotArea>
    <c:legend>
      <c:legendPos val="b"/>
      <c:layout>
        <c:manualLayout>
          <c:xMode val="edge"/>
          <c:yMode val="edge"/>
          <c:x val="0"/>
          <c:y val="0.81428321459817543"/>
          <c:w val="1"/>
          <c:h val="0.160319960004999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'25x'!$A$5</c:f>
              <c:strCache>
                <c:ptCount val="1"/>
                <c:pt idx="0">
                  <c:v>Agricoltura e Pesca</c:v>
                </c:pt>
              </c:strCache>
            </c:strRef>
          </c:tx>
          <c:spPr>
            <a:solidFill>
              <a:schemeClr val="accent1"/>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'25x'!$L$5:$AA$5</c:f>
              <c:numCache>
                <c:formatCode>_(* #,##0.0_);_(* \(#,##0.0\);_(* "-"??_);_(@_)</c:formatCode>
                <c:ptCount val="16"/>
                <c:pt idx="0">
                  <c:v>5.5034999999999998</c:v>
                </c:pt>
                <c:pt idx="1">
                  <c:v>5.6592000000000002</c:v>
                </c:pt>
                <c:pt idx="2">
                  <c:v>5.6695000000000002</c:v>
                </c:pt>
                <c:pt idx="3">
                  <c:v>5.6498999999999997</c:v>
                </c:pt>
                <c:pt idx="4">
                  <c:v>5.6103000000000005</c:v>
                </c:pt>
                <c:pt idx="5">
                  <c:v>5.907</c:v>
                </c:pt>
                <c:pt idx="6">
                  <c:v>5.9236000000000004</c:v>
                </c:pt>
                <c:pt idx="7">
                  <c:v>5.6771000000000003</c:v>
                </c:pt>
                <c:pt idx="8">
                  <c:v>5.3721000000000005</c:v>
                </c:pt>
                <c:pt idx="9">
                  <c:v>5.6898999999999997</c:v>
                </c:pt>
                <c:pt idx="10">
                  <c:v>5.5674999999999999</c:v>
                </c:pt>
                <c:pt idx="11">
                  <c:v>5.9904000000000002</c:v>
                </c:pt>
                <c:pt idx="12">
                  <c:v>5.8433000000000002</c:v>
                </c:pt>
                <c:pt idx="13">
                  <c:v>6.0523999999999996</c:v>
                </c:pt>
                <c:pt idx="14">
                  <c:v>6.3105000000000002</c:v>
                </c:pt>
                <c:pt idx="15">
                  <c:v>6.7138</c:v>
                </c:pt>
              </c:numCache>
            </c:numRef>
          </c:val>
          <c:extLst>
            <c:ext xmlns:c16="http://schemas.microsoft.com/office/drawing/2014/chart" uri="{C3380CC4-5D6E-409C-BE32-E72D297353CC}">
              <c16:uniqueId val="{00000000-F136-4C3F-A3EF-E58AEE5C034B}"/>
            </c:ext>
          </c:extLst>
        </c:ser>
        <c:ser>
          <c:idx val="1"/>
          <c:order val="1"/>
          <c:tx>
            <c:strRef>
              <c:f>'25x'!$A$6</c:f>
              <c:strCache>
                <c:ptCount val="1"/>
                <c:pt idx="0">
                  <c:v>Industria</c:v>
                </c:pt>
              </c:strCache>
            </c:strRef>
          </c:tx>
          <c:spPr>
            <a:solidFill>
              <a:schemeClr val="accent2"/>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'25x'!$L$6:$AA$6</c:f>
              <c:numCache>
                <c:formatCode>_(* #,##0.0_);_(* \(#,##0.0\);_(* "-"??_);_(@_)</c:formatCode>
                <c:ptCount val="16"/>
                <c:pt idx="0">
                  <c:v>156.1506</c:v>
                </c:pt>
                <c:pt idx="1">
                  <c:v>155.80429999999998</c:v>
                </c:pt>
                <c:pt idx="2">
                  <c:v>151.36660000000001</c:v>
                </c:pt>
                <c:pt idx="3">
                  <c:v>130.5059</c:v>
                </c:pt>
                <c:pt idx="4">
                  <c:v>138.43929999999997</c:v>
                </c:pt>
                <c:pt idx="5">
                  <c:v>140.03960000000001</c:v>
                </c:pt>
                <c:pt idx="6">
                  <c:v>130.80089999999998</c:v>
                </c:pt>
                <c:pt idx="7">
                  <c:v>124.8708</c:v>
                </c:pt>
                <c:pt idx="8">
                  <c:v>122.505</c:v>
                </c:pt>
                <c:pt idx="9">
                  <c:v>122.3623</c:v>
                </c:pt>
                <c:pt idx="10">
                  <c:v>122.738</c:v>
                </c:pt>
                <c:pt idx="11">
                  <c:v>125.52460000000001</c:v>
                </c:pt>
                <c:pt idx="12">
                  <c:v>126.432</c:v>
                </c:pt>
                <c:pt idx="13">
                  <c:v>128.93998999999999</c:v>
                </c:pt>
                <c:pt idx="14">
                  <c:v>125.4175</c:v>
                </c:pt>
                <c:pt idx="15">
                  <c:v>135.74615</c:v>
                </c:pt>
              </c:numCache>
            </c:numRef>
          </c:val>
          <c:extLst>
            <c:ext xmlns:c16="http://schemas.microsoft.com/office/drawing/2014/chart" uri="{C3380CC4-5D6E-409C-BE32-E72D297353CC}">
              <c16:uniqueId val="{00000001-F136-4C3F-A3EF-E58AEE5C034B}"/>
            </c:ext>
          </c:extLst>
        </c:ser>
        <c:ser>
          <c:idx val="2"/>
          <c:order val="2"/>
          <c:tx>
            <c:strRef>
              <c:f>'25x'!$A$7</c:f>
              <c:strCache>
                <c:ptCount val="1"/>
                <c:pt idx="0">
                  <c:v>Servizi</c:v>
                </c:pt>
              </c:strCache>
            </c:strRef>
          </c:tx>
          <c:spPr>
            <a:solidFill>
              <a:schemeClr val="accent3"/>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'25x'!$L$7:$AA$7</c:f>
              <c:numCache>
                <c:formatCode>_(* #,##0.0_);_(* \(#,##0.0\);_(* "-"??_);_(@_)</c:formatCode>
                <c:ptCount val="16"/>
                <c:pt idx="0">
                  <c:v>88.276499999999999</c:v>
                </c:pt>
                <c:pt idx="1">
                  <c:v>90.268500000000003</c:v>
                </c:pt>
                <c:pt idx="2">
                  <c:v>93.612200000000001</c:v>
                </c:pt>
                <c:pt idx="3">
                  <c:v>94.83489999999999</c:v>
                </c:pt>
                <c:pt idx="4">
                  <c:v>96.284499999999994</c:v>
                </c:pt>
                <c:pt idx="5">
                  <c:v>97.705100000000002</c:v>
                </c:pt>
                <c:pt idx="6">
                  <c:v>101.0384</c:v>
                </c:pt>
                <c:pt idx="7">
                  <c:v>99.756500000000003</c:v>
                </c:pt>
                <c:pt idx="8">
                  <c:v>98.951399999999992</c:v>
                </c:pt>
                <c:pt idx="9">
                  <c:v>102.9405</c:v>
                </c:pt>
                <c:pt idx="10">
                  <c:v>102.8985</c:v>
                </c:pt>
                <c:pt idx="11">
                  <c:v>104.87479999999999</c:v>
                </c:pt>
                <c:pt idx="12">
                  <c:v>106.02979999999999</c:v>
                </c:pt>
                <c:pt idx="13">
                  <c:v>101.2234</c:v>
                </c:pt>
                <c:pt idx="14">
                  <c:v>85.874800000000008</c:v>
                </c:pt>
                <c:pt idx="15">
                  <c:v>91.374899999999997</c:v>
                </c:pt>
              </c:numCache>
            </c:numRef>
          </c:val>
          <c:extLst>
            <c:ext xmlns:c16="http://schemas.microsoft.com/office/drawing/2014/chart" uri="{C3380CC4-5D6E-409C-BE32-E72D297353CC}">
              <c16:uniqueId val="{00000002-F136-4C3F-A3EF-E58AEE5C034B}"/>
            </c:ext>
          </c:extLst>
        </c:ser>
        <c:ser>
          <c:idx val="3"/>
          <c:order val="3"/>
          <c:tx>
            <c:strRef>
              <c:f>'25x'!$A$8</c:f>
              <c:strCache>
                <c:ptCount val="1"/>
                <c:pt idx="0">
                  <c:v>di cui trasporti (+ magazzinaggio)</c:v>
                </c:pt>
              </c:strCache>
            </c:strRef>
          </c:tx>
          <c:spPr>
            <a:solidFill>
              <a:schemeClr val="accent4"/>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'25x'!$L$8:$AA$8</c:f>
              <c:numCache>
                <c:formatCode>_(* #,##0.0_);_(* \(#,##0.0\);_(* "-"??_);_(@_)</c:formatCode>
                <c:ptCount val="16"/>
                <c:pt idx="0">
                  <c:v>10.219299999999999</c:v>
                </c:pt>
                <c:pt idx="1">
                  <c:v>10.4039</c:v>
                </c:pt>
                <c:pt idx="2">
                  <c:v>10.8391</c:v>
                </c:pt>
                <c:pt idx="3">
                  <c:v>10.5349</c:v>
                </c:pt>
                <c:pt idx="4">
                  <c:v>10.665899999999999</c:v>
                </c:pt>
                <c:pt idx="5">
                  <c:v>10.7202</c:v>
                </c:pt>
                <c:pt idx="6">
                  <c:v>10.759</c:v>
                </c:pt>
                <c:pt idx="7">
                  <c:v>10.774299999999998</c:v>
                </c:pt>
                <c:pt idx="8">
                  <c:v>10.4621</c:v>
                </c:pt>
                <c:pt idx="9">
                  <c:v>10.855600000000001</c:v>
                </c:pt>
                <c:pt idx="10">
                  <c:v>11.1625</c:v>
                </c:pt>
                <c:pt idx="11">
                  <c:v>11.382899999999999</c:v>
                </c:pt>
                <c:pt idx="12">
                  <c:v>11.54</c:v>
                </c:pt>
                <c:pt idx="13">
                  <c:v>11.725100000000001</c:v>
                </c:pt>
                <c:pt idx="14">
                  <c:v>10.184700000000001</c:v>
                </c:pt>
                <c:pt idx="15">
                  <c:v>10.934100000000001</c:v>
                </c:pt>
              </c:numCache>
            </c:numRef>
          </c:val>
          <c:extLst>
            <c:ext xmlns:c16="http://schemas.microsoft.com/office/drawing/2014/chart" uri="{C3380CC4-5D6E-409C-BE32-E72D297353CC}">
              <c16:uniqueId val="{00000003-F136-4C3F-A3EF-E58AEE5C034B}"/>
            </c:ext>
          </c:extLst>
        </c:ser>
        <c:ser>
          <c:idx val="4"/>
          <c:order val="4"/>
          <c:tx>
            <c:strRef>
              <c:f>'25x'!$A$9</c:f>
              <c:strCache>
                <c:ptCount val="1"/>
                <c:pt idx="0">
                  <c:v>Domestico</c:v>
                </c:pt>
              </c:strCache>
            </c:strRef>
          </c:tx>
          <c:spPr>
            <a:solidFill>
              <a:schemeClr val="accent5"/>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'25x'!$L$9:$AA$9</c:f>
              <c:numCache>
                <c:formatCode>_(* #,##0.0_);_(* \(#,##0.0\);_(* "-"??_);_(@_)</c:formatCode>
                <c:ptCount val="16"/>
                <c:pt idx="0">
                  <c:v>67.60260000000001</c:v>
                </c:pt>
                <c:pt idx="1">
                  <c:v>67.220399999999998</c:v>
                </c:pt>
                <c:pt idx="2">
                  <c:v>68.388899999999992</c:v>
                </c:pt>
                <c:pt idx="3">
                  <c:v>68.924399999999991</c:v>
                </c:pt>
                <c:pt idx="4">
                  <c:v>69.5505</c:v>
                </c:pt>
                <c:pt idx="5">
                  <c:v>70.1404</c:v>
                </c:pt>
                <c:pt idx="6">
                  <c:v>69.456600000000009</c:v>
                </c:pt>
                <c:pt idx="7">
                  <c:v>66.983199999999997</c:v>
                </c:pt>
                <c:pt idx="8">
                  <c:v>64.254999999999995</c:v>
                </c:pt>
                <c:pt idx="9">
                  <c:v>66.187300000000008</c:v>
                </c:pt>
                <c:pt idx="10">
                  <c:v>64.304199999999994</c:v>
                </c:pt>
                <c:pt idx="11">
                  <c:v>65.490700000000004</c:v>
                </c:pt>
                <c:pt idx="12">
                  <c:v>65.137799999999999</c:v>
                </c:pt>
                <c:pt idx="13">
                  <c:v>65.587999999999994</c:v>
                </c:pt>
                <c:pt idx="14">
                  <c:v>66.211600000000004</c:v>
                </c:pt>
                <c:pt idx="15">
                  <c:v>67.052289999999999</c:v>
                </c:pt>
              </c:numCache>
            </c:numRef>
          </c:val>
          <c:extLst>
            <c:ext xmlns:c16="http://schemas.microsoft.com/office/drawing/2014/chart" uri="{C3380CC4-5D6E-409C-BE32-E72D297353CC}">
              <c16:uniqueId val="{00000004-F136-4C3F-A3EF-E58AEE5C034B}"/>
            </c:ext>
          </c:extLst>
        </c:ser>
        <c:dLbls>
          <c:showLegendKey val="0"/>
          <c:showVal val="0"/>
          <c:showCatName val="0"/>
          <c:showSerName val="0"/>
          <c:showPercent val="0"/>
          <c:showBubbleSize val="0"/>
        </c:dLbls>
        <c:gapWidth val="150"/>
        <c:overlap val="100"/>
        <c:axId val="1641191872"/>
        <c:axId val="1842665840"/>
      </c:barChart>
      <c:catAx>
        <c:axId val="16411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42665840"/>
        <c:crosses val="autoZero"/>
        <c:auto val="1"/>
        <c:lblAlgn val="ctr"/>
        <c:lblOffset val="100"/>
        <c:noMultiLvlLbl val="0"/>
      </c:catAx>
      <c:valAx>
        <c:axId val="18426658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411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978454708018627"/>
          <c:y val="2.0316320325223569E-2"/>
          <c:w val="0.76976440055975626"/>
          <c:h val="0.68546891465796955"/>
        </c:manualLayout>
      </c:layout>
      <c:areaChart>
        <c:grouping val="stacked"/>
        <c:varyColors val="0"/>
        <c:ser>
          <c:idx val="2"/>
          <c:order val="0"/>
          <c:tx>
            <c:v>Solidi</c:v>
          </c:tx>
          <c:spPr>
            <a:solidFill>
              <a:srgbClr val="C00000"/>
            </a:solidFill>
            <a:ln w="28575">
              <a:noFill/>
            </a:ln>
          </c:spPr>
          <c:dPt>
            <c:idx val="30"/>
            <c:bubble3D val="0"/>
            <c:extLst>
              <c:ext xmlns:c16="http://schemas.microsoft.com/office/drawing/2014/chart" uri="{C3380CC4-5D6E-409C-BE32-E72D297353CC}">
                <c16:uniqueId val="{00000000-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32046.999999999996</c:v>
              </c:pt>
              <c:pt idx="1">
                <c:v>28507</c:v>
              </c:pt>
              <c:pt idx="2">
                <c:v>21354</c:v>
              </c:pt>
              <c:pt idx="3">
                <c:v>16659</c:v>
              </c:pt>
              <c:pt idx="4">
                <c:v>19856</c:v>
              </c:pt>
              <c:pt idx="5">
                <c:v>24122</c:v>
              </c:pt>
              <c:pt idx="6">
                <c:v>22080</c:v>
              </c:pt>
              <c:pt idx="7">
                <c:v>20518</c:v>
              </c:pt>
              <c:pt idx="8">
                <c:v>23311</c:v>
              </c:pt>
              <c:pt idx="9">
                <c:v>23812</c:v>
              </c:pt>
              <c:pt idx="10">
                <c:v>26272</c:v>
              </c:pt>
              <c:pt idx="11">
                <c:v>31730</c:v>
              </c:pt>
              <c:pt idx="12">
                <c:v>35447</c:v>
              </c:pt>
              <c:pt idx="13">
                <c:v>38813</c:v>
              </c:pt>
              <c:pt idx="14">
                <c:v>45518</c:v>
              </c:pt>
              <c:pt idx="15">
                <c:v>43606.3</c:v>
              </c:pt>
              <c:pt idx="16">
                <c:v>44207.4</c:v>
              </c:pt>
              <c:pt idx="17">
                <c:v>44112.200000000004</c:v>
              </c:pt>
              <c:pt idx="18">
                <c:v>43073.8</c:v>
              </c:pt>
              <c:pt idx="19">
                <c:v>39745.200000000004</c:v>
              </c:pt>
              <c:pt idx="20">
                <c:v>39734.000000000007</c:v>
              </c:pt>
              <c:pt idx="21">
                <c:v>44726</c:v>
              </c:pt>
              <c:pt idx="22">
                <c:v>49141.4</c:v>
              </c:pt>
              <c:pt idx="23">
                <c:v>45104.4</c:v>
              </c:pt>
              <c:pt idx="24">
                <c:v>43454.700000000004</c:v>
              </c:pt>
              <c:pt idx="25">
                <c:v>43201.3</c:v>
              </c:pt>
              <c:pt idx="26">
                <c:v>35607.699999999997</c:v>
              </c:pt>
              <c:pt idx="27">
                <c:v>32627.426142120003</c:v>
              </c:pt>
              <c:pt idx="28">
                <c:v>28469.8677001</c:v>
              </c:pt>
              <c:pt idx="29">
                <c:v>18839.448967460001</c:v>
              </c:pt>
              <c:pt idx="30">
                <c:v>13379.48689138</c:v>
              </c:pt>
              <c:pt idx="31">
                <c:v>14021.91874551</c:v>
              </c:pt>
              <c:pt idx="32">
                <c:v>22606.652264280001</c:v>
              </c:pt>
              <c:pt idx="33">
                <c:v>13219.8851156488</c:v>
              </c:pt>
              <c:pt idx="34">
                <c:v>3948.4335033552102</c:v>
              </c:pt>
              <c:pt idx="35">
                <c:v>3357.4695387743805</c:v>
              </c:pt>
            </c:numLit>
          </c:val>
          <c:extLst>
            <c:ext xmlns:c16="http://schemas.microsoft.com/office/drawing/2014/chart" uri="{C3380CC4-5D6E-409C-BE32-E72D297353CC}">
              <c16:uniqueId val="{00000001-DCFA-415B-8D20-27CD3655DEE7}"/>
            </c:ext>
          </c:extLst>
        </c:ser>
        <c:ser>
          <c:idx val="3"/>
          <c:order val="1"/>
          <c:tx>
            <c:v>Gas naturale</c:v>
          </c:tx>
          <c:spPr>
            <a:solidFill>
              <a:srgbClr val="0070C0"/>
            </a:solidFill>
            <a:ln w="28575">
              <a:noFill/>
            </a:ln>
          </c:spPr>
          <c:dPt>
            <c:idx val="30"/>
            <c:bubble3D val="0"/>
            <c:extLst>
              <c:ext xmlns:c16="http://schemas.microsoft.com/office/drawing/2014/chart" uri="{C3380CC4-5D6E-409C-BE32-E72D297353CC}">
                <c16:uniqueId val="{00000002-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39709</c:v>
              </c:pt>
              <c:pt idx="1">
                <c:v>36342</c:v>
              </c:pt>
              <c:pt idx="2">
                <c:v>35476</c:v>
              </c:pt>
              <c:pt idx="3">
                <c:v>39963</c:v>
              </c:pt>
              <c:pt idx="4">
                <c:v>40804</c:v>
              </c:pt>
              <c:pt idx="5">
                <c:v>46998</c:v>
              </c:pt>
              <c:pt idx="6">
                <c:v>50191</c:v>
              </c:pt>
              <c:pt idx="7">
                <c:v>61293</c:v>
              </c:pt>
              <c:pt idx="8">
                <c:v>70883</c:v>
              </c:pt>
              <c:pt idx="9">
                <c:v>86983</c:v>
              </c:pt>
              <c:pt idx="10">
                <c:v>101360</c:v>
              </c:pt>
              <c:pt idx="11">
                <c:v>104187.5</c:v>
              </c:pt>
              <c:pt idx="12">
                <c:v>99413.8</c:v>
              </c:pt>
              <c:pt idx="13">
                <c:v>117301</c:v>
              </c:pt>
              <c:pt idx="14">
                <c:v>129772.09999999999</c:v>
              </c:pt>
              <c:pt idx="15">
                <c:v>149258.6</c:v>
              </c:pt>
              <c:pt idx="16">
                <c:v>158078.79999999999</c:v>
              </c:pt>
              <c:pt idx="17">
                <c:v>172645.9</c:v>
              </c:pt>
              <c:pt idx="18">
                <c:v>172697.2</c:v>
              </c:pt>
              <c:pt idx="19">
                <c:v>147270.1</c:v>
              </c:pt>
              <c:pt idx="20">
                <c:v>152736.9</c:v>
              </c:pt>
              <c:pt idx="21">
                <c:v>144548</c:v>
              </c:pt>
              <c:pt idx="22">
                <c:v>129058.09999999999</c:v>
              </c:pt>
              <c:pt idx="23">
                <c:v>108875.6</c:v>
              </c:pt>
              <c:pt idx="24">
                <c:v>93637.3</c:v>
              </c:pt>
              <c:pt idx="25">
                <c:v>110860.1</c:v>
              </c:pt>
              <c:pt idx="26">
                <c:v>126148.1</c:v>
              </c:pt>
              <c:pt idx="27">
                <c:v>140332.88427196001</c:v>
              </c:pt>
              <c:pt idx="28">
                <c:v>128487.55475789</c:v>
              </c:pt>
              <c:pt idx="29">
                <c:v>141687.00212828</c:v>
              </c:pt>
              <c:pt idx="30">
                <c:v>133682.78357062998</c:v>
              </c:pt>
              <c:pt idx="31">
                <c:v>143997.95016603</c:v>
              </c:pt>
              <c:pt idx="32">
                <c:v>141445.3122099</c:v>
              </c:pt>
              <c:pt idx="33">
                <c:v>118986.516222533</c:v>
              </c:pt>
              <c:pt idx="34">
                <c:v>118553.745692146</c:v>
              </c:pt>
              <c:pt idx="35">
                <c:v>126860.00000000003</c:v>
              </c:pt>
            </c:numLit>
          </c:val>
          <c:extLst>
            <c:ext xmlns:c16="http://schemas.microsoft.com/office/drawing/2014/chart" uri="{C3380CC4-5D6E-409C-BE32-E72D297353CC}">
              <c16:uniqueId val="{00000003-DCFA-415B-8D20-27CD3655DEE7}"/>
            </c:ext>
          </c:extLst>
        </c:ser>
        <c:ser>
          <c:idx val="4"/>
          <c:order val="2"/>
          <c:tx>
            <c:v>Gas derivati</c:v>
          </c:tx>
          <c:spPr>
            <a:solidFill>
              <a:srgbClr val="7030A0"/>
            </a:solidFill>
            <a:ln w="28575">
              <a:noFill/>
            </a:ln>
          </c:spP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3715</c:v>
              </c:pt>
              <c:pt idx="1">
                <c:v>3666</c:v>
              </c:pt>
              <c:pt idx="2">
                <c:v>3651</c:v>
              </c:pt>
              <c:pt idx="3">
                <c:v>3536</c:v>
              </c:pt>
              <c:pt idx="4">
                <c:v>3088</c:v>
              </c:pt>
              <c:pt idx="5">
                <c:v>3446</c:v>
              </c:pt>
              <c:pt idx="6">
                <c:v>3243</c:v>
              </c:pt>
              <c:pt idx="7">
                <c:v>4251</c:v>
              </c:pt>
              <c:pt idx="8">
                <c:v>4516</c:v>
              </c:pt>
              <c:pt idx="9">
                <c:v>4413</c:v>
              </c:pt>
              <c:pt idx="10">
                <c:v>4252</c:v>
              </c:pt>
              <c:pt idx="11">
                <c:v>5045</c:v>
              </c:pt>
              <c:pt idx="12">
                <c:v>5021</c:v>
              </c:pt>
              <c:pt idx="13">
                <c:v>5304</c:v>
              </c:pt>
              <c:pt idx="14">
                <c:v>5359</c:v>
              </c:pt>
              <c:pt idx="15">
                <c:v>5813.2</c:v>
              </c:pt>
              <c:pt idx="16">
                <c:v>6229.1</c:v>
              </c:pt>
              <c:pt idx="17">
                <c:v>5623.1</c:v>
              </c:pt>
              <c:pt idx="18">
                <c:v>5516.7</c:v>
              </c:pt>
              <c:pt idx="19">
                <c:v>3670.7</c:v>
              </c:pt>
              <c:pt idx="20">
                <c:v>4699.3999999999996</c:v>
              </c:pt>
              <c:pt idx="21">
                <c:v>5413.4</c:v>
              </c:pt>
              <c:pt idx="22">
                <c:v>4969.7999999999993</c:v>
              </c:pt>
              <c:pt idx="23">
                <c:v>3390</c:v>
              </c:pt>
              <c:pt idx="24">
                <c:v>3069.6000000000004</c:v>
              </c:pt>
              <c:pt idx="25">
                <c:v>2187.3000000000002</c:v>
              </c:pt>
              <c:pt idx="26">
                <c:v>2796.8</c:v>
              </c:pt>
              <c:pt idx="27">
                <c:v>2468.7542050499997</c:v>
              </c:pt>
              <c:pt idx="28">
                <c:v>2485.79466538</c:v>
              </c:pt>
              <c:pt idx="29">
                <c:v>2413.3499243599999</c:v>
              </c:pt>
              <c:pt idx="30">
                <c:v>1663.48417608</c:v>
              </c:pt>
              <c:pt idx="31">
                <c:v>1914.0872884400001</c:v>
              </c:pt>
              <c:pt idx="32">
                <c:v>1589.3830291499999</c:v>
              </c:pt>
              <c:pt idx="33">
                <c:v>1156.5384328231648</c:v>
              </c:pt>
              <c:pt idx="34">
                <c:v>816.1089652942876</c:v>
              </c:pt>
              <c:pt idx="35">
                <c:v>728.92219159759156</c:v>
              </c:pt>
            </c:numLit>
          </c:val>
          <c:extLst>
            <c:ext xmlns:c16="http://schemas.microsoft.com/office/drawing/2014/chart" uri="{C3380CC4-5D6E-409C-BE32-E72D297353CC}">
              <c16:uniqueId val="{00000004-DCFA-415B-8D20-27CD3655DEE7}"/>
            </c:ext>
          </c:extLst>
        </c:ser>
        <c:ser>
          <c:idx val="5"/>
          <c:order val="3"/>
          <c:tx>
            <c:v>Prodotti petroliferi</c:v>
          </c:tx>
          <c:spPr>
            <a:solidFill>
              <a:schemeClr val="tx1">
                <a:lumMod val="50000"/>
                <a:lumOff val="50000"/>
              </a:schemeClr>
            </a:solidFill>
            <a:ln w="28575">
              <a:noFill/>
            </a:ln>
          </c:spPr>
          <c:dPt>
            <c:idx val="30"/>
            <c:bubble3D val="0"/>
            <c:extLst>
              <c:ext xmlns:c16="http://schemas.microsoft.com/office/drawing/2014/chart" uri="{C3380CC4-5D6E-409C-BE32-E72D297353CC}">
                <c16:uniqueId val="{00000005-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102719</c:v>
              </c:pt>
              <c:pt idx="1">
                <c:v>104287</c:v>
              </c:pt>
              <c:pt idx="2">
                <c:v>116020</c:v>
              </c:pt>
              <c:pt idx="3">
                <c:v>113919</c:v>
              </c:pt>
              <c:pt idx="4">
                <c:v>116312</c:v>
              </c:pt>
              <c:pt idx="5">
                <c:v>120800</c:v>
              </c:pt>
              <c:pt idx="6">
                <c:v>117088</c:v>
              </c:pt>
              <c:pt idx="7">
                <c:v>113312</c:v>
              </c:pt>
              <c:pt idx="8">
                <c:v>107305</c:v>
              </c:pt>
              <c:pt idx="9">
                <c:v>91379</c:v>
              </c:pt>
              <c:pt idx="10">
                <c:v>85878</c:v>
              </c:pt>
              <c:pt idx="11">
                <c:v>75008.200000000012</c:v>
              </c:pt>
              <c:pt idx="12">
                <c:v>87765.6</c:v>
              </c:pt>
              <c:pt idx="13">
                <c:v>75986</c:v>
              </c:pt>
              <c:pt idx="14">
                <c:v>58891.1</c:v>
              </c:pt>
              <c:pt idx="15">
                <c:v>47123.3</c:v>
              </c:pt>
              <c:pt idx="16">
                <c:v>45877.5</c:v>
              </c:pt>
              <c:pt idx="17">
                <c:v>35408.199999999997</c:v>
              </c:pt>
              <c:pt idx="18">
                <c:v>31458.600000000002</c:v>
              </c:pt>
              <c:pt idx="19">
                <c:v>26020.799999999999</c:v>
              </c:pt>
              <c:pt idx="20">
                <c:v>21715.699999999997</c:v>
              </c:pt>
              <c:pt idx="21">
                <c:v>19885.099999999999</c:v>
              </c:pt>
              <c:pt idx="22">
                <c:v>18888.600000000002</c:v>
              </c:pt>
              <c:pt idx="23">
                <c:v>15481.699999999997</c:v>
              </c:pt>
              <c:pt idx="24">
                <c:v>14164.2</c:v>
              </c:pt>
              <c:pt idx="25">
                <c:v>13385.800000000001</c:v>
              </c:pt>
              <c:pt idx="26">
                <c:v>12129.7</c:v>
              </c:pt>
              <c:pt idx="27">
                <c:v>11526.694451159998</c:v>
              </c:pt>
              <c:pt idx="28">
                <c:v>11029.129547660001</c:v>
              </c:pt>
              <c:pt idx="29">
                <c:v>10153.115378189999</c:v>
              </c:pt>
              <c:pt idx="30">
                <c:v>10043.258547610001</c:v>
              </c:pt>
              <c:pt idx="31">
                <c:v>7748.0854822399997</c:v>
              </c:pt>
              <c:pt idx="32">
                <c:v>12861.937289709998</c:v>
              </c:pt>
              <c:pt idx="33">
                <c:v>10191.484636876365</c:v>
              </c:pt>
              <c:pt idx="34">
                <c:v>8575.9283182527215</c:v>
              </c:pt>
              <c:pt idx="35">
                <c:v>7759.4930996175372</c:v>
              </c:pt>
            </c:numLit>
          </c:val>
          <c:extLst>
            <c:ext xmlns:c16="http://schemas.microsoft.com/office/drawing/2014/chart" uri="{C3380CC4-5D6E-409C-BE32-E72D297353CC}">
              <c16:uniqueId val="{00000006-DCFA-415B-8D20-27CD3655DEE7}"/>
            </c:ext>
          </c:extLst>
        </c:ser>
        <c:ser>
          <c:idx val="6"/>
          <c:order val="4"/>
          <c:tx>
            <c:v>Rifiuti non rinnovabili</c:v>
          </c:tx>
          <c:spPr>
            <a:solidFill>
              <a:srgbClr val="C7C965"/>
            </a:solidFill>
            <a:ln w="28575">
              <a:noFill/>
            </a:ln>
          </c:spP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51.5</c:v>
              </c:pt>
              <c:pt idx="1">
                <c:v>116.19999999999999</c:v>
              </c:pt>
              <c:pt idx="2">
                <c:v>92</c:v>
              </c:pt>
              <c:pt idx="3">
                <c:v>104</c:v>
              </c:pt>
              <c:pt idx="4">
                <c:v>92.65</c:v>
              </c:pt>
              <c:pt idx="5">
                <c:v>86.100000000000023</c:v>
              </c:pt>
              <c:pt idx="6">
                <c:v>120.89999999999998</c:v>
              </c:pt>
              <c:pt idx="7">
                <c:v>127.84999999999991</c:v>
              </c:pt>
              <c:pt idx="8">
                <c:v>235.5</c:v>
              </c:pt>
              <c:pt idx="9">
                <c:v>327.20000000000005</c:v>
              </c:pt>
              <c:pt idx="10">
                <c:v>403.45000000000005</c:v>
              </c:pt>
              <c:pt idx="11">
                <c:v>629.35000000000014</c:v>
              </c:pt>
              <c:pt idx="12">
                <c:v>802.04999999999973</c:v>
              </c:pt>
              <c:pt idx="13">
                <c:v>905.94999999999982</c:v>
              </c:pt>
              <c:pt idx="14">
                <c:v>1138.5</c:v>
              </c:pt>
              <c:pt idx="15">
                <c:v>1309.8500000000004</c:v>
              </c:pt>
              <c:pt idx="16">
                <c:v>1458.2999999999993</c:v>
              </c:pt>
              <c:pt idx="17">
                <c:v>1512.4500000000007</c:v>
              </c:pt>
              <c:pt idx="18">
                <c:v>1699.3499999999995</c:v>
              </c:pt>
              <c:pt idx="19">
                <c:v>1772.380000000001</c:v>
              </c:pt>
              <c:pt idx="20">
                <c:v>2144.7099999999991</c:v>
              </c:pt>
              <c:pt idx="21">
                <c:v>2304.5000000000018</c:v>
              </c:pt>
              <c:pt idx="22">
                <c:v>2265.9000000000015</c:v>
              </c:pt>
              <c:pt idx="23">
                <c:v>2292.7999999999993</c:v>
              </c:pt>
              <c:pt idx="24">
                <c:v>2451.4000000000051</c:v>
              </c:pt>
              <c:pt idx="25">
                <c:v>2427.9999999999964</c:v>
              </c:pt>
              <c:pt idx="26">
                <c:v>2503.1000000000022</c:v>
              </c:pt>
              <c:pt idx="27">
                <c:v>2473.1409297100108</c:v>
              </c:pt>
              <c:pt idx="28">
                <c:v>2453.8775132900046</c:v>
              </c:pt>
              <c:pt idx="29">
                <c:v>2428.4135880800022</c:v>
              </c:pt>
              <c:pt idx="30">
                <c:v>2402.288195649995</c:v>
              </c:pt>
              <c:pt idx="31">
                <c:v>2379.4346780999986</c:v>
              </c:pt>
              <c:pt idx="32">
                <c:v>2396.0559367899987</c:v>
              </c:pt>
              <c:pt idx="33">
                <c:v>2402.3835507234253</c:v>
              </c:pt>
              <c:pt idx="34">
                <c:v>2318.331415838682</c:v>
              </c:pt>
              <c:pt idx="35">
                <c:v>2462.3384986978235</c:v>
              </c:pt>
            </c:numLit>
          </c:val>
          <c:extLst>
            <c:ext xmlns:c16="http://schemas.microsoft.com/office/drawing/2014/chart" uri="{C3380CC4-5D6E-409C-BE32-E72D297353CC}">
              <c16:uniqueId val="{00000007-DCFA-415B-8D20-27CD3655DEE7}"/>
            </c:ext>
          </c:extLst>
        </c:ser>
        <c:ser>
          <c:idx val="0"/>
          <c:order val="5"/>
          <c:tx>
            <c:v>Rinnovabili</c:v>
          </c:tx>
          <c:spPr>
            <a:solidFill>
              <a:schemeClr val="accent4"/>
            </a:solidFill>
          </c:spPr>
          <c:dPt>
            <c:idx val="30"/>
            <c:bubble3D val="0"/>
            <c:extLst>
              <c:ext xmlns:c16="http://schemas.microsoft.com/office/drawing/2014/chart" uri="{C3380CC4-5D6E-409C-BE32-E72D297353CC}">
                <c16:uniqueId val="{00000008-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34905.5</c:v>
              </c:pt>
              <c:pt idx="1">
                <c:v>45531.3</c:v>
              </c:pt>
              <c:pt idx="2">
                <c:v>45762</c:v>
              </c:pt>
              <c:pt idx="3">
                <c:v>45211</c:v>
              </c:pt>
              <c:pt idx="4">
                <c:v>48283.05</c:v>
              </c:pt>
              <c:pt idx="5">
                <c:v>41542.200000000004</c:v>
              </c:pt>
              <c:pt idx="6">
                <c:v>46328.799999999996</c:v>
              </c:pt>
              <c:pt idx="7">
                <c:v>46331.950000000004</c:v>
              </c:pt>
              <c:pt idx="8">
                <c:v>46671.5</c:v>
              </c:pt>
              <c:pt idx="9">
                <c:v>51676</c:v>
              </c:pt>
              <c:pt idx="10">
                <c:v>50990.85</c:v>
              </c:pt>
              <c:pt idx="11">
                <c:v>54472.549999999996</c:v>
              </c:pt>
              <c:pt idx="12">
                <c:v>48315.350000000006</c:v>
              </c:pt>
              <c:pt idx="13">
                <c:v>47078.950000000004</c:v>
              </c:pt>
              <c:pt idx="14">
                <c:v>54149.5</c:v>
              </c:pt>
              <c:pt idx="15">
                <c:v>48610.649999999994</c:v>
              </c:pt>
              <c:pt idx="16">
                <c:v>50813.8</c:v>
              </c:pt>
              <c:pt idx="17">
                <c:v>47898.95</c:v>
              </c:pt>
              <c:pt idx="18">
                <c:v>58163.950000000004</c:v>
              </c:pt>
              <c:pt idx="19">
                <c:v>69255.42</c:v>
              </c:pt>
              <c:pt idx="20">
                <c:v>76964.37</c:v>
              </c:pt>
              <c:pt idx="21">
                <c:v>82961.460000000006</c:v>
              </c:pt>
              <c:pt idx="22">
                <c:v>92222.399999999994</c:v>
              </c:pt>
              <c:pt idx="23">
                <c:v>112008.4</c:v>
              </c:pt>
              <c:pt idx="24">
                <c:v>120679</c:v>
              </c:pt>
              <c:pt idx="25">
                <c:v>108904.1</c:v>
              </c:pt>
              <c:pt idx="26">
                <c:v>108022</c:v>
              </c:pt>
              <c:pt idx="27">
                <c:v>103914.09999999999</c:v>
              </c:pt>
              <c:pt idx="28">
                <c:v>114464.73999999999</c:v>
              </c:pt>
              <c:pt idx="29">
                <c:v>115846.99999999999</c:v>
              </c:pt>
              <c:pt idx="30">
                <c:v>116914.75732772006</c:v>
              </c:pt>
              <c:pt idx="31">
                <c:v>116338.98000000001</c:v>
              </c:pt>
              <c:pt idx="32">
                <c:v>100466</c:v>
              </c:pt>
              <c:pt idx="33">
                <c:v>116578.6</c:v>
              </c:pt>
              <c:pt idx="34">
                <c:v>134357.50999999998</c:v>
              </c:pt>
              <c:pt idx="35">
                <c:v>132326.4582584592</c:v>
              </c:pt>
            </c:numLit>
          </c:val>
          <c:extLst>
            <c:ext xmlns:c16="http://schemas.microsoft.com/office/drawing/2014/chart" uri="{C3380CC4-5D6E-409C-BE32-E72D297353CC}">
              <c16:uniqueId val="{00000009-DCFA-415B-8D20-27CD3655DEE7}"/>
            </c:ext>
          </c:extLst>
        </c:ser>
        <c:dLbls>
          <c:showLegendKey val="0"/>
          <c:showVal val="0"/>
          <c:showCatName val="0"/>
          <c:showSerName val="0"/>
          <c:showPercent val="0"/>
          <c:showBubbleSize val="0"/>
        </c:dLbls>
        <c:axId val="165828864"/>
        <c:axId val="165842944"/>
      </c:areaChart>
      <c:lineChart>
        <c:grouping val="stacked"/>
        <c:varyColors val="0"/>
        <c:ser>
          <c:idx val="1"/>
          <c:order val="6"/>
          <c:tx>
            <c:v>Consumi elettrici</c:v>
          </c:tx>
          <c:spPr>
            <a:ln>
              <a:solidFill>
                <a:srgbClr val="FF9900"/>
              </a:solidFill>
            </a:ln>
          </c:spPr>
          <c:marker>
            <c:symbol val="none"/>
          </c:marker>
          <c:val>
            <c:numLit>
              <c:formatCode>General</c:formatCode>
              <c:ptCount val="36"/>
              <c:pt idx="0">
                <c:v>218778</c:v>
              </c:pt>
              <c:pt idx="1">
                <c:v>223687.5</c:v>
              </c:pt>
              <c:pt idx="2">
                <c:v>228069</c:v>
              </c:pt>
              <c:pt idx="3">
                <c:v>228964</c:v>
              </c:pt>
              <c:pt idx="4">
                <c:v>236554.69999999998</c:v>
              </c:pt>
              <c:pt idx="5">
                <c:v>243464.3</c:v>
              </c:pt>
              <c:pt idx="6">
                <c:v>245952.7</c:v>
              </c:pt>
              <c:pt idx="7">
                <c:v>253670.8</c:v>
              </c:pt>
              <c:pt idx="8">
                <c:v>260803</c:v>
              </c:pt>
              <c:pt idx="9">
                <c:v>267276.2</c:v>
              </c:pt>
              <c:pt idx="10">
                <c:v>279319.68399999995</c:v>
              </c:pt>
              <c:pt idx="11">
                <c:v>285491.20199999993</c:v>
              </c:pt>
              <c:pt idx="12">
                <c:v>290960.30300000001</c:v>
              </c:pt>
              <c:pt idx="13">
                <c:v>299787.84000000003</c:v>
              </c:pt>
              <c:pt idx="14">
                <c:v>304514.93099999998</c:v>
              </c:pt>
              <c:pt idx="15">
                <c:v>309842.93400000001</c:v>
              </c:pt>
              <c:pt idx="16">
                <c:v>317566.62900000007</c:v>
              </c:pt>
              <c:pt idx="17">
                <c:v>318952.92800000007</c:v>
              </c:pt>
              <c:pt idx="18">
                <c:v>319036.614</c:v>
              </c:pt>
              <c:pt idx="19">
                <c:v>299918.185</c:v>
              </c:pt>
              <c:pt idx="20">
                <c:v>309881.65799999994</c:v>
              </c:pt>
              <c:pt idx="21">
                <c:v>313785.62799999997</c:v>
              </c:pt>
              <c:pt idx="22">
                <c:v>307216.58199999994</c:v>
              </c:pt>
              <c:pt idx="23">
                <c:v>297286.69700000004</c:v>
              </c:pt>
              <c:pt idx="24">
                <c:v>291084.79200000002</c:v>
              </c:pt>
              <c:pt idx="25">
                <c:v>297180.95299999998</c:v>
              </c:pt>
              <c:pt idx="26">
                <c:v>295508.86199999996</c:v>
              </c:pt>
              <c:pt idx="27">
                <c:v>301880.49717200006</c:v>
              </c:pt>
              <c:pt idx="28">
                <c:v>303442.99672702001</c:v>
              </c:pt>
              <c:pt idx="29">
                <c:v>301803.8</c:v>
              </c:pt>
              <c:pt idx="30">
                <c:v>283814.5</c:v>
              </c:pt>
              <c:pt idx="31">
                <c:v>300887.10605539993</c:v>
              </c:pt>
              <c:pt idx="32">
                <c:v>295853.44216482999</c:v>
              </c:pt>
              <c:pt idx="33">
                <c:v>287372.12462643901</c:v>
              </c:pt>
              <c:pt idx="34">
                <c:v>292712.52410961187</c:v>
              </c:pt>
              <c:pt idx="35">
                <c:v>293647.58156809531</c:v>
              </c:pt>
            </c:numLit>
          </c:val>
          <c:smooth val="1"/>
          <c:extLst>
            <c:ext xmlns:c16="http://schemas.microsoft.com/office/drawing/2014/chart" uri="{C3380CC4-5D6E-409C-BE32-E72D297353CC}">
              <c16:uniqueId val="{0000000A-DCFA-415B-8D20-27CD3655DEE7}"/>
            </c:ext>
          </c:extLst>
        </c:ser>
        <c:dLbls>
          <c:showLegendKey val="0"/>
          <c:showVal val="0"/>
          <c:showCatName val="0"/>
          <c:showSerName val="0"/>
          <c:showPercent val="0"/>
          <c:showBubbleSize val="0"/>
        </c:dLbls>
        <c:marker val="1"/>
        <c:smooth val="0"/>
        <c:axId val="165828864"/>
        <c:axId val="165842944"/>
      </c:lineChart>
      <c:lineChart>
        <c:grouping val="stacked"/>
        <c:varyColors val="0"/>
        <c:ser>
          <c:idx val="7"/>
          <c:order val="7"/>
          <c:tx>
            <c:v>Emissioni di CO2</c:v>
          </c:tx>
          <c:spPr>
            <a:ln w="44450">
              <a:solidFill>
                <a:srgbClr val="FFD961"/>
              </a:solidFill>
            </a:ln>
          </c:spPr>
          <c:marker>
            <c:symbol val="none"/>
          </c:marker>
          <c:val>
            <c:numLit>
              <c:formatCode>General</c:formatCode>
              <c:ptCount val="36"/>
              <c:pt idx="0">
                <c:v>114.41930060094678</c:v>
              </c:pt>
              <c:pt idx="1">
                <c:v>110.83823625505362</c:v>
              </c:pt>
              <c:pt idx="2">
                <c:v>110.30525687466012</c:v>
              </c:pt>
              <c:pt idx="3">
                <c:v>106.07187576978136</c:v>
              </c:pt>
              <c:pt idx="4">
                <c:v>109.66039331191278</c:v>
              </c:pt>
              <c:pt idx="5">
                <c:v>119.65609913164994</c:v>
              </c:pt>
              <c:pt idx="6">
                <c:v>116.59387548897514</c:v>
              </c:pt>
              <c:pt idx="7">
                <c:v>118.008935454503</c:v>
              </c:pt>
              <c:pt idx="8">
                <c:v>122.09683890319735</c:v>
              </c:pt>
              <c:pt idx="9">
                <c:v>118.48357178326481</c:v>
              </c:pt>
              <c:pt idx="10">
                <c:v>122.67525939995639</c:v>
              </c:pt>
              <c:pt idx="11">
                <c:v>121.63338377715711</c:v>
              </c:pt>
              <c:pt idx="12">
                <c:v>131.17164279159979</c:v>
              </c:pt>
              <c:pt idx="13">
                <c:v>129.35478265810693</c:v>
              </c:pt>
              <c:pt idx="14">
                <c:v>147.0934836423834</c:v>
              </c:pt>
              <c:pt idx="15">
                <c:v>144.74312632555694</c:v>
              </c:pt>
              <c:pt idx="16">
                <c:v>147.45002052084254</c:v>
              </c:pt>
              <c:pt idx="17">
                <c:v>145.92405574281224</c:v>
              </c:pt>
              <c:pt idx="18">
                <c:v>141.87565639814184</c:v>
              </c:pt>
              <c:pt idx="19">
                <c:v>119.76209931208173</c:v>
              </c:pt>
              <c:pt idx="20">
                <c:v>121.70870410113133</c:v>
              </c:pt>
              <c:pt idx="21">
                <c:v>119.57793463693831</c:v>
              </c:pt>
              <c:pt idx="22">
                <c:v>115.78647600093768</c:v>
              </c:pt>
              <c:pt idx="23">
                <c:v>98.137627340549614</c:v>
              </c:pt>
              <c:pt idx="24">
                <c:v>90.99868195310799</c:v>
              </c:pt>
              <c:pt idx="25">
                <c:v>94.548472304045845</c:v>
              </c:pt>
              <c:pt idx="26">
                <c:v>93.863743159910342</c:v>
              </c:pt>
              <c:pt idx="27">
                <c:v>94.307087279330361</c:v>
              </c:pt>
              <c:pt idx="28">
                <c:v>86.635484742035814</c:v>
              </c:pt>
              <c:pt idx="29">
                <c:v>82.320543725154124</c:v>
              </c:pt>
              <c:pt idx="30">
                <c:v>73.463947603774983</c:v>
              </c:pt>
              <c:pt idx="31">
                <c:v>77.941350880268629</c:v>
              </c:pt>
              <c:pt idx="32">
                <c:v>86.672835637608543</c:v>
              </c:pt>
              <c:pt idx="33">
                <c:v>67.458154386279276</c:v>
              </c:pt>
              <c:pt idx="34">
                <c:v>56.375005628189804</c:v>
              </c:pt>
              <c:pt idx="35">
                <c:v>58.615110514179463</c:v>
              </c:pt>
            </c:numLit>
          </c:val>
          <c:smooth val="1"/>
          <c:extLst>
            <c:ext xmlns:c16="http://schemas.microsoft.com/office/drawing/2014/chart" uri="{C3380CC4-5D6E-409C-BE32-E72D297353CC}">
              <c16:uniqueId val="{0000000B-DCFA-415B-8D20-27CD3655DEE7}"/>
            </c:ext>
          </c:extLst>
        </c:ser>
        <c:dLbls>
          <c:showLegendKey val="0"/>
          <c:showVal val="0"/>
          <c:showCatName val="0"/>
          <c:showSerName val="0"/>
          <c:showPercent val="0"/>
          <c:showBubbleSize val="0"/>
        </c:dLbls>
        <c:marker val="1"/>
        <c:smooth val="0"/>
        <c:axId val="196402432"/>
        <c:axId val="45024144"/>
      </c:lineChart>
      <c:dateAx>
        <c:axId val="165828864"/>
        <c:scaling>
          <c:orientation val="minMax"/>
        </c:scaling>
        <c:delete val="0"/>
        <c:axPos val="b"/>
        <c:numFmt formatCode="General" sourceLinked="1"/>
        <c:majorTickMark val="out"/>
        <c:minorTickMark val="none"/>
        <c:tickLblPos val="nextTo"/>
        <c:txPr>
          <a:bodyPr rot="-2700000" vert="horz"/>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42944"/>
        <c:crosses val="autoZero"/>
        <c:auto val="0"/>
        <c:lblOffset val="100"/>
        <c:baseTimeUnit val="days"/>
        <c:majorUnit val="1"/>
        <c:majorTimeUnit val="days"/>
        <c:minorUnit val="1"/>
      </c:dateAx>
      <c:valAx>
        <c:axId val="165842944"/>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28864"/>
        <c:crosses val="autoZero"/>
        <c:crossBetween val="between"/>
        <c:dispUnits>
          <c:custUnit val="1000"/>
        </c:dispUnits>
      </c:valAx>
      <c:valAx>
        <c:axId val="45024144"/>
        <c:scaling>
          <c:orientation val="minMax"/>
        </c:scaling>
        <c:delete val="0"/>
        <c:axPos val="r"/>
        <c:numFmt formatCode="#,##0" sourceLinked="0"/>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it-IT"/>
          </a:p>
        </c:txPr>
        <c:crossAx val="196402432"/>
        <c:crosses val="max"/>
        <c:crossBetween val="between"/>
      </c:valAx>
      <c:catAx>
        <c:axId val="196402432"/>
        <c:scaling>
          <c:orientation val="minMax"/>
        </c:scaling>
        <c:delete val="1"/>
        <c:axPos val="b"/>
        <c:majorTickMark val="out"/>
        <c:minorTickMark val="none"/>
        <c:tickLblPos val="nextTo"/>
        <c:crossAx val="45024144"/>
        <c:crosses val="autoZero"/>
        <c:auto val="1"/>
        <c:lblAlgn val="ctr"/>
        <c:lblOffset val="100"/>
        <c:noMultiLvlLbl val="0"/>
      </c:catAx>
    </c:plotArea>
    <c:legend>
      <c:legendPos val="b"/>
      <c:layout>
        <c:manualLayout>
          <c:xMode val="edge"/>
          <c:yMode val="edge"/>
          <c:x val="0.10650147633045438"/>
          <c:y val="0.82673793740209334"/>
          <c:w val="0.81266589603778416"/>
          <c:h val="0.14342892114005942"/>
        </c:manualLayout>
      </c:layout>
      <c:overlay val="0"/>
      <c:txPr>
        <a:bodyPr/>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83333333333333"/>
          <c:y val="0"/>
          <c:w val="0.59722222222222221"/>
          <c:h val="0.99537037037037035"/>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70EA-44AA-941E-E25BD7A4CA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0F-4F09-B8B9-E48060236B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70EA-44AA-941E-E25BD7A4CA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70EA-44AA-941E-E25BD7A4CA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0F-4F09-B8B9-E48060236BD8}"/>
              </c:ext>
            </c:extLst>
          </c:dPt>
          <c:dLbls>
            <c:dLbl>
              <c:idx val="0"/>
              <c:layout>
                <c:manualLayout>
                  <c:x val="-1.2145341207349133E-2"/>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EA-44AA-941E-E25BD7A4CA32}"/>
                </c:ext>
              </c:extLst>
            </c:dLbl>
            <c:dLbl>
              <c:idx val="2"/>
              <c:layout>
                <c:manualLayout>
                  <c:x val="0.14444444444444443"/>
                  <c:y val="-0.19675925925925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extLst>
                <c:ext xmlns:c15="http://schemas.microsoft.com/office/drawing/2012/chart" uri="{CE6537A1-D6FC-4f65-9D91-7224C49458BB}">
                  <c15:layout>
                    <c:manualLayout>
                      <c:w val="0.1875"/>
                      <c:h val="0.20370370370370369"/>
                    </c:manualLayout>
                  </c15:layout>
                </c:ext>
                <c:ext xmlns:c16="http://schemas.microsoft.com/office/drawing/2014/chart" uri="{C3380CC4-5D6E-409C-BE32-E72D297353CC}">
                  <c16:uniqueId val="{00000001-70EA-44AA-941E-E25BD7A4CA32}"/>
                </c:ext>
              </c:extLst>
            </c:dLbl>
            <c:dLbl>
              <c:idx val="3"/>
              <c:layout>
                <c:manualLayout>
                  <c:x val="2.7777777777777779E-3"/>
                  <c:y val="1.3212306794983961E-2"/>
                </c:manualLayout>
              </c:layout>
              <c:showLegendKey val="0"/>
              <c:showVal val="0"/>
              <c:showCatName val="1"/>
              <c:showSerName val="0"/>
              <c:showPercent val="1"/>
              <c:showBubbleSize val="0"/>
              <c:extLst>
                <c:ext xmlns:c15="http://schemas.microsoft.com/office/drawing/2012/chart" uri="{CE6537A1-D6FC-4f65-9D91-7224C49458BB}">
                  <c15:layout>
                    <c:manualLayout>
                      <c:w val="0.28055555555555556"/>
                      <c:h val="0.18402777777777779"/>
                    </c:manualLayout>
                  </c15:layout>
                </c:ext>
                <c:ext xmlns:c16="http://schemas.microsoft.com/office/drawing/2014/chart" uri="{C3380CC4-5D6E-409C-BE32-E72D297353CC}">
                  <c16:uniqueId val="{00000002-70EA-44AA-941E-E25BD7A4CA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'25x'!$A$159:$A$163</c:f>
              <c:strCache>
                <c:ptCount val="5"/>
                <c:pt idx="0">
                  <c:v>Agricoltura e Pesca</c:v>
                </c:pt>
                <c:pt idx="1">
                  <c:v>Industria</c:v>
                </c:pt>
                <c:pt idx="2">
                  <c:v>Servizi (senza trasporti)</c:v>
                </c:pt>
                <c:pt idx="3">
                  <c:v>Trasporti (+magazzinaggio)</c:v>
                </c:pt>
                <c:pt idx="4">
                  <c:v>Domestico</c:v>
                </c:pt>
              </c:strCache>
            </c:strRef>
          </c:cat>
          <c:val>
            <c:numRef>
              <c:f>'25x'!$Z$159:$Z$163</c:f>
              <c:numCache>
                <c:formatCode>0.0</c:formatCode>
                <c:ptCount val="5"/>
                <c:pt idx="0">
                  <c:v>6.3105000000000002</c:v>
                </c:pt>
                <c:pt idx="1">
                  <c:v>125.4175</c:v>
                </c:pt>
                <c:pt idx="2">
                  <c:v>75.690100000000001</c:v>
                </c:pt>
                <c:pt idx="3">
                  <c:v>10.184700000000001</c:v>
                </c:pt>
                <c:pt idx="4">
                  <c:v>66.211600000000004</c:v>
                </c:pt>
              </c:numCache>
            </c:numRef>
          </c:val>
          <c:extLst>
            <c:ext xmlns:c16="http://schemas.microsoft.com/office/drawing/2014/chart" uri="{C3380CC4-5D6E-409C-BE32-E72D297353CC}">
              <c16:uniqueId val="{00000000-70EA-44AA-941E-E25BD7A4CA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07776587118882"/>
          <c:y val="4.9326481558226276E-2"/>
          <c:w val="0.75747568543244681"/>
          <c:h val="0.62995573974305841"/>
        </c:manualLayout>
      </c:layout>
      <c:barChart>
        <c:barDir val="col"/>
        <c:grouping val="stacked"/>
        <c:varyColors val="0"/>
        <c:ser>
          <c:idx val="0"/>
          <c:order val="0"/>
          <c:tx>
            <c:strRef>
              <c:f>'25x'!$A$159</c:f>
              <c:strCache>
                <c:ptCount val="1"/>
                <c:pt idx="0">
                  <c:v>Agricoltura e Pesca</c:v>
                </c:pt>
              </c:strCache>
            </c:strRef>
          </c:tx>
          <c:spPr>
            <a:solidFill>
              <a:schemeClr val="accent1"/>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'25x'!$K$159:$AE$159</c:f>
              <c:numCache>
                <c:formatCode>0.0</c:formatCode>
                <c:ptCount val="21"/>
                <c:pt idx="0">
                  <c:v>5.3643999999999998</c:v>
                </c:pt>
                <c:pt idx="1">
                  <c:v>5.5034999999999998</c:v>
                </c:pt>
                <c:pt idx="2">
                  <c:v>5.6592000000000002</c:v>
                </c:pt>
                <c:pt idx="3">
                  <c:v>5.6695000000000002</c:v>
                </c:pt>
                <c:pt idx="4">
                  <c:v>5.6498999999999997</c:v>
                </c:pt>
                <c:pt idx="5">
                  <c:v>5.6103000000000005</c:v>
                </c:pt>
                <c:pt idx="6">
                  <c:v>5.907</c:v>
                </c:pt>
                <c:pt idx="7">
                  <c:v>5.9236000000000004</c:v>
                </c:pt>
                <c:pt idx="8">
                  <c:v>5.6771000000000003</c:v>
                </c:pt>
                <c:pt idx="9">
                  <c:v>5.3721000000000005</c:v>
                </c:pt>
                <c:pt idx="10">
                  <c:v>5.6898999999999997</c:v>
                </c:pt>
                <c:pt idx="11">
                  <c:v>5.5674999999999999</c:v>
                </c:pt>
                <c:pt idx="12">
                  <c:v>5.9904000000000002</c:v>
                </c:pt>
                <c:pt idx="13">
                  <c:v>5.8433000000000002</c:v>
                </c:pt>
                <c:pt idx="14">
                  <c:v>6.0523999999999996</c:v>
                </c:pt>
                <c:pt idx="15">
                  <c:v>6.3105000000000002</c:v>
                </c:pt>
                <c:pt idx="16">
                  <c:v>6.7138</c:v>
                </c:pt>
                <c:pt idx="17">
                  <c:v>6.6173000000000002</c:v>
                </c:pt>
                <c:pt idx="18">
                  <c:v>6.3333999999999993</c:v>
                </c:pt>
                <c:pt idx="19">
                  <c:v>6.6852</c:v>
                </c:pt>
                <c:pt idx="20">
                  <c:v>6.6478092871656127</c:v>
                </c:pt>
              </c:numCache>
            </c:numRef>
          </c:val>
          <c:extLst>
            <c:ext xmlns:c16="http://schemas.microsoft.com/office/drawing/2014/chart" uri="{C3380CC4-5D6E-409C-BE32-E72D297353CC}">
              <c16:uniqueId val="{00000000-87F5-4541-AB76-EC257C245FEC}"/>
            </c:ext>
          </c:extLst>
        </c:ser>
        <c:ser>
          <c:idx val="1"/>
          <c:order val="1"/>
          <c:tx>
            <c:strRef>
              <c:f>'25x'!$A$160</c:f>
              <c:strCache>
                <c:ptCount val="1"/>
                <c:pt idx="0">
                  <c:v>Industria</c:v>
                </c:pt>
              </c:strCache>
            </c:strRef>
          </c:tx>
          <c:spPr>
            <a:solidFill>
              <a:schemeClr val="accent2"/>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'25x'!$K$160:$AE$160</c:f>
              <c:numCache>
                <c:formatCode>0.0</c:formatCode>
                <c:ptCount val="21"/>
                <c:pt idx="0">
                  <c:v>153.7268</c:v>
                </c:pt>
                <c:pt idx="1">
                  <c:v>156.1506</c:v>
                </c:pt>
                <c:pt idx="2">
                  <c:v>155.80429999999998</c:v>
                </c:pt>
                <c:pt idx="3">
                  <c:v>151.36660000000001</c:v>
                </c:pt>
                <c:pt idx="4">
                  <c:v>130.5059</c:v>
                </c:pt>
                <c:pt idx="5">
                  <c:v>138.43929999999997</c:v>
                </c:pt>
                <c:pt idx="6">
                  <c:v>140.03960000000001</c:v>
                </c:pt>
                <c:pt idx="7">
                  <c:v>130.80089999999998</c:v>
                </c:pt>
                <c:pt idx="8">
                  <c:v>124.8708</c:v>
                </c:pt>
                <c:pt idx="9">
                  <c:v>122.505</c:v>
                </c:pt>
                <c:pt idx="10">
                  <c:v>122.3623</c:v>
                </c:pt>
                <c:pt idx="11">
                  <c:v>122.738</c:v>
                </c:pt>
                <c:pt idx="12">
                  <c:v>125.52460000000001</c:v>
                </c:pt>
                <c:pt idx="13">
                  <c:v>126.432</c:v>
                </c:pt>
                <c:pt idx="14">
                  <c:v>128.93998999999999</c:v>
                </c:pt>
                <c:pt idx="15">
                  <c:v>125.4175</c:v>
                </c:pt>
                <c:pt idx="16">
                  <c:v>135.74615</c:v>
                </c:pt>
                <c:pt idx="17">
                  <c:v>130.01310000000001</c:v>
                </c:pt>
                <c:pt idx="18">
                  <c:v>124.48570000000001</c:v>
                </c:pt>
                <c:pt idx="19">
                  <c:v>124.82358000000001</c:v>
                </c:pt>
                <c:pt idx="20">
                  <c:v>124.43558126844862</c:v>
                </c:pt>
              </c:numCache>
            </c:numRef>
          </c:val>
          <c:extLst>
            <c:ext xmlns:c16="http://schemas.microsoft.com/office/drawing/2014/chart" uri="{C3380CC4-5D6E-409C-BE32-E72D297353CC}">
              <c16:uniqueId val="{00000001-87F5-4541-AB76-EC257C245FEC}"/>
            </c:ext>
          </c:extLst>
        </c:ser>
        <c:ser>
          <c:idx val="2"/>
          <c:order val="2"/>
          <c:tx>
            <c:strRef>
              <c:f>'25x'!$A$161</c:f>
              <c:strCache>
                <c:ptCount val="1"/>
                <c:pt idx="0">
                  <c:v>Servizi (senza trasporti)</c:v>
                </c:pt>
              </c:strCache>
            </c:strRef>
          </c:tx>
          <c:spPr>
            <a:solidFill>
              <a:schemeClr val="accent3"/>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'25x'!$K$161:$AE$161</c:f>
              <c:numCache>
                <c:formatCode>0.0</c:formatCode>
                <c:ptCount val="21"/>
                <c:pt idx="0">
                  <c:v>73.875</c:v>
                </c:pt>
                <c:pt idx="1">
                  <c:v>78.057199999999995</c:v>
                </c:pt>
                <c:pt idx="2">
                  <c:v>79.864599999999996</c:v>
                </c:pt>
                <c:pt idx="3">
                  <c:v>82.773099999999999</c:v>
                </c:pt>
                <c:pt idx="4">
                  <c:v>84.299999999999983</c:v>
                </c:pt>
                <c:pt idx="5">
                  <c:v>85.618600000000001</c:v>
                </c:pt>
                <c:pt idx="6">
                  <c:v>86.984899999999996</c:v>
                </c:pt>
                <c:pt idx="7">
                  <c:v>90.279399999999995</c:v>
                </c:pt>
                <c:pt idx="8">
                  <c:v>88.982200000000006</c:v>
                </c:pt>
                <c:pt idx="9">
                  <c:v>88.489299999999986</c:v>
                </c:pt>
                <c:pt idx="10">
                  <c:v>92.084900000000005</c:v>
                </c:pt>
                <c:pt idx="11">
                  <c:v>91.736000000000004</c:v>
                </c:pt>
                <c:pt idx="12">
                  <c:v>93.491899999999987</c:v>
                </c:pt>
                <c:pt idx="13">
                  <c:v>94.489800000000002</c:v>
                </c:pt>
                <c:pt idx="14">
                  <c:v>89.4983</c:v>
                </c:pt>
                <c:pt idx="15">
                  <c:v>75.690100000000001</c:v>
                </c:pt>
                <c:pt idx="16">
                  <c:v>80.440799999999996</c:v>
                </c:pt>
                <c:pt idx="17">
                  <c:v>83.091999999999999</c:v>
                </c:pt>
                <c:pt idx="18">
                  <c:v>81.567300000000031</c:v>
                </c:pt>
                <c:pt idx="19">
                  <c:v>83.55710000000002</c:v>
                </c:pt>
                <c:pt idx="20">
                  <c:v>86.052445524849801</c:v>
                </c:pt>
              </c:numCache>
            </c:numRef>
          </c:val>
          <c:extLst>
            <c:ext xmlns:c16="http://schemas.microsoft.com/office/drawing/2014/chart" uri="{C3380CC4-5D6E-409C-BE32-E72D297353CC}">
              <c16:uniqueId val="{00000002-87F5-4541-AB76-EC257C245FEC}"/>
            </c:ext>
          </c:extLst>
        </c:ser>
        <c:ser>
          <c:idx val="3"/>
          <c:order val="3"/>
          <c:tx>
            <c:strRef>
              <c:f>'25x'!$A$162</c:f>
              <c:strCache>
                <c:ptCount val="1"/>
                <c:pt idx="0">
                  <c:v>Trasporti (+magazzinaggio)</c:v>
                </c:pt>
              </c:strCache>
            </c:strRef>
          </c:tx>
          <c:spPr>
            <a:solidFill>
              <a:schemeClr val="accent4"/>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'25x'!$K$162:$AE$162</c:f>
              <c:numCache>
                <c:formatCode>0.0</c:formatCode>
                <c:ptCount val="21"/>
                <c:pt idx="0">
                  <c:v>9.9179999999999993</c:v>
                </c:pt>
                <c:pt idx="1">
                  <c:v>10.219299999999999</c:v>
                </c:pt>
                <c:pt idx="2">
                  <c:v>10.4039</c:v>
                </c:pt>
                <c:pt idx="3">
                  <c:v>10.8391</c:v>
                </c:pt>
                <c:pt idx="4">
                  <c:v>10.5349</c:v>
                </c:pt>
                <c:pt idx="5">
                  <c:v>10.665899999999999</c:v>
                </c:pt>
                <c:pt idx="6">
                  <c:v>10.7202</c:v>
                </c:pt>
                <c:pt idx="7">
                  <c:v>10.759</c:v>
                </c:pt>
                <c:pt idx="8">
                  <c:v>10.774299999999998</c:v>
                </c:pt>
                <c:pt idx="9">
                  <c:v>10.4621</c:v>
                </c:pt>
                <c:pt idx="10">
                  <c:v>10.855600000000001</c:v>
                </c:pt>
                <c:pt idx="11">
                  <c:v>11.1625</c:v>
                </c:pt>
                <c:pt idx="12">
                  <c:v>11.382899999999999</c:v>
                </c:pt>
                <c:pt idx="13">
                  <c:v>11.54</c:v>
                </c:pt>
                <c:pt idx="14">
                  <c:v>11.725100000000001</c:v>
                </c:pt>
                <c:pt idx="15">
                  <c:v>10.184700000000001</c:v>
                </c:pt>
                <c:pt idx="16">
                  <c:v>10.934100000000001</c:v>
                </c:pt>
                <c:pt idx="17">
                  <c:v>11.605840000000001</c:v>
                </c:pt>
                <c:pt idx="18">
                  <c:v>11.7636</c:v>
                </c:pt>
                <c:pt idx="19">
                  <c:v>12.2173</c:v>
                </c:pt>
                <c:pt idx="20">
                  <c:v>12.837040630583529</c:v>
                </c:pt>
              </c:numCache>
            </c:numRef>
          </c:val>
          <c:extLst>
            <c:ext xmlns:c16="http://schemas.microsoft.com/office/drawing/2014/chart" uri="{C3380CC4-5D6E-409C-BE32-E72D297353CC}">
              <c16:uniqueId val="{00000003-87F5-4541-AB76-EC257C245FEC}"/>
            </c:ext>
          </c:extLst>
        </c:ser>
        <c:ser>
          <c:idx val="4"/>
          <c:order val="4"/>
          <c:tx>
            <c:strRef>
              <c:f>'25x'!$A$163</c:f>
              <c:strCache>
                <c:ptCount val="1"/>
                <c:pt idx="0">
                  <c:v>Domestico</c:v>
                </c:pt>
              </c:strCache>
            </c:strRef>
          </c:tx>
          <c:spPr>
            <a:solidFill>
              <a:schemeClr val="accent5"/>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'25x'!$K$163:$AE$163</c:f>
              <c:numCache>
                <c:formatCode>0.0</c:formatCode>
                <c:ptCount val="21"/>
                <c:pt idx="0">
                  <c:v>66.932500000000005</c:v>
                </c:pt>
                <c:pt idx="1">
                  <c:v>67.60260000000001</c:v>
                </c:pt>
                <c:pt idx="2">
                  <c:v>67.220399999999998</c:v>
                </c:pt>
                <c:pt idx="3">
                  <c:v>68.388899999999992</c:v>
                </c:pt>
                <c:pt idx="4">
                  <c:v>68.924399999999991</c:v>
                </c:pt>
                <c:pt idx="5">
                  <c:v>69.5505</c:v>
                </c:pt>
                <c:pt idx="6">
                  <c:v>70.1404</c:v>
                </c:pt>
                <c:pt idx="7">
                  <c:v>69.456600000000009</c:v>
                </c:pt>
                <c:pt idx="8">
                  <c:v>66.983199999999997</c:v>
                </c:pt>
                <c:pt idx="9">
                  <c:v>64.254999999999995</c:v>
                </c:pt>
                <c:pt idx="10">
                  <c:v>66.187300000000008</c:v>
                </c:pt>
                <c:pt idx="11">
                  <c:v>64.304199999999994</c:v>
                </c:pt>
                <c:pt idx="12">
                  <c:v>65.490700000000004</c:v>
                </c:pt>
                <c:pt idx="13">
                  <c:v>65.137799999999999</c:v>
                </c:pt>
                <c:pt idx="14">
                  <c:v>65.587999999999994</c:v>
                </c:pt>
                <c:pt idx="15">
                  <c:v>66.211600000000004</c:v>
                </c:pt>
                <c:pt idx="16">
                  <c:v>67.052289999999999</c:v>
                </c:pt>
                <c:pt idx="17">
                  <c:v>64.525139999999993</c:v>
                </c:pt>
                <c:pt idx="18">
                  <c:v>63.222099999999998</c:v>
                </c:pt>
                <c:pt idx="19">
                  <c:v>65.429299999999998</c:v>
                </c:pt>
                <c:pt idx="20">
                  <c:v>63.674682607318232</c:v>
                </c:pt>
              </c:numCache>
            </c:numRef>
          </c:val>
          <c:extLst>
            <c:ext xmlns:c16="http://schemas.microsoft.com/office/drawing/2014/chart" uri="{C3380CC4-5D6E-409C-BE32-E72D297353CC}">
              <c16:uniqueId val="{00000004-87F5-4541-AB76-EC257C245FEC}"/>
            </c:ext>
          </c:extLst>
        </c:ser>
        <c:dLbls>
          <c:showLegendKey val="0"/>
          <c:showVal val="0"/>
          <c:showCatName val="0"/>
          <c:showSerName val="0"/>
          <c:showPercent val="0"/>
          <c:showBubbleSize val="0"/>
        </c:dLbls>
        <c:gapWidth val="150"/>
        <c:overlap val="100"/>
        <c:axId val="1977590336"/>
        <c:axId val="1842608016"/>
      </c:barChart>
      <c:catAx>
        <c:axId val="19775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842608016"/>
        <c:crosses val="autoZero"/>
        <c:auto val="1"/>
        <c:lblAlgn val="ctr"/>
        <c:lblOffset val="100"/>
        <c:noMultiLvlLbl val="0"/>
      </c:catAx>
      <c:valAx>
        <c:axId val="184260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a:t>Comsumo di energia elettrica (TWh)</a:t>
                </a:r>
              </a:p>
            </c:rich>
          </c:tx>
          <c:layout>
            <c:manualLayout>
              <c:xMode val="edge"/>
              <c:yMode val="edge"/>
              <c:x val="1.3392871266385616E-2"/>
              <c:y val="3.010692084542064E-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977590336"/>
        <c:crosses val="autoZero"/>
        <c:crossBetween val="between"/>
      </c:valAx>
      <c:spPr>
        <a:noFill/>
        <a:ln>
          <a:noFill/>
        </a:ln>
        <a:effectLst/>
      </c:spPr>
    </c:plotArea>
    <c:legend>
      <c:legendPos val="b"/>
      <c:layout>
        <c:manualLayout>
          <c:xMode val="edge"/>
          <c:yMode val="edge"/>
          <c:x val="0.12016147373608732"/>
          <c:y val="0.82152838789888105"/>
          <c:w val="0.84003428012613901"/>
          <c:h val="0.1784716121011189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b="1"/>
      </a:pPr>
      <a:endParaRPr lang="it-I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7000070937079"/>
          <c:y val="4.656084656084656E-2"/>
          <c:w val="0.80257816238775503"/>
          <c:h val="0.5892321198060344"/>
        </c:manualLayout>
      </c:layout>
      <c:scatterChart>
        <c:scatterStyle val="smoothMarker"/>
        <c:varyColors val="0"/>
        <c:ser>
          <c:idx val="1"/>
          <c:order val="1"/>
          <c:tx>
            <c:strRef>
              <c:f>'25x'!$A$6</c:f>
              <c:strCache>
                <c:ptCount val="1"/>
                <c:pt idx="0">
                  <c:v>Industria</c:v>
                </c:pt>
              </c:strCache>
            </c:strRef>
          </c:tx>
          <c:spPr>
            <a:ln w="19050" cap="rnd">
              <a:solidFill>
                <a:schemeClr val="accent2"/>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'25x'!$B$6:$AD$6</c:f>
              <c:numCache>
                <c:formatCode>_(* #,##0.00_);_(* \(#,##0.00\);_(* "-"??_);_(@_)</c:formatCode>
                <c:ptCount val="29"/>
                <c:pt idx="0">
                  <c:v>129.12799999999999</c:v>
                </c:pt>
                <c:pt idx="1">
                  <c:v>133.88999999999999</c:v>
                </c:pt>
                <c:pt idx="2">
                  <c:v>137.7003</c:v>
                </c:pt>
                <c:pt idx="3">
                  <c:v>139.69810000000001</c:v>
                </c:pt>
                <c:pt idx="4" formatCode="_(* #,##0.0_);_(* \(#,##0.0\);_(* &quot;-&quot;??_);_(@_)">
                  <c:v>148.19239999999999</c:v>
                </c:pt>
                <c:pt idx="5" formatCode="_(* #,##0.0_);_(* \(#,##0.0\);_(* &quot;-&quot;??_);_(@_)">
                  <c:v>150.9734</c:v>
                </c:pt>
                <c:pt idx="6" formatCode="_(* #,##0.0_);_(* \(#,##0.0\);_(* &quot;-&quot;??_);_(@_)">
                  <c:v>151.3141</c:v>
                </c:pt>
                <c:pt idx="7" formatCode="_(* #,##0.0_);_(* \(#,##0.0\);_(* &quot;-&quot;??_);_(@_)">
                  <c:v>152.7209</c:v>
                </c:pt>
                <c:pt idx="8" formatCode="_(* #,##0.0_);_(* \(#,##0.0\);_(* &quot;-&quot;??_);_(@_)">
                  <c:v>153.15529999999998</c:v>
                </c:pt>
                <c:pt idx="9" formatCode="_(* #,##0.0_);_(* \(#,##0.0\);_(* &quot;-&quot;??_);_(@_)">
                  <c:v>153.7268</c:v>
                </c:pt>
                <c:pt idx="10" formatCode="_(* #,##0.0_);_(* \(#,##0.0\);_(* &quot;-&quot;??_);_(@_)">
                  <c:v>156.1506</c:v>
                </c:pt>
                <c:pt idx="11" formatCode="_(* #,##0.0_);_(* \(#,##0.0\);_(* &quot;-&quot;??_);_(@_)">
                  <c:v>155.80429999999998</c:v>
                </c:pt>
                <c:pt idx="12" formatCode="_(* #,##0.0_);_(* \(#,##0.0\);_(* &quot;-&quot;??_);_(@_)">
                  <c:v>151.36660000000001</c:v>
                </c:pt>
                <c:pt idx="13" formatCode="_(* #,##0.0_);_(* \(#,##0.0\);_(* &quot;-&quot;??_);_(@_)">
                  <c:v>130.5059</c:v>
                </c:pt>
                <c:pt idx="14" formatCode="_(* #,##0.0_);_(* \(#,##0.0\);_(* &quot;-&quot;??_);_(@_)">
                  <c:v>138.43929999999997</c:v>
                </c:pt>
                <c:pt idx="15" formatCode="_(* #,##0.0_);_(* \(#,##0.0\);_(* &quot;-&quot;??_);_(@_)">
                  <c:v>140.03960000000001</c:v>
                </c:pt>
                <c:pt idx="16" formatCode="_(* #,##0.0_);_(* \(#,##0.0\);_(* &quot;-&quot;??_);_(@_)">
                  <c:v>130.80089999999998</c:v>
                </c:pt>
                <c:pt idx="17" formatCode="_(* #,##0.0_);_(* \(#,##0.0\);_(* &quot;-&quot;??_);_(@_)">
                  <c:v>124.8708</c:v>
                </c:pt>
                <c:pt idx="18" formatCode="_(* #,##0.0_);_(* \(#,##0.0\);_(* &quot;-&quot;??_);_(@_)">
                  <c:v>122.505</c:v>
                </c:pt>
                <c:pt idx="19" formatCode="_(* #,##0.0_);_(* \(#,##0.0\);_(* &quot;-&quot;??_);_(@_)">
                  <c:v>122.3623</c:v>
                </c:pt>
                <c:pt idx="20" formatCode="_(* #,##0.0_);_(* \(#,##0.0\);_(* &quot;-&quot;??_);_(@_)">
                  <c:v>122.738</c:v>
                </c:pt>
                <c:pt idx="21" formatCode="_(* #,##0.0_);_(* \(#,##0.0\);_(* &quot;-&quot;??_);_(@_)">
                  <c:v>125.52460000000001</c:v>
                </c:pt>
                <c:pt idx="22" formatCode="_(* #,##0.0_);_(* \(#,##0.0\);_(* &quot;-&quot;??_);_(@_)">
                  <c:v>126.432</c:v>
                </c:pt>
                <c:pt idx="23" formatCode="_(* #,##0.0_);_(* \(#,##0.0\);_(* &quot;-&quot;??_);_(@_)">
                  <c:v>128.93998999999999</c:v>
                </c:pt>
                <c:pt idx="24" formatCode="_(* #,##0.0_);_(* \(#,##0.0\);_(* &quot;-&quot;??_);_(@_)">
                  <c:v>125.4175</c:v>
                </c:pt>
                <c:pt idx="25" formatCode="_(* #,##0.0_);_(* \(#,##0.0\);_(* &quot;-&quot;??_);_(@_)">
                  <c:v>135.74615</c:v>
                </c:pt>
                <c:pt idx="26" formatCode="_(* #,##0.0_);_(* \(#,##0.0\);_(* &quot;-&quot;??_);_(@_)">
                  <c:v>130.01310000000001</c:v>
                </c:pt>
                <c:pt idx="27" formatCode="_(* #,##0.0_);_(* \(#,##0.0\);_(* &quot;-&quot;??_);_(@_)">
                  <c:v>124.48570000000001</c:v>
                </c:pt>
                <c:pt idx="28" formatCode="_(* #,##0.0_);_(* \(#,##0.0\);_(* &quot;-&quot;??_);_(@_)">
                  <c:v>124.82358000000001</c:v>
                </c:pt>
              </c:numCache>
            </c:numRef>
          </c:yVal>
          <c:smooth val="1"/>
          <c:extLst>
            <c:ext xmlns:c16="http://schemas.microsoft.com/office/drawing/2014/chart" uri="{C3380CC4-5D6E-409C-BE32-E72D297353CC}">
              <c16:uniqueId val="{00000005-84BE-4085-BA90-772747BDC3B7}"/>
            </c:ext>
          </c:extLst>
        </c:ser>
        <c:ser>
          <c:idx val="2"/>
          <c:order val="2"/>
          <c:tx>
            <c:strRef>
              <c:f>'25x'!$A$7</c:f>
              <c:strCache>
                <c:ptCount val="1"/>
                <c:pt idx="0">
                  <c:v>Servizi</c:v>
                </c:pt>
              </c:strCache>
            </c:strRef>
          </c:tx>
          <c:spPr>
            <a:ln w="19050" cap="rnd">
              <a:solidFill>
                <a:schemeClr val="accent3"/>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'25x'!$B$7:$AD$7</c:f>
              <c:numCache>
                <c:formatCode>_(* #,##0.00_);_(* \(#,##0.00\);_(* "-"??_);_(@_)</c:formatCode>
                <c:ptCount val="29"/>
                <c:pt idx="0">
                  <c:v>54.722000000000001</c:v>
                </c:pt>
                <c:pt idx="1">
                  <c:v>56.923000000000002</c:v>
                </c:pt>
                <c:pt idx="2">
                  <c:v>59.346599999999995</c:v>
                </c:pt>
                <c:pt idx="3">
                  <c:v>62.186999999999998</c:v>
                </c:pt>
                <c:pt idx="4" formatCode="_(* #,##0.0_);_(* \(#,##0.0\);_(* &quot;-&quot;??_);_(@_)">
                  <c:v>65.108800000000002</c:v>
                </c:pt>
                <c:pt idx="5" formatCode="_(* #,##0.0_);_(* \(#,##0.0\);_(* &quot;-&quot;??_);_(@_)">
                  <c:v>67.802700000000002</c:v>
                </c:pt>
                <c:pt idx="6" formatCode="_(* #,##0.0_);_(* \(#,##0.0\);_(* &quot;-&quot;??_);_(@_)">
                  <c:v>71.797699999999992</c:v>
                </c:pt>
                <c:pt idx="7" formatCode="_(* #,##0.0_);_(* \(#,##0.0\);_(* &quot;-&quot;??_);_(@_)">
                  <c:v>76.889699999999991</c:v>
                </c:pt>
                <c:pt idx="8" formatCode="_(* #,##0.0_);_(* \(#,##0.0\);_(* &quot;-&quot;??_);_(@_)">
                  <c:v>79.557400000000001</c:v>
                </c:pt>
                <c:pt idx="9" formatCode="_(* #,##0.0_);_(* \(#,##0.0\);_(* &quot;-&quot;??_);_(@_)">
                  <c:v>83.793000000000006</c:v>
                </c:pt>
                <c:pt idx="10" formatCode="_(* #,##0.0_);_(* \(#,##0.0\);_(* &quot;-&quot;??_);_(@_)">
                  <c:v>88.276499999999999</c:v>
                </c:pt>
                <c:pt idx="11" formatCode="_(* #,##0.0_);_(* \(#,##0.0\);_(* &quot;-&quot;??_);_(@_)">
                  <c:v>90.268500000000003</c:v>
                </c:pt>
                <c:pt idx="12" formatCode="_(* #,##0.0_);_(* \(#,##0.0\);_(* &quot;-&quot;??_);_(@_)">
                  <c:v>93.612200000000001</c:v>
                </c:pt>
                <c:pt idx="13" formatCode="_(* #,##0.0_);_(* \(#,##0.0\);_(* &quot;-&quot;??_);_(@_)">
                  <c:v>94.83489999999999</c:v>
                </c:pt>
                <c:pt idx="14" formatCode="_(* #,##0.0_);_(* \(#,##0.0\);_(* &quot;-&quot;??_);_(@_)">
                  <c:v>96.284499999999994</c:v>
                </c:pt>
                <c:pt idx="15" formatCode="_(* #,##0.0_);_(* \(#,##0.0\);_(* &quot;-&quot;??_);_(@_)">
                  <c:v>97.705100000000002</c:v>
                </c:pt>
                <c:pt idx="16" formatCode="_(* #,##0.0_);_(* \(#,##0.0\);_(* &quot;-&quot;??_);_(@_)">
                  <c:v>101.0384</c:v>
                </c:pt>
                <c:pt idx="17" formatCode="_(* #,##0.0_);_(* \(#,##0.0\);_(* &quot;-&quot;??_);_(@_)">
                  <c:v>99.756500000000003</c:v>
                </c:pt>
                <c:pt idx="18" formatCode="_(* #,##0.0_);_(* \(#,##0.0\);_(* &quot;-&quot;??_);_(@_)">
                  <c:v>98.951399999999992</c:v>
                </c:pt>
                <c:pt idx="19" formatCode="_(* #,##0.0_);_(* \(#,##0.0\);_(* &quot;-&quot;??_);_(@_)">
                  <c:v>102.9405</c:v>
                </c:pt>
                <c:pt idx="20" formatCode="_(* #,##0.0_);_(* \(#,##0.0\);_(* &quot;-&quot;??_);_(@_)">
                  <c:v>102.8985</c:v>
                </c:pt>
                <c:pt idx="21" formatCode="_(* #,##0.0_);_(* \(#,##0.0\);_(* &quot;-&quot;??_);_(@_)">
                  <c:v>104.87479999999999</c:v>
                </c:pt>
                <c:pt idx="22" formatCode="_(* #,##0.0_);_(* \(#,##0.0\);_(* &quot;-&quot;??_);_(@_)">
                  <c:v>106.02979999999999</c:v>
                </c:pt>
                <c:pt idx="23" formatCode="_(* #,##0.0_);_(* \(#,##0.0\);_(* &quot;-&quot;??_);_(@_)">
                  <c:v>101.2234</c:v>
                </c:pt>
                <c:pt idx="24" formatCode="_(* #,##0.0_);_(* \(#,##0.0\);_(* &quot;-&quot;??_);_(@_)">
                  <c:v>85.874800000000008</c:v>
                </c:pt>
                <c:pt idx="25" formatCode="_(* #,##0.0_);_(* \(#,##0.0\);_(* &quot;-&quot;??_);_(@_)">
                  <c:v>91.374899999999997</c:v>
                </c:pt>
                <c:pt idx="26" formatCode="_(* #,##0.0_);_(* \(#,##0.0\);_(* &quot;-&quot;??_);_(@_)">
                  <c:v>94.697839999999999</c:v>
                </c:pt>
                <c:pt idx="27" formatCode="_(* #,##0.0_);_(* \(#,##0.0\);_(* &quot;-&quot;??_);_(@_)">
                  <c:v>93.330900000000028</c:v>
                </c:pt>
                <c:pt idx="28" formatCode="_(* #,##0.0_);_(* \(#,##0.0\);_(* &quot;-&quot;??_);_(@_)">
                  <c:v>95.774400000000014</c:v>
                </c:pt>
              </c:numCache>
            </c:numRef>
          </c:yVal>
          <c:smooth val="1"/>
          <c:extLst>
            <c:ext xmlns:c16="http://schemas.microsoft.com/office/drawing/2014/chart" uri="{C3380CC4-5D6E-409C-BE32-E72D297353CC}">
              <c16:uniqueId val="{00000006-84BE-4085-BA90-772747BDC3B7}"/>
            </c:ext>
          </c:extLst>
        </c:ser>
        <c:ser>
          <c:idx val="4"/>
          <c:order val="4"/>
          <c:tx>
            <c:strRef>
              <c:f>'25x'!$A$9</c:f>
              <c:strCache>
                <c:ptCount val="1"/>
                <c:pt idx="0">
                  <c:v>Domestico</c:v>
                </c:pt>
              </c:strCache>
            </c:strRef>
          </c:tx>
          <c:spPr>
            <a:ln w="19050" cap="rnd">
              <a:solidFill>
                <a:schemeClr val="accent5"/>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'25x'!$B$9:$AD$9</c:f>
              <c:numCache>
                <c:formatCode>_(* #,##0.00_);_(* \(#,##0.00\);_(* "-"??_);_(@_)</c:formatCode>
                <c:ptCount val="29"/>
                <c:pt idx="0">
                  <c:v>58.506999999999998</c:v>
                </c:pt>
                <c:pt idx="1">
                  <c:v>58.506999999999998</c:v>
                </c:pt>
                <c:pt idx="2">
                  <c:v>59.275300000000001</c:v>
                </c:pt>
                <c:pt idx="3">
                  <c:v>60.716900000000003</c:v>
                </c:pt>
                <c:pt idx="4" formatCode="_(* #,##0.0_);_(* \(#,##0.0\);_(* &quot;-&quot;??_);_(@_)">
                  <c:v>61.111699999999999</c:v>
                </c:pt>
                <c:pt idx="5" formatCode="_(* #,##0.0_);_(* \(#,##0.0\);_(* &quot;-&quot;??_);_(@_)">
                  <c:v>61.553199999999997</c:v>
                </c:pt>
                <c:pt idx="6" formatCode="_(* #,##0.0_);_(* \(#,##0.0\);_(* &quot;-&quot;??_);_(@_)">
                  <c:v>62.957599999999999</c:v>
                </c:pt>
                <c:pt idx="7" formatCode="_(* #,##0.0_);_(* \(#,##0.0\);_(* &quot;-&quot;??_);_(@_)">
                  <c:v>65.015799999999999</c:v>
                </c:pt>
                <c:pt idx="8" formatCode="_(* #,##0.0_);_(* \(#,##0.0\);_(* &quot;-&quot;??_);_(@_)">
                  <c:v>66.592199999999991</c:v>
                </c:pt>
                <c:pt idx="9" formatCode="_(* #,##0.0_);_(* \(#,##0.0\);_(* &quot;-&quot;??_);_(@_)">
                  <c:v>66.932500000000005</c:v>
                </c:pt>
                <c:pt idx="10" formatCode="_(* #,##0.0_);_(* \(#,##0.0\);_(* &quot;-&quot;??_);_(@_)">
                  <c:v>67.60260000000001</c:v>
                </c:pt>
                <c:pt idx="11" formatCode="_(* #,##0.0_);_(* \(#,##0.0\);_(* &quot;-&quot;??_);_(@_)">
                  <c:v>67.220399999999998</c:v>
                </c:pt>
                <c:pt idx="12" formatCode="_(* #,##0.0_);_(* \(#,##0.0\);_(* &quot;-&quot;??_);_(@_)">
                  <c:v>68.388899999999992</c:v>
                </c:pt>
                <c:pt idx="13" formatCode="_(* #,##0.0_);_(* \(#,##0.0\);_(* &quot;-&quot;??_);_(@_)">
                  <c:v>68.924399999999991</c:v>
                </c:pt>
                <c:pt idx="14" formatCode="_(* #,##0.0_);_(* \(#,##0.0\);_(* &quot;-&quot;??_);_(@_)">
                  <c:v>69.5505</c:v>
                </c:pt>
                <c:pt idx="15" formatCode="_(* #,##0.0_);_(* \(#,##0.0\);_(* &quot;-&quot;??_);_(@_)">
                  <c:v>70.1404</c:v>
                </c:pt>
                <c:pt idx="16" formatCode="_(* #,##0.0_);_(* \(#,##0.0\);_(* &quot;-&quot;??_);_(@_)">
                  <c:v>69.456600000000009</c:v>
                </c:pt>
                <c:pt idx="17" formatCode="_(* #,##0.0_);_(* \(#,##0.0\);_(* &quot;-&quot;??_);_(@_)">
                  <c:v>66.983199999999997</c:v>
                </c:pt>
                <c:pt idx="18" formatCode="_(* #,##0.0_);_(* \(#,##0.0\);_(* &quot;-&quot;??_);_(@_)">
                  <c:v>64.254999999999995</c:v>
                </c:pt>
                <c:pt idx="19" formatCode="_(* #,##0.0_);_(* \(#,##0.0\);_(* &quot;-&quot;??_);_(@_)">
                  <c:v>66.187300000000008</c:v>
                </c:pt>
                <c:pt idx="20" formatCode="_(* #,##0.0_);_(* \(#,##0.0\);_(* &quot;-&quot;??_);_(@_)">
                  <c:v>64.304199999999994</c:v>
                </c:pt>
                <c:pt idx="21" formatCode="_(* #,##0.0_);_(* \(#,##0.0\);_(* &quot;-&quot;??_);_(@_)">
                  <c:v>65.490700000000004</c:v>
                </c:pt>
                <c:pt idx="22" formatCode="_(* #,##0.0_);_(* \(#,##0.0\);_(* &quot;-&quot;??_);_(@_)">
                  <c:v>65.137799999999999</c:v>
                </c:pt>
                <c:pt idx="23" formatCode="_(* #,##0.0_);_(* \(#,##0.0\);_(* &quot;-&quot;??_);_(@_)">
                  <c:v>65.587999999999994</c:v>
                </c:pt>
                <c:pt idx="24" formatCode="_(* #,##0.0_);_(* \(#,##0.0\);_(* &quot;-&quot;??_);_(@_)">
                  <c:v>66.211600000000004</c:v>
                </c:pt>
                <c:pt idx="25" formatCode="_(* #,##0.0_);_(* \(#,##0.0\);_(* &quot;-&quot;??_);_(@_)">
                  <c:v>67.052289999999999</c:v>
                </c:pt>
                <c:pt idx="26" formatCode="_(* #,##0.0_);_(* \(#,##0.0\);_(* &quot;-&quot;??_);_(@_)">
                  <c:v>64.525139999999993</c:v>
                </c:pt>
                <c:pt idx="27" formatCode="_(* #,##0.0_);_(* \(#,##0.0\);_(* &quot;-&quot;??_);_(@_)">
                  <c:v>63.222099999999998</c:v>
                </c:pt>
                <c:pt idx="28" formatCode="_(* #,##0.0_);_(* \(#,##0.0\);_(* &quot;-&quot;??_);_(@_)">
                  <c:v>65.429299999999998</c:v>
                </c:pt>
              </c:numCache>
            </c:numRef>
          </c:yVal>
          <c:smooth val="1"/>
          <c:extLst>
            <c:ext xmlns:c16="http://schemas.microsoft.com/office/drawing/2014/chart" uri="{C3380CC4-5D6E-409C-BE32-E72D297353CC}">
              <c16:uniqueId val="{00000008-84BE-4085-BA90-772747BDC3B7}"/>
            </c:ext>
          </c:extLst>
        </c:ser>
        <c:dLbls>
          <c:showLegendKey val="0"/>
          <c:showVal val="0"/>
          <c:showCatName val="0"/>
          <c:showSerName val="0"/>
          <c:showPercent val="0"/>
          <c:showBubbleSize val="0"/>
        </c:dLbls>
        <c:axId val="1438863679"/>
        <c:axId val="1495566351"/>
      </c:scatterChart>
      <c:scatterChart>
        <c:scatterStyle val="smoothMarker"/>
        <c:varyColors val="0"/>
        <c:ser>
          <c:idx val="0"/>
          <c:order val="0"/>
          <c:tx>
            <c:strRef>
              <c:f>'25x'!$A$5</c:f>
              <c:strCache>
                <c:ptCount val="1"/>
                <c:pt idx="0">
                  <c:v>Agricoltura e Pesca</c:v>
                </c:pt>
              </c:strCache>
            </c:strRef>
          </c:tx>
          <c:spPr>
            <a:ln w="19050" cap="rnd">
              <a:solidFill>
                <a:schemeClr val="accent1"/>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'25x'!$B$5:$AD$5</c:f>
              <c:numCache>
                <c:formatCode>_(* #,##0.00_);_(* \(#,##0.00\);_(* "-"??_);_(@_)</c:formatCode>
                <c:ptCount val="29"/>
                <c:pt idx="0">
                  <c:v>4.1070000000000002</c:v>
                </c:pt>
                <c:pt idx="1">
                  <c:v>4.3529999999999998</c:v>
                </c:pt>
                <c:pt idx="2">
                  <c:v>4.4868000000000006</c:v>
                </c:pt>
                <c:pt idx="3">
                  <c:v>4.6821999999999999</c:v>
                </c:pt>
                <c:pt idx="4" formatCode="_(* #,##0.0_);_(* \(#,##0.0\);_(* &quot;-&quot;??_);_(@_)">
                  <c:v>4.9066000000000001</c:v>
                </c:pt>
                <c:pt idx="5" formatCode="_(* #,##0.0_);_(* \(#,##0.0\);_(* &quot;-&quot;??_);_(@_)">
                  <c:v>5.1626000000000003</c:v>
                </c:pt>
                <c:pt idx="6" formatCode="_(* #,##0.0_);_(* \(#,##0.0\);_(* &quot;-&quot;??_);_(@_)">
                  <c:v>4.8902000000000001</c:v>
                </c:pt>
                <c:pt idx="7" formatCode="_(* #,##0.0_);_(* \(#,##0.0\);_(* &quot;-&quot;??_);_(@_)">
                  <c:v>5.1621999999999995</c:v>
                </c:pt>
                <c:pt idx="8" formatCode="_(* #,##0.0_);_(* \(#,##0.0\);_(* &quot;-&quot;??_);_(@_)">
                  <c:v>5.1848000000000001</c:v>
                </c:pt>
                <c:pt idx="9" formatCode="_(* #,##0.0_);_(* \(#,##0.0\);_(* &quot;-&quot;??_);_(@_)">
                  <c:v>5.3643999999999998</c:v>
                </c:pt>
                <c:pt idx="10" formatCode="_(* #,##0.0_);_(* \(#,##0.0\);_(* &quot;-&quot;??_);_(@_)">
                  <c:v>5.5034999999999998</c:v>
                </c:pt>
                <c:pt idx="11" formatCode="_(* #,##0.0_);_(* \(#,##0.0\);_(* &quot;-&quot;??_);_(@_)">
                  <c:v>5.6592000000000002</c:v>
                </c:pt>
                <c:pt idx="12" formatCode="_(* #,##0.0_);_(* \(#,##0.0\);_(* &quot;-&quot;??_);_(@_)">
                  <c:v>5.6695000000000002</c:v>
                </c:pt>
                <c:pt idx="13" formatCode="_(* #,##0.0_);_(* \(#,##0.0\);_(* &quot;-&quot;??_);_(@_)">
                  <c:v>5.6498999999999997</c:v>
                </c:pt>
                <c:pt idx="14" formatCode="_(* #,##0.0_);_(* \(#,##0.0\);_(* &quot;-&quot;??_);_(@_)">
                  <c:v>5.6103000000000005</c:v>
                </c:pt>
                <c:pt idx="15" formatCode="_(* #,##0.0_);_(* \(#,##0.0\);_(* &quot;-&quot;??_);_(@_)">
                  <c:v>5.907</c:v>
                </c:pt>
                <c:pt idx="16" formatCode="_(* #,##0.0_);_(* \(#,##0.0\);_(* &quot;-&quot;??_);_(@_)">
                  <c:v>5.9236000000000004</c:v>
                </c:pt>
                <c:pt idx="17" formatCode="_(* #,##0.0_);_(* \(#,##0.0\);_(* &quot;-&quot;??_);_(@_)">
                  <c:v>5.6771000000000003</c:v>
                </c:pt>
                <c:pt idx="18" formatCode="_(* #,##0.0_);_(* \(#,##0.0\);_(* &quot;-&quot;??_);_(@_)">
                  <c:v>5.3721000000000005</c:v>
                </c:pt>
                <c:pt idx="19" formatCode="_(* #,##0.0_);_(* \(#,##0.0\);_(* &quot;-&quot;??_);_(@_)">
                  <c:v>5.6898999999999997</c:v>
                </c:pt>
                <c:pt idx="20" formatCode="_(* #,##0.0_);_(* \(#,##0.0\);_(* &quot;-&quot;??_);_(@_)">
                  <c:v>5.5674999999999999</c:v>
                </c:pt>
                <c:pt idx="21" formatCode="_(* #,##0.0_);_(* \(#,##0.0\);_(* &quot;-&quot;??_);_(@_)">
                  <c:v>5.9904000000000002</c:v>
                </c:pt>
                <c:pt idx="22" formatCode="_(* #,##0.0_);_(* \(#,##0.0\);_(* &quot;-&quot;??_);_(@_)">
                  <c:v>5.8433000000000002</c:v>
                </c:pt>
                <c:pt idx="23" formatCode="_(* #,##0.0_);_(* \(#,##0.0\);_(* &quot;-&quot;??_);_(@_)">
                  <c:v>6.0523999999999996</c:v>
                </c:pt>
                <c:pt idx="24" formatCode="_(* #,##0.0_);_(* \(#,##0.0\);_(* &quot;-&quot;??_);_(@_)">
                  <c:v>6.3105000000000002</c:v>
                </c:pt>
                <c:pt idx="25" formatCode="_(* #,##0.0_);_(* \(#,##0.0\);_(* &quot;-&quot;??_);_(@_)">
                  <c:v>6.7138</c:v>
                </c:pt>
                <c:pt idx="26" formatCode="_(* #,##0.0_);_(* \(#,##0.0\);_(* &quot;-&quot;??_);_(@_)">
                  <c:v>6.6173000000000002</c:v>
                </c:pt>
                <c:pt idx="27" formatCode="_(* #,##0.0_);_(* \(#,##0.0\);_(* &quot;-&quot;??_);_(@_)">
                  <c:v>6.3333999999999993</c:v>
                </c:pt>
                <c:pt idx="28" formatCode="_(* #,##0.0_);_(* \(#,##0.0\);_(* &quot;-&quot;??_);_(@_)">
                  <c:v>6.6852</c:v>
                </c:pt>
              </c:numCache>
            </c:numRef>
          </c:yVal>
          <c:smooth val="1"/>
          <c:extLst>
            <c:ext xmlns:c16="http://schemas.microsoft.com/office/drawing/2014/chart" uri="{C3380CC4-5D6E-409C-BE32-E72D297353CC}">
              <c16:uniqueId val="{00000000-84BE-4085-BA90-772747BDC3B7}"/>
            </c:ext>
          </c:extLst>
        </c:ser>
        <c:ser>
          <c:idx val="3"/>
          <c:order val="3"/>
          <c:tx>
            <c:strRef>
              <c:f>'25x'!$A$8</c:f>
              <c:strCache>
                <c:ptCount val="1"/>
                <c:pt idx="0">
                  <c:v>di cui trasporti (+ magazzinaggio)</c:v>
                </c:pt>
              </c:strCache>
            </c:strRef>
          </c:tx>
          <c:spPr>
            <a:ln w="19050" cap="rnd">
              <a:solidFill>
                <a:schemeClr val="accent4"/>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'25x'!$B$8:$AD$8</c:f>
              <c:numCache>
                <c:formatCode>_(* #,##0.00_);_(* \(#,##0.00\);_(* "-"??_);_(@_)</c:formatCode>
                <c:ptCount val="29"/>
                <c:pt idx="0">
                  <c:v>8.1229999999999993</c:v>
                </c:pt>
                <c:pt idx="1">
                  <c:v>8.1097000000000001</c:v>
                </c:pt>
                <c:pt idx="2">
                  <c:v>8.2747000000000011</c:v>
                </c:pt>
                <c:pt idx="3">
                  <c:v>8.2886000000000006</c:v>
                </c:pt>
                <c:pt idx="4" formatCode="_(* #,##0.0_);_(* \(#,##0.0\);_(* &quot;-&quot;??_);_(@_)">
                  <c:v>8.5137999999999998</c:v>
                </c:pt>
                <c:pt idx="5" formatCode="_(* #,##0.0_);_(* \(#,##0.0\);_(* &quot;-&quot;??_);_(@_)">
                  <c:v>8.5672000000000015</c:v>
                </c:pt>
                <c:pt idx="6" formatCode="_(* #,##0.0_);_(* \(#,##0.0\);_(* &quot;-&quot;??_);_(@_)">
                  <c:v>8.9667999999999992</c:v>
                </c:pt>
                <c:pt idx="7" formatCode="_(* #,##0.0_);_(* \(#,##0.0\);_(* &quot;-&quot;??_);_(@_)">
                  <c:v>9.4632000000000005</c:v>
                </c:pt>
                <c:pt idx="8" formatCode="_(* #,##0.0_);_(* \(#,##0.0\);_(* &quot;-&quot;??_);_(@_)">
                  <c:v>9.6026000000000007</c:v>
                </c:pt>
                <c:pt idx="9" formatCode="_(* #,##0.0_);_(* \(#,##0.0\);_(* &quot;-&quot;??_);_(@_)">
                  <c:v>9.9179999999999993</c:v>
                </c:pt>
                <c:pt idx="10" formatCode="_(* #,##0.0_);_(* \(#,##0.0\);_(* &quot;-&quot;??_);_(@_)">
                  <c:v>10.219299999999999</c:v>
                </c:pt>
                <c:pt idx="11" formatCode="_(* #,##0.0_);_(* \(#,##0.0\);_(* &quot;-&quot;??_);_(@_)">
                  <c:v>10.4039</c:v>
                </c:pt>
                <c:pt idx="12" formatCode="_(* #,##0.0_);_(* \(#,##0.0\);_(* &quot;-&quot;??_);_(@_)">
                  <c:v>10.8391</c:v>
                </c:pt>
                <c:pt idx="13" formatCode="_(* #,##0.0_);_(* \(#,##0.0\);_(* &quot;-&quot;??_);_(@_)">
                  <c:v>10.5349</c:v>
                </c:pt>
                <c:pt idx="14" formatCode="_(* #,##0.0_);_(* \(#,##0.0\);_(* &quot;-&quot;??_);_(@_)">
                  <c:v>10.665899999999999</c:v>
                </c:pt>
                <c:pt idx="15" formatCode="_(* #,##0.0_);_(* \(#,##0.0\);_(* &quot;-&quot;??_);_(@_)">
                  <c:v>10.7202</c:v>
                </c:pt>
                <c:pt idx="16" formatCode="_(* #,##0.0_);_(* \(#,##0.0\);_(* &quot;-&quot;??_);_(@_)">
                  <c:v>10.759</c:v>
                </c:pt>
                <c:pt idx="17" formatCode="_(* #,##0.0_);_(* \(#,##0.0\);_(* &quot;-&quot;??_);_(@_)">
                  <c:v>10.774299999999998</c:v>
                </c:pt>
                <c:pt idx="18" formatCode="_(* #,##0.0_);_(* \(#,##0.0\);_(* &quot;-&quot;??_);_(@_)">
                  <c:v>10.4621</c:v>
                </c:pt>
                <c:pt idx="19" formatCode="_(* #,##0.0_);_(* \(#,##0.0\);_(* &quot;-&quot;??_);_(@_)">
                  <c:v>10.855600000000001</c:v>
                </c:pt>
                <c:pt idx="20" formatCode="_(* #,##0.0_);_(* \(#,##0.0\);_(* &quot;-&quot;??_);_(@_)">
                  <c:v>11.1625</c:v>
                </c:pt>
                <c:pt idx="21" formatCode="_(* #,##0.0_);_(* \(#,##0.0\);_(* &quot;-&quot;??_);_(@_)">
                  <c:v>11.382899999999999</c:v>
                </c:pt>
                <c:pt idx="22" formatCode="_(* #,##0.0_);_(* \(#,##0.0\);_(* &quot;-&quot;??_);_(@_)">
                  <c:v>11.54</c:v>
                </c:pt>
                <c:pt idx="23" formatCode="_(* #,##0.0_);_(* \(#,##0.0\);_(* &quot;-&quot;??_);_(@_)">
                  <c:v>11.725100000000001</c:v>
                </c:pt>
                <c:pt idx="24" formatCode="_(* #,##0.0_);_(* \(#,##0.0\);_(* &quot;-&quot;??_);_(@_)">
                  <c:v>10.184700000000001</c:v>
                </c:pt>
                <c:pt idx="25" formatCode="_(* #,##0.0_);_(* \(#,##0.0\);_(* &quot;-&quot;??_);_(@_)">
                  <c:v>10.934100000000001</c:v>
                </c:pt>
                <c:pt idx="26" formatCode="_(* #,##0.0_);_(* \(#,##0.0\);_(* &quot;-&quot;??_);_(@_)">
                  <c:v>11.605840000000001</c:v>
                </c:pt>
                <c:pt idx="27" formatCode="_(* #,##0.0_);_(* \(#,##0.0\);_(* &quot;-&quot;??_);_(@_)">
                  <c:v>11.7636</c:v>
                </c:pt>
                <c:pt idx="28" formatCode="_(* #,##0.0_);_(* \(#,##0.0\);_(* &quot;-&quot;??_);_(@_)">
                  <c:v>12.2173</c:v>
                </c:pt>
              </c:numCache>
            </c:numRef>
          </c:yVal>
          <c:smooth val="1"/>
          <c:extLst>
            <c:ext xmlns:c16="http://schemas.microsoft.com/office/drawing/2014/chart" uri="{C3380CC4-5D6E-409C-BE32-E72D297353CC}">
              <c16:uniqueId val="{00000007-84BE-4085-BA90-772747BDC3B7}"/>
            </c:ext>
          </c:extLst>
        </c:ser>
        <c:dLbls>
          <c:showLegendKey val="0"/>
          <c:showVal val="0"/>
          <c:showCatName val="0"/>
          <c:showSerName val="0"/>
          <c:showPercent val="0"/>
          <c:showBubbleSize val="0"/>
        </c:dLbls>
        <c:axId val="974266831"/>
        <c:axId val="974249071"/>
      </c:scatterChart>
      <c:valAx>
        <c:axId val="1438863679"/>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66351"/>
        <c:crosses val="autoZero"/>
        <c:crossBetween val="midCat"/>
        <c:majorUnit val="1"/>
      </c:valAx>
      <c:valAx>
        <c:axId val="1495566351"/>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38863679"/>
        <c:crosses val="autoZero"/>
        <c:crossBetween val="midCat"/>
      </c:valAx>
      <c:valAx>
        <c:axId val="974249071"/>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266831"/>
        <c:crosses val="max"/>
        <c:crossBetween val="midCat"/>
      </c:valAx>
      <c:valAx>
        <c:axId val="974266831"/>
        <c:scaling>
          <c:orientation val="minMax"/>
        </c:scaling>
        <c:delete val="1"/>
        <c:axPos val="b"/>
        <c:numFmt formatCode="General" sourceLinked="1"/>
        <c:majorTickMark val="out"/>
        <c:minorTickMark val="none"/>
        <c:tickLblPos val="nextTo"/>
        <c:crossAx val="974249071"/>
        <c:crosses val="autoZero"/>
        <c:crossBetween val="midCat"/>
      </c:valAx>
      <c:spPr>
        <a:noFill/>
        <a:ln>
          <a:noFill/>
        </a:ln>
        <a:effectLst/>
      </c:spPr>
    </c:plotArea>
    <c:legend>
      <c:legendPos val="b"/>
      <c:layout>
        <c:manualLayout>
          <c:xMode val="edge"/>
          <c:yMode val="edge"/>
          <c:x val="0"/>
          <c:y val="0.81428321459817543"/>
          <c:w val="0.9864491901771768"/>
          <c:h val="0.1857167500683440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59932187639783"/>
          <c:y val="1.5459339291099335E-3"/>
        </c:manualLayout>
      </c:layout>
      <c:overlay val="0"/>
    </c:title>
    <c:autoTitleDeleted val="0"/>
    <c:plotArea>
      <c:layout>
        <c:manualLayout>
          <c:layoutTarget val="inner"/>
          <c:xMode val="edge"/>
          <c:yMode val="edge"/>
          <c:x val="0.19575851789609827"/>
          <c:y val="7.4006700422916238E-2"/>
          <c:w val="0.61314145530636988"/>
          <c:h val="0.87665549929513964"/>
        </c:manualLayout>
      </c:layout>
      <c:pieChart>
        <c:varyColors val="1"/>
        <c:ser>
          <c:idx val="0"/>
          <c:order val="0"/>
          <c:tx>
            <c:strRef>
              <c:f>'25x'!$AD$90</c:f>
              <c:strCache>
                <c:ptCount val="1"/>
                <c:pt idx="0">
                  <c:v>2024</c:v>
                </c:pt>
              </c:strCache>
            </c:strRef>
          </c:tx>
          <c:dPt>
            <c:idx val="0"/>
            <c:bubble3D val="0"/>
            <c:spPr>
              <a:solidFill>
                <a:srgbClr val="FFFF00"/>
              </a:solidFill>
            </c:spPr>
            <c:extLst>
              <c:ext xmlns:c16="http://schemas.microsoft.com/office/drawing/2014/chart" uri="{C3380CC4-5D6E-409C-BE32-E72D297353CC}">
                <c16:uniqueId val="{00000001-DBC4-4A8B-86CE-ABB22BB06D69}"/>
              </c:ext>
            </c:extLst>
          </c:dPt>
          <c:dPt>
            <c:idx val="3"/>
            <c:bubble3D val="0"/>
            <c:spPr>
              <a:solidFill>
                <a:schemeClr val="accent4">
                  <a:lumMod val="40000"/>
                  <a:lumOff val="60000"/>
                </a:schemeClr>
              </a:solidFill>
            </c:spPr>
            <c:extLst>
              <c:ext xmlns:c16="http://schemas.microsoft.com/office/drawing/2014/chart" uri="{C3380CC4-5D6E-409C-BE32-E72D297353CC}">
                <c16:uniqueId val="{00000003-DBC4-4A8B-86CE-ABB22BB06D69}"/>
              </c:ext>
            </c:extLst>
          </c:dPt>
          <c:dPt>
            <c:idx val="4"/>
            <c:bubble3D val="0"/>
            <c:spPr>
              <a:solidFill>
                <a:schemeClr val="tx2">
                  <a:lumMod val="40000"/>
                  <a:lumOff val="60000"/>
                </a:schemeClr>
              </a:solidFill>
            </c:spPr>
            <c:extLst>
              <c:ext xmlns:c16="http://schemas.microsoft.com/office/drawing/2014/chart" uri="{C3380CC4-5D6E-409C-BE32-E72D297353CC}">
                <c16:uniqueId val="{00000006-DBC4-4A8B-86CE-ABB22BB06D69}"/>
              </c:ext>
            </c:extLst>
          </c:dPt>
          <c:dPt>
            <c:idx val="5"/>
            <c:bubble3D val="0"/>
            <c:spPr>
              <a:solidFill>
                <a:schemeClr val="accent6">
                  <a:lumMod val="40000"/>
                  <a:lumOff val="60000"/>
                </a:schemeClr>
              </a:solidFill>
            </c:spPr>
            <c:extLst>
              <c:ext xmlns:c16="http://schemas.microsoft.com/office/drawing/2014/chart" uri="{C3380CC4-5D6E-409C-BE32-E72D297353CC}">
                <c16:uniqueId val="{00000007-DBC4-4A8B-86CE-ABB22BB06D69}"/>
              </c:ext>
            </c:extLst>
          </c:dPt>
          <c:dLbls>
            <c:dLbl>
              <c:idx val="0"/>
              <c:layout>
                <c:manualLayout>
                  <c:x val="-0.14042856825941777"/>
                  <c:y val="0.116264175230945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00071971880703"/>
                      <c:h val="0.15818949006286243"/>
                    </c:manualLayout>
                  </c15:layout>
                </c:ext>
                <c:ext xmlns:c16="http://schemas.microsoft.com/office/drawing/2014/chart" uri="{C3380CC4-5D6E-409C-BE32-E72D297353CC}">
                  <c16:uniqueId val="{00000001-DBC4-4A8B-86CE-ABB22BB06D69}"/>
                </c:ext>
              </c:extLst>
            </c:dLbl>
            <c:dLbl>
              <c:idx val="1"/>
              <c:layout>
                <c:manualLayout>
                  <c:x val="-1.6048314757789617E-2"/>
                  <c:y val="-7.70904615717055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728325385911651"/>
                      <c:h val="0.11501869244908199"/>
                    </c:manualLayout>
                  </c15:layout>
                </c:ext>
                <c:ext xmlns:c16="http://schemas.microsoft.com/office/drawing/2014/chart" uri="{C3380CC4-5D6E-409C-BE32-E72D297353CC}">
                  <c16:uniqueId val="{00000004-DBC4-4A8B-86CE-ABB22BB06D69}"/>
                </c:ext>
              </c:extLst>
            </c:dLbl>
            <c:dLbl>
              <c:idx val="2"/>
              <c:layout>
                <c:manualLayout>
                  <c:x val="-4.5551489099054147E-2"/>
                  <c:y val="-9.887399893695046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BC4-4A8B-86CE-ABB22BB06D69}"/>
                </c:ext>
              </c:extLst>
            </c:dLbl>
            <c:dLbl>
              <c:idx val="3"/>
              <c:layout>
                <c:manualLayout>
                  <c:x val="0.14402569843940749"/>
                  <c:y val="-0.23978924308742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818168926400254"/>
                      <c:h val="0.10854314704231709"/>
                    </c:manualLayout>
                  </c15:layout>
                </c:ext>
                <c:ext xmlns:c16="http://schemas.microsoft.com/office/drawing/2014/chart" uri="{C3380CC4-5D6E-409C-BE32-E72D297353CC}">
                  <c16:uniqueId val="{00000003-DBC4-4A8B-86CE-ABB22BB06D69}"/>
                </c:ext>
              </c:extLst>
            </c:dLbl>
            <c:dLbl>
              <c:idx val="4"/>
              <c:layout>
                <c:manualLayout>
                  <c:x val="0.15572422792370752"/>
                  <c:y val="0.156209254431054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BC4-4A8B-86CE-ABB22BB06D69}"/>
                </c:ext>
              </c:extLst>
            </c:dLbl>
            <c:dLbl>
              <c:idx val="5"/>
              <c:layout>
                <c:manualLayout>
                  <c:x val="1.8886370637494449E-2"/>
                  <c:y val="9.29518777077326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61539524300408"/>
                      <c:h val="0.11091904788770869"/>
                    </c:manualLayout>
                  </c15:layout>
                </c:ext>
                <c:ext xmlns:c16="http://schemas.microsoft.com/office/drawing/2014/chart" uri="{C3380CC4-5D6E-409C-BE32-E72D297353CC}">
                  <c16:uniqueId val="{00000007-DBC4-4A8B-86CE-ABB22BB06D69}"/>
                </c:ext>
              </c:extLst>
            </c:dLbl>
            <c:dLbl>
              <c:idx val="6"/>
              <c:layout>
                <c:manualLayout>
                  <c:x val="1.9638277472310065E-2"/>
                  <c:y val="7.7090312940537756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BC4-4A8B-86CE-ABB22BB06D69}"/>
                </c:ext>
              </c:extLst>
            </c:dLbl>
            <c:numFmt formatCode="0.0%" sourceLinked="0"/>
            <c:spPr>
              <a:noFill/>
              <a:ln>
                <a:noFill/>
              </a:ln>
              <a:effectLst/>
            </c:spPr>
            <c:dLblPos val="bestFit"/>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'25x'!$A$103:$A$108</c:f>
              <c:strCache>
                <c:ptCount val="6"/>
                <c:pt idx="0">
                  <c:v>Industria e costruzioni</c:v>
                </c:pt>
                <c:pt idx="1">
                  <c:v>Settore energetico</c:v>
                </c:pt>
                <c:pt idx="2">
                  <c:v>Agricoltura</c:v>
                </c:pt>
                <c:pt idx="3">
                  <c:v>Servizi</c:v>
                </c:pt>
                <c:pt idx="4">
                  <c:v>Domestico</c:v>
                </c:pt>
                <c:pt idx="5">
                  <c:v>Trasporti</c:v>
                </c:pt>
              </c:strCache>
            </c:strRef>
          </c:cat>
          <c:val>
            <c:numRef>
              <c:f>'25x'!$AD$103:$AD$108</c:f>
              <c:numCache>
                <c:formatCode>0.0</c:formatCode>
                <c:ptCount val="6"/>
                <c:pt idx="0">
                  <c:v>20.690713560263948</c:v>
                </c:pt>
                <c:pt idx="1">
                  <c:v>1.6776184098931197</c:v>
                </c:pt>
                <c:pt idx="2">
                  <c:v>1.2971788182671666</c:v>
                </c:pt>
                <c:pt idx="3">
                  <c:v>18.602687247160326</c:v>
                </c:pt>
                <c:pt idx="4">
                  <c:v>12.771932491492271</c:v>
                </c:pt>
                <c:pt idx="5">
                  <c:v>1.7428062575394183</c:v>
                </c:pt>
              </c:numCache>
            </c:numRef>
          </c:val>
          <c:extLst>
            <c:ext xmlns:c16="http://schemas.microsoft.com/office/drawing/2014/chart" uri="{C3380CC4-5D6E-409C-BE32-E72D297353CC}">
              <c16:uniqueId val="{00000009-DBC4-4A8B-86CE-ABB22BB06D69}"/>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noFill/>
    <a:ln>
      <a:noFill/>
    </a:ln>
  </c:spPr>
  <c:txPr>
    <a:bodyPr/>
    <a:lstStyle/>
    <a:p>
      <a:pPr>
        <a:defRPr sz="800" b="1">
          <a:latin typeface="+mn-lt"/>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109018065748034"/>
          <c:y val="1.5459339291099335E-3"/>
        </c:manualLayout>
      </c:layout>
      <c:overlay val="0"/>
    </c:title>
    <c:autoTitleDeleted val="0"/>
    <c:plotArea>
      <c:layout>
        <c:manualLayout>
          <c:layoutTarget val="inner"/>
          <c:xMode val="edge"/>
          <c:yMode val="edge"/>
          <c:x val="0.19575851789609827"/>
          <c:y val="7.4006700422916238E-2"/>
          <c:w val="0.61314145530636988"/>
          <c:h val="0.87665549929513964"/>
        </c:manualLayout>
      </c:layout>
      <c:pieChart>
        <c:varyColors val="1"/>
        <c:ser>
          <c:idx val="0"/>
          <c:order val="0"/>
          <c:tx>
            <c:strRef>
              <c:f>'25x'!$K$90</c:f>
              <c:strCache>
                <c:ptCount val="1"/>
                <c:pt idx="0">
                  <c:v>2005</c:v>
                </c:pt>
              </c:strCache>
            </c:strRef>
          </c:tx>
          <c:dPt>
            <c:idx val="0"/>
            <c:bubble3D val="0"/>
            <c:spPr>
              <a:solidFill>
                <a:srgbClr val="FFFF00"/>
              </a:solidFill>
            </c:spPr>
            <c:extLst>
              <c:ext xmlns:c16="http://schemas.microsoft.com/office/drawing/2014/chart" uri="{C3380CC4-5D6E-409C-BE32-E72D297353CC}">
                <c16:uniqueId val="{00000002-2C41-4E37-AF6C-54DCF1CB66FD}"/>
              </c:ext>
            </c:extLst>
          </c:dPt>
          <c:dPt>
            <c:idx val="3"/>
            <c:bubble3D val="0"/>
            <c:spPr>
              <a:solidFill>
                <a:schemeClr val="accent4">
                  <a:lumMod val="40000"/>
                  <a:lumOff val="60000"/>
                </a:schemeClr>
              </a:solidFill>
            </c:spPr>
            <c:extLst>
              <c:ext xmlns:c16="http://schemas.microsoft.com/office/drawing/2014/chart" uri="{C3380CC4-5D6E-409C-BE32-E72D297353CC}">
                <c16:uniqueId val="{00000001-2C41-4E37-AF6C-54DCF1CB66FD}"/>
              </c:ext>
            </c:extLst>
          </c:dPt>
          <c:dPt>
            <c:idx val="4"/>
            <c:bubble3D val="0"/>
            <c:spPr>
              <a:solidFill>
                <a:schemeClr val="tx2">
                  <a:lumMod val="40000"/>
                  <a:lumOff val="60000"/>
                </a:schemeClr>
              </a:solidFill>
            </c:spPr>
            <c:extLst>
              <c:ext xmlns:c16="http://schemas.microsoft.com/office/drawing/2014/chart" uri="{C3380CC4-5D6E-409C-BE32-E72D297353CC}">
                <c16:uniqueId val="{00000005-2C41-4E37-AF6C-54DCF1CB66FD}"/>
              </c:ext>
            </c:extLst>
          </c:dPt>
          <c:dPt>
            <c:idx val="5"/>
            <c:bubble3D val="0"/>
            <c:spPr>
              <a:solidFill>
                <a:schemeClr val="accent6">
                  <a:lumMod val="40000"/>
                  <a:lumOff val="60000"/>
                </a:schemeClr>
              </a:solidFill>
            </c:spPr>
            <c:extLst>
              <c:ext xmlns:c16="http://schemas.microsoft.com/office/drawing/2014/chart" uri="{C3380CC4-5D6E-409C-BE32-E72D297353CC}">
                <c16:uniqueId val="{00000008-2C41-4E37-AF6C-54DCF1CB66FD}"/>
              </c:ext>
            </c:extLst>
          </c:dPt>
          <c:dLbls>
            <c:dLbl>
              <c:idx val="0"/>
              <c:layout>
                <c:manualLayout>
                  <c:x val="-0.17252527510359822"/>
                  <c:y val="3.37701957139505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00071971880703"/>
                      <c:h val="0.16290343174954788"/>
                    </c:manualLayout>
                  </c15:layout>
                </c:ext>
                <c:ext xmlns:c16="http://schemas.microsoft.com/office/drawing/2014/chart" uri="{C3380CC4-5D6E-409C-BE32-E72D297353CC}">
                  <c16:uniqueId val="{00000002-2C41-4E37-AF6C-54DCF1CB66FD}"/>
                </c:ext>
              </c:extLst>
            </c:dLbl>
            <c:dLbl>
              <c:idx val="1"/>
              <c:layout>
                <c:manualLayout>
                  <c:x val="5.9592183679652966E-2"/>
                  <c:y val="-1.8558825538131706E-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441585538004549"/>
                      <c:h val="0.11501869244908199"/>
                    </c:manualLayout>
                  </c15:layout>
                </c:ext>
                <c:ext xmlns:c16="http://schemas.microsoft.com/office/drawing/2014/chart" uri="{C3380CC4-5D6E-409C-BE32-E72D297353CC}">
                  <c16:uniqueId val="{00000003-2C41-4E37-AF6C-54DCF1CB66FD}"/>
                </c:ext>
              </c:extLst>
            </c:dLbl>
            <c:dLbl>
              <c:idx val="2"/>
              <c:layout>
                <c:manualLayout>
                  <c:x val="-6.6132414219936292E-2"/>
                  <c:y val="-4.5951652032414102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C41-4E37-AF6C-54DCF1CB66FD}"/>
                </c:ext>
              </c:extLst>
            </c:dLbl>
            <c:dLbl>
              <c:idx val="3"/>
              <c:layout>
                <c:manualLayout>
                  <c:x val="0.14369448176641791"/>
                  <c:y val="-0.23978924308742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751925591802336"/>
                      <c:h val="0.10854314704231709"/>
                    </c:manualLayout>
                  </c15:layout>
                </c:ext>
                <c:ext xmlns:c16="http://schemas.microsoft.com/office/drawing/2014/chart" uri="{C3380CC4-5D6E-409C-BE32-E72D297353CC}">
                  <c16:uniqueId val="{00000001-2C41-4E37-AF6C-54DCF1CB66FD}"/>
                </c:ext>
              </c:extLst>
            </c:dLbl>
            <c:dLbl>
              <c:idx val="4"/>
              <c:layout>
                <c:manualLayout>
                  <c:x val="0.15572422792370752"/>
                  <c:y val="0.156209254431054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C41-4E37-AF6C-54DCF1CB66FD}"/>
                </c:ext>
              </c:extLst>
            </c:dLbl>
            <c:dLbl>
              <c:idx val="5"/>
              <c:layout>
                <c:manualLayout>
                  <c:x val="1.1753888989156868E-2"/>
                  <c:y val="1.87229823813620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8041915547189877"/>
                      <c:h val="0.12977481463445054"/>
                    </c:manualLayout>
                  </c15:layout>
                </c:ext>
                <c:ext xmlns:c16="http://schemas.microsoft.com/office/drawing/2014/chart" uri="{C3380CC4-5D6E-409C-BE32-E72D297353CC}">
                  <c16:uniqueId val="{00000008-2C41-4E37-AF6C-54DCF1CB66FD}"/>
                </c:ext>
              </c:extLst>
            </c:dLbl>
            <c:dLbl>
              <c:idx val="6"/>
              <c:layout>
                <c:manualLayout>
                  <c:x val="1.9638277472310065E-2"/>
                  <c:y val="7.7090312940537756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C41-4E37-AF6C-54DCF1CB66FD}"/>
                </c:ext>
              </c:extLst>
            </c:dLbl>
            <c:numFmt formatCode="0.0%" sourceLinked="0"/>
            <c:spPr>
              <a:noFill/>
              <a:ln>
                <a:noFill/>
              </a:ln>
              <a:effectLst/>
            </c:spPr>
            <c:dLblPos val="bestFit"/>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'25x'!$A$103:$A$108</c:f>
              <c:strCache>
                <c:ptCount val="6"/>
                <c:pt idx="0">
                  <c:v>Industria e costruzioni</c:v>
                </c:pt>
                <c:pt idx="1">
                  <c:v>Settore energetico</c:v>
                </c:pt>
                <c:pt idx="2">
                  <c:v>Agricoltura</c:v>
                </c:pt>
                <c:pt idx="3">
                  <c:v>Servizi</c:v>
                </c:pt>
                <c:pt idx="4">
                  <c:v>Domestico</c:v>
                </c:pt>
                <c:pt idx="5">
                  <c:v>Trasporti</c:v>
                </c:pt>
              </c:strCache>
            </c:strRef>
          </c:cat>
          <c:val>
            <c:numRef>
              <c:f>'25x'!$K$103:$K$108</c:f>
              <c:numCache>
                <c:formatCode>0.0</c:formatCode>
                <c:ptCount val="6"/>
                <c:pt idx="0">
                  <c:v>67.885193996316133</c:v>
                </c:pt>
                <c:pt idx="1">
                  <c:v>4.2040472678830039</c:v>
                </c:pt>
                <c:pt idx="2">
                  <c:v>2.51539517356826</c:v>
                </c:pt>
                <c:pt idx="3">
                  <c:v>34.642957041828453</c:v>
                </c:pt>
                <c:pt idx="4">
                  <c:v>31.400235638237248</c:v>
                </c:pt>
                <c:pt idx="5">
                  <c:v>4.6509458841812723</c:v>
                </c:pt>
              </c:numCache>
            </c:numRef>
          </c:val>
          <c:extLst>
            <c:ext xmlns:c16="http://schemas.microsoft.com/office/drawing/2014/chart" uri="{C3380CC4-5D6E-409C-BE32-E72D297353CC}">
              <c16:uniqueId val="{00000006-2C41-4E37-AF6C-54DCF1CB66FD}"/>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noFill/>
    <a:ln>
      <a:noFill/>
    </a:ln>
  </c:spPr>
  <c:txPr>
    <a:bodyPr/>
    <a:lstStyle/>
    <a:p>
      <a:pPr>
        <a:defRPr sz="800" b="1">
          <a:latin typeface="+mn-lt"/>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mm!$N$3</c:f>
              <c:strCache>
                <c:ptCount val="1"/>
                <c:pt idx="0">
                  <c:v>Solidi</c:v>
                </c:pt>
              </c:strCache>
            </c:strRef>
          </c:tx>
          <c:marker>
            <c:symbol val="none"/>
          </c:marker>
          <c:trendline>
            <c:trendlineType val="linear"/>
            <c:dispRSqr val="0"/>
            <c:dispEq val="0"/>
          </c:trendline>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mm!$N$4:$N$38</c:f>
              <c:numCache>
                <c:formatCode>0.0</c:formatCode>
                <c:ptCount val="35"/>
                <c:pt idx="0">
                  <c:v>870.83518280391456</c:v>
                </c:pt>
                <c:pt idx="1">
                  <c:v>874.92895492601463</c:v>
                </c:pt>
                <c:pt idx="2">
                  <c:v>876.14843693107207</c:v>
                </c:pt>
                <c:pt idx="3">
                  <c:v>864.40018573437828</c:v>
                </c:pt>
                <c:pt idx="4">
                  <c:v>865.14535830484022</c:v>
                </c:pt>
                <c:pt idx="5">
                  <c:v>857.00847990155489</c:v>
                </c:pt>
                <c:pt idx="6">
                  <c:v>858.04471360388914</c:v>
                </c:pt>
                <c:pt idx="7">
                  <c:v>861.0952164418926</c:v>
                </c:pt>
                <c:pt idx="8">
                  <c:v>864.52482611405105</c:v>
                </c:pt>
                <c:pt idx="9">
                  <c:v>854.27998637042162</c:v>
                </c:pt>
                <c:pt idx="10">
                  <c:v>845.83550750588518</c:v>
                </c:pt>
                <c:pt idx="11">
                  <c:v>881.59673958796645</c:v>
                </c:pt>
                <c:pt idx="12">
                  <c:v>900.63081036089943</c:v>
                </c:pt>
                <c:pt idx="13">
                  <c:v>902.42722607642872</c:v>
                </c:pt>
                <c:pt idx="14">
                  <c:v>926.50746960605443</c:v>
                </c:pt>
                <c:pt idx="15">
                  <c:v>919.86301040038472</c:v>
                </c:pt>
                <c:pt idx="16">
                  <c:v>898.57581152819716</c:v>
                </c:pt>
                <c:pt idx="17">
                  <c:v>921.60269241366939</c:v>
                </c:pt>
                <c:pt idx="18">
                  <c:v>934.78721528610481</c:v>
                </c:pt>
                <c:pt idx="19">
                  <c:v>910.39956186582276</c:v>
                </c:pt>
                <c:pt idx="20">
                  <c:v>889.47914790018706</c:v>
                </c:pt>
                <c:pt idx="21">
                  <c:v>873.69470071894705</c:v>
                </c:pt>
                <c:pt idx="22">
                  <c:v>862.45307697388535</c:v>
                </c:pt>
                <c:pt idx="23">
                  <c:v>877.65336236047153</c:v>
                </c:pt>
                <c:pt idx="24">
                  <c:v>876.4342238953144</c:v>
                </c:pt>
                <c:pt idx="25">
                  <c:v>899.77381817586729</c:v>
                </c:pt>
                <c:pt idx="26">
                  <c:v>895.42888298184539</c:v>
                </c:pt>
                <c:pt idx="27">
                  <c:v>870.03937835503643</c:v>
                </c:pt>
                <c:pt idx="28">
                  <c:v>884.45511791307888</c:v>
                </c:pt>
                <c:pt idx="29">
                  <c:v>908.87712567892527</c:v>
                </c:pt>
                <c:pt idx="30">
                  <c:v>927.18176589332518</c:v>
                </c:pt>
                <c:pt idx="31">
                  <c:v>934.77312959760673</c:v>
                </c:pt>
                <c:pt idx="32">
                  <c:v>932.31341784665949</c:v>
                </c:pt>
                <c:pt idx="33">
                  <c:v>917.12156981121166</c:v>
                </c:pt>
                <c:pt idx="34">
                  <c:v>862.41226324509489</c:v>
                </c:pt>
              </c:numCache>
            </c:numRef>
          </c:val>
          <c:smooth val="0"/>
          <c:extLst>
            <c:ext xmlns:c16="http://schemas.microsoft.com/office/drawing/2014/chart" uri="{C3380CC4-5D6E-409C-BE32-E72D297353CC}">
              <c16:uniqueId val="{00000000-F8DC-4C35-AA75-3915BF4976CC}"/>
            </c:ext>
          </c:extLst>
        </c:ser>
        <c:ser>
          <c:idx val="1"/>
          <c:order val="1"/>
          <c:tx>
            <c:v>forecast</c:v>
          </c:tx>
          <c:marker>
            <c:symbol val="none"/>
          </c:marker>
          <c:val>
            <c:numRef>
              <c:f>mm!$O$4:$O$39</c:f>
              <c:numCache>
                <c:formatCode>0.0</c:formatCode>
                <c:ptCount val="36"/>
                <c:pt idx="5">
                  <c:v>870.29162374004386</c:v>
                </c:pt>
                <c:pt idx="6">
                  <c:v>867.5262831595719</c:v>
                </c:pt>
                <c:pt idx="7">
                  <c:v>864.14943489514678</c:v>
                </c:pt>
                <c:pt idx="8">
                  <c:v>861.138790797311</c:v>
                </c:pt>
                <c:pt idx="9">
                  <c:v>861.16371887324567</c:v>
                </c:pt>
                <c:pt idx="10">
                  <c:v>858.99064448636182</c:v>
                </c:pt>
                <c:pt idx="11">
                  <c:v>856.75605000722794</c:v>
                </c:pt>
                <c:pt idx="12">
                  <c:v>861.46645520404343</c:v>
                </c:pt>
                <c:pt idx="13">
                  <c:v>869.37357398784479</c:v>
                </c:pt>
                <c:pt idx="14">
                  <c:v>876.95405398032017</c:v>
                </c:pt>
                <c:pt idx="15">
                  <c:v>891.39955062744684</c:v>
                </c:pt>
                <c:pt idx="16">
                  <c:v>906.20505120634675</c:v>
                </c:pt>
                <c:pt idx="17">
                  <c:v>909.60086559439299</c:v>
                </c:pt>
                <c:pt idx="18">
                  <c:v>913.79524200494689</c:v>
                </c:pt>
                <c:pt idx="19">
                  <c:v>920.26723984688215</c:v>
                </c:pt>
                <c:pt idx="20">
                  <c:v>917.04565829883575</c:v>
                </c:pt>
                <c:pt idx="21">
                  <c:v>910.96888579879612</c:v>
                </c:pt>
                <c:pt idx="22">
                  <c:v>905.99266363694619</c:v>
                </c:pt>
                <c:pt idx="23">
                  <c:v>894.16274054898929</c:v>
                </c:pt>
                <c:pt idx="24">
                  <c:v>882.73596996386277</c:v>
                </c:pt>
                <c:pt idx="25">
                  <c:v>875.94290236976099</c:v>
                </c:pt>
                <c:pt idx="26">
                  <c:v>878.00183642489719</c:v>
                </c:pt>
                <c:pt idx="27">
                  <c:v>882.3486728774767</c:v>
                </c:pt>
                <c:pt idx="28">
                  <c:v>883.86593315370703</c:v>
                </c:pt>
                <c:pt idx="29">
                  <c:v>885.2262842642283</c:v>
                </c:pt>
                <c:pt idx="30">
                  <c:v>891.71486462095072</c:v>
                </c:pt>
                <c:pt idx="31">
                  <c:v>897.19645416444223</c:v>
                </c:pt>
                <c:pt idx="32">
                  <c:v>905.06530348759441</c:v>
                </c:pt>
                <c:pt idx="33">
                  <c:v>917.52011138591911</c:v>
                </c:pt>
                <c:pt idx="34">
                  <c:v>924.05340176554569</c:v>
                </c:pt>
                <c:pt idx="35">
                  <c:v>914.76042927877972</c:v>
                </c:pt>
              </c:numCache>
            </c:numRef>
          </c:val>
          <c:smooth val="0"/>
          <c:extLst>
            <c:ext xmlns:c16="http://schemas.microsoft.com/office/drawing/2014/chart" uri="{C3380CC4-5D6E-409C-BE32-E72D297353CC}">
              <c16:uniqueId val="{00000001-F8DC-4C35-AA75-3915BF4976CC}"/>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legendEntry>
        <c:idx val="2"/>
        <c:delete val="1"/>
      </c:legendEntry>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mm!$U$3</c:f>
              <c:strCache>
                <c:ptCount val="1"/>
                <c:pt idx="0">
                  <c:v>Gas naturale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mm!$U$4:$U$38</c:f>
              <c:numCache>
                <c:formatCode>0.0</c:formatCode>
                <c:ptCount val="35"/>
                <c:pt idx="0">
                  <c:v>426.12504754629475</c:v>
                </c:pt>
                <c:pt idx="1">
                  <c:v>429.62035167190453</c:v>
                </c:pt>
                <c:pt idx="2">
                  <c:v>424.91768746887055</c:v>
                </c:pt>
                <c:pt idx="3">
                  <c:v>423.52810298170783</c:v>
                </c:pt>
                <c:pt idx="4">
                  <c:v>413.98858188293099</c:v>
                </c:pt>
                <c:pt idx="5">
                  <c:v>417.4538139226853</c:v>
                </c:pt>
                <c:pt idx="6">
                  <c:v>410.81307796915883</c:v>
                </c:pt>
                <c:pt idx="7">
                  <c:v>399.06300365505518</c:v>
                </c:pt>
                <c:pt idx="8">
                  <c:v>403.42973581715984</c:v>
                </c:pt>
                <c:pt idx="9">
                  <c:v>399.58615035400635</c:v>
                </c:pt>
                <c:pt idx="10">
                  <c:v>387.20104793248805</c:v>
                </c:pt>
                <c:pt idx="11">
                  <c:v>366.89999637878594</c:v>
                </c:pt>
                <c:pt idx="12">
                  <c:v>391.61442874634258</c:v>
                </c:pt>
                <c:pt idx="13">
                  <c:v>340.72404128408857</c:v>
                </c:pt>
                <c:pt idx="14">
                  <c:v>407.47090636478208</c:v>
                </c:pt>
                <c:pt idx="15">
                  <c:v>400.5362568137042</c:v>
                </c:pt>
                <c:pt idx="16">
                  <c:v>389.78025516354779</c:v>
                </c:pt>
                <c:pt idx="17">
                  <c:v>387.26486770383264</c:v>
                </c:pt>
                <c:pt idx="18">
                  <c:v>391.48799843886928</c:v>
                </c:pt>
                <c:pt idx="19">
                  <c:v>391.34801783991605</c:v>
                </c:pt>
                <c:pt idx="20">
                  <c:v>391.03106741154966</c:v>
                </c:pt>
                <c:pt idx="21">
                  <c:v>384.33883950500382</c:v>
                </c:pt>
                <c:pt idx="22">
                  <c:v>387.78837684033346</c:v>
                </c:pt>
                <c:pt idx="23">
                  <c:v>372.78582123158014</c:v>
                </c:pt>
                <c:pt idx="24">
                  <c:v>376.45818709320525</c:v>
                </c:pt>
                <c:pt idx="25">
                  <c:v>367.51640695193237</c:v>
                </c:pt>
                <c:pt idx="26">
                  <c:v>370.33463685932185</c:v>
                </c:pt>
                <c:pt idx="27">
                  <c:v>370.77783966316287</c:v>
                </c:pt>
                <c:pt idx="28">
                  <c:v>369.471765657204</c:v>
                </c:pt>
                <c:pt idx="29">
                  <c:v>369.47090361206028</c:v>
                </c:pt>
                <c:pt idx="30">
                  <c:v>371.67283210895351</c:v>
                </c:pt>
                <c:pt idx="31">
                  <c:v>372.62496473739247</c:v>
                </c:pt>
                <c:pt idx="32">
                  <c:v>369.59996818488389</c:v>
                </c:pt>
                <c:pt idx="33">
                  <c:v>371.88898839494607</c:v>
                </c:pt>
                <c:pt idx="34">
                  <c:v>370.55863419222806</c:v>
                </c:pt>
              </c:numCache>
            </c:numRef>
          </c:val>
          <c:smooth val="0"/>
          <c:extLst>
            <c:ext xmlns:c16="http://schemas.microsoft.com/office/drawing/2014/chart" uri="{C3380CC4-5D6E-409C-BE32-E72D297353CC}">
              <c16:uniqueId val="{00000000-9587-44D6-BE4E-9116027D0195}"/>
            </c:ext>
          </c:extLst>
        </c:ser>
        <c:ser>
          <c:idx val="1"/>
          <c:order val="1"/>
          <c:tx>
            <c:strRef>
              <c:f>mm!$V$3</c:f>
              <c:strCache>
                <c:ptCount val="1"/>
                <c:pt idx="0">
                  <c:v>forecast</c:v>
                </c:pt>
              </c:strCache>
            </c:strRef>
          </c:tx>
          <c:marker>
            <c:symbol val="none"/>
          </c:marker>
          <c:trendline>
            <c:trendlineType val="linear"/>
            <c:dispRSqr val="0"/>
            <c:dispEq val="0"/>
          </c:trendline>
          <c:val>
            <c:numRef>
              <c:f>mm!$V$4:$V$39</c:f>
              <c:numCache>
                <c:formatCode>0.0</c:formatCode>
                <c:ptCount val="36"/>
                <c:pt idx="5">
                  <c:v>423.63595431034173</c:v>
                </c:pt>
                <c:pt idx="6">
                  <c:v>421.90170758561982</c:v>
                </c:pt>
                <c:pt idx="7">
                  <c:v>418.14025284507068</c:v>
                </c:pt>
                <c:pt idx="8">
                  <c:v>412.96931608230761</c:v>
                </c:pt>
                <c:pt idx="9">
                  <c:v>408.94964264939802</c:v>
                </c:pt>
                <c:pt idx="10">
                  <c:v>406.06915634361309</c:v>
                </c:pt>
                <c:pt idx="11">
                  <c:v>400.01860314557365</c:v>
                </c:pt>
                <c:pt idx="12">
                  <c:v>391.23598682749906</c:v>
                </c:pt>
                <c:pt idx="13">
                  <c:v>389.74627184575655</c:v>
                </c:pt>
                <c:pt idx="14">
                  <c:v>377.20513293914235</c:v>
                </c:pt>
                <c:pt idx="15">
                  <c:v>378.7820841412975</c:v>
                </c:pt>
                <c:pt idx="16">
                  <c:v>381.44912591754075</c:v>
                </c:pt>
                <c:pt idx="17">
                  <c:v>386.02517767449308</c:v>
                </c:pt>
                <c:pt idx="18">
                  <c:v>385.15526546599102</c:v>
                </c:pt>
                <c:pt idx="19">
                  <c:v>395.30805689694716</c:v>
                </c:pt>
                <c:pt idx="20">
                  <c:v>392.08347919197399</c:v>
                </c:pt>
                <c:pt idx="21">
                  <c:v>390.18244131154313</c:v>
                </c:pt>
                <c:pt idx="22">
                  <c:v>389.09415817983427</c:v>
                </c:pt>
                <c:pt idx="23">
                  <c:v>389.19886000713444</c:v>
                </c:pt>
                <c:pt idx="24">
                  <c:v>385.45842456567664</c:v>
                </c:pt>
                <c:pt idx="25">
                  <c:v>382.4804584163345</c:v>
                </c:pt>
                <c:pt idx="26">
                  <c:v>377.77752632441099</c:v>
                </c:pt>
                <c:pt idx="27">
                  <c:v>374.97668579527459</c:v>
                </c:pt>
                <c:pt idx="28">
                  <c:v>371.57457835984053</c:v>
                </c:pt>
                <c:pt idx="29">
                  <c:v>370.91176724496529</c:v>
                </c:pt>
                <c:pt idx="30">
                  <c:v>369.51431054873626</c:v>
                </c:pt>
                <c:pt idx="31">
                  <c:v>370.34559558014053</c:v>
                </c:pt>
                <c:pt idx="32">
                  <c:v>370.80366115575464</c:v>
                </c:pt>
                <c:pt idx="33">
                  <c:v>370.56808686009884</c:v>
                </c:pt>
                <c:pt idx="34">
                  <c:v>371.05153140764725</c:v>
                </c:pt>
                <c:pt idx="35">
                  <c:v>371.26907752368078</c:v>
                </c:pt>
              </c:numCache>
            </c:numRef>
          </c:val>
          <c:smooth val="0"/>
          <c:extLst>
            <c:ext xmlns:c16="http://schemas.microsoft.com/office/drawing/2014/chart" uri="{C3380CC4-5D6E-409C-BE32-E72D297353CC}">
              <c16:uniqueId val="{00000001-9587-44D6-BE4E-9116027D0195}"/>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min val="300"/>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mm!$AB$3</c:f>
              <c:strCache>
                <c:ptCount val="1"/>
                <c:pt idx="0">
                  <c:v>Gas derivati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mm!$AB$4:$AB$38</c:f>
              <c:numCache>
                <c:formatCode>0.0</c:formatCode>
                <c:ptCount val="35"/>
                <c:pt idx="0">
                  <c:v>1776.0630317365515</c:v>
                </c:pt>
                <c:pt idx="1">
                  <c:v>1739.3892252735184</c:v>
                </c:pt>
                <c:pt idx="2">
                  <c:v>1665.2062483095185</c:v>
                </c:pt>
                <c:pt idx="3">
                  <c:v>1634.0737438150466</c:v>
                </c:pt>
                <c:pt idx="4">
                  <c:v>1711.5103378761421</c:v>
                </c:pt>
                <c:pt idx="5">
                  <c:v>1816.7661178023129</c:v>
                </c:pt>
                <c:pt idx="6">
                  <c:v>1836.0945563279824</c:v>
                </c:pt>
                <c:pt idx="7">
                  <c:v>1638.4165168432207</c:v>
                </c:pt>
                <c:pt idx="8">
                  <c:v>1797.5796098453848</c:v>
                </c:pt>
                <c:pt idx="9">
                  <c:v>1575.2339919709975</c:v>
                </c:pt>
                <c:pt idx="10">
                  <c:v>1463.5788274109657</c:v>
                </c:pt>
                <c:pt idx="11">
                  <c:v>1346.1583955329022</c:v>
                </c:pt>
                <c:pt idx="12">
                  <c:v>1359.6001289572991</c:v>
                </c:pt>
                <c:pt idx="13">
                  <c:v>1243.4171373819943</c:v>
                </c:pt>
                <c:pt idx="14">
                  <c:v>1830.1341722530321</c:v>
                </c:pt>
                <c:pt idx="15">
                  <c:v>1906.2853366371291</c:v>
                </c:pt>
                <c:pt idx="16">
                  <c:v>1867.0910392222877</c:v>
                </c:pt>
                <c:pt idx="17">
                  <c:v>1794.6407810542585</c:v>
                </c:pt>
                <c:pt idx="18">
                  <c:v>1690.7157184241219</c:v>
                </c:pt>
                <c:pt idx="19">
                  <c:v>1620.2567651019049</c:v>
                </c:pt>
                <c:pt idx="20">
                  <c:v>1664.9388174834778</c:v>
                </c:pt>
                <c:pt idx="21">
                  <c:v>1629.8630145789484</c:v>
                </c:pt>
                <c:pt idx="22">
                  <c:v>1495.8769747691595</c:v>
                </c:pt>
                <c:pt idx="23">
                  <c:v>1606.0201425642711</c:v>
                </c:pt>
                <c:pt idx="24">
                  <c:v>1793.9296662706413</c:v>
                </c:pt>
                <c:pt idx="25">
                  <c:v>1624.8209309418553</c:v>
                </c:pt>
                <c:pt idx="26">
                  <c:v>1639.4677875182267</c:v>
                </c:pt>
                <c:pt idx="27">
                  <c:v>1498.3587269450604</c:v>
                </c:pt>
                <c:pt idx="28">
                  <c:v>1651.213965273753</c:v>
                </c:pt>
                <c:pt idx="29">
                  <c:v>1414.4751904845905</c:v>
                </c:pt>
                <c:pt idx="30">
                  <c:v>1382.3869362837449</c:v>
                </c:pt>
                <c:pt idx="31">
                  <c:v>1745.815487030382</c:v>
                </c:pt>
                <c:pt idx="32">
                  <c:v>1603.1342918827713</c:v>
                </c:pt>
                <c:pt idx="33">
                  <c:v>1382.7474154987133</c:v>
                </c:pt>
                <c:pt idx="34">
                  <c:v>1326.825564321329</c:v>
                </c:pt>
              </c:numCache>
            </c:numRef>
          </c:val>
          <c:smooth val="0"/>
          <c:extLst>
            <c:ext xmlns:c16="http://schemas.microsoft.com/office/drawing/2014/chart" uri="{C3380CC4-5D6E-409C-BE32-E72D297353CC}">
              <c16:uniqueId val="{00000000-5EBA-4159-973B-3698D1BC95E1}"/>
            </c:ext>
          </c:extLst>
        </c:ser>
        <c:ser>
          <c:idx val="1"/>
          <c:order val="1"/>
          <c:tx>
            <c:strRef>
              <c:f>mm!$AC$3</c:f>
              <c:strCache>
                <c:ptCount val="1"/>
                <c:pt idx="0">
                  <c:v>forecast</c:v>
                </c:pt>
              </c:strCache>
            </c:strRef>
          </c:tx>
          <c:marker>
            <c:symbol val="none"/>
          </c:marker>
          <c:trendline>
            <c:trendlineType val="linear"/>
            <c:dispRSqr val="0"/>
            <c:dispEq val="0"/>
          </c:trendline>
          <c:val>
            <c:numRef>
              <c:f>mm!$AC$4:$AC$39</c:f>
              <c:numCache>
                <c:formatCode>0.0</c:formatCode>
                <c:ptCount val="36"/>
                <c:pt idx="5">
                  <c:v>1705.2485174021554</c:v>
                </c:pt>
                <c:pt idx="6">
                  <c:v>1713.389134615308</c:v>
                </c:pt>
                <c:pt idx="7">
                  <c:v>1732.7302008262006</c:v>
                </c:pt>
                <c:pt idx="8">
                  <c:v>1727.3722545329408</c:v>
                </c:pt>
                <c:pt idx="9">
                  <c:v>1760.0734277390086</c:v>
                </c:pt>
                <c:pt idx="10">
                  <c:v>1732.8181585579798</c:v>
                </c:pt>
                <c:pt idx="11">
                  <c:v>1662.1807004797101</c:v>
                </c:pt>
                <c:pt idx="12">
                  <c:v>1564.1934683206941</c:v>
                </c:pt>
                <c:pt idx="13">
                  <c:v>1508.4301907435099</c:v>
                </c:pt>
                <c:pt idx="14">
                  <c:v>1397.5976962508319</c:v>
                </c:pt>
                <c:pt idx="15">
                  <c:v>1448.5777323072389</c:v>
                </c:pt>
                <c:pt idx="16">
                  <c:v>1537.1190341524714</c:v>
                </c:pt>
                <c:pt idx="17">
                  <c:v>1641.3055628903487</c:v>
                </c:pt>
                <c:pt idx="18">
                  <c:v>1728.3136933097401</c:v>
                </c:pt>
                <c:pt idx="19">
                  <c:v>1817.7734095181659</c:v>
                </c:pt>
                <c:pt idx="20">
                  <c:v>1775.7979280879404</c:v>
                </c:pt>
                <c:pt idx="21">
                  <c:v>1727.5286242572104</c:v>
                </c:pt>
                <c:pt idx="22">
                  <c:v>1680.0830193285424</c:v>
                </c:pt>
                <c:pt idx="23">
                  <c:v>1620.3302580715224</c:v>
                </c:pt>
                <c:pt idx="24">
                  <c:v>1603.3911428995523</c:v>
                </c:pt>
                <c:pt idx="25">
                  <c:v>1638.1257231332995</c:v>
                </c:pt>
                <c:pt idx="26">
                  <c:v>1630.102145824975</c:v>
                </c:pt>
                <c:pt idx="27">
                  <c:v>1632.0231004128307</c:v>
                </c:pt>
                <c:pt idx="28">
                  <c:v>1632.5194508480113</c:v>
                </c:pt>
                <c:pt idx="29">
                  <c:v>1641.5582153899074</c:v>
                </c:pt>
                <c:pt idx="30">
                  <c:v>1565.6673202326972</c:v>
                </c:pt>
                <c:pt idx="31">
                  <c:v>1517.1805213010753</c:v>
                </c:pt>
                <c:pt idx="32">
                  <c:v>1538.4500612035063</c:v>
                </c:pt>
                <c:pt idx="33">
                  <c:v>1559.4051741910484</c:v>
                </c:pt>
                <c:pt idx="34">
                  <c:v>1505.7118642360406</c:v>
                </c:pt>
                <c:pt idx="35">
                  <c:v>1488.1819390033879</c:v>
                </c:pt>
              </c:numCache>
            </c:numRef>
          </c:val>
          <c:smooth val="0"/>
          <c:extLst>
            <c:ext xmlns:c16="http://schemas.microsoft.com/office/drawing/2014/chart" uri="{C3380CC4-5D6E-409C-BE32-E72D297353CC}">
              <c16:uniqueId val="{00000001-5EBA-4159-973B-3698D1BC95E1}"/>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min val="1000"/>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mm!$AI$3</c:f>
              <c:strCache>
                <c:ptCount val="1"/>
                <c:pt idx="0">
                  <c:v>Prodotti petroliferi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mm!$AI$4:$AI$38</c:f>
              <c:numCache>
                <c:formatCode>0.0</c:formatCode>
                <c:ptCount val="35"/>
                <c:pt idx="0">
                  <c:v>612.33225301481616</c:v>
                </c:pt>
                <c:pt idx="1">
                  <c:v>611.70151081122935</c:v>
                </c:pt>
                <c:pt idx="2">
                  <c:v>606.37380925863977</c:v>
                </c:pt>
                <c:pt idx="3">
                  <c:v>604.61631453346911</c:v>
                </c:pt>
                <c:pt idx="4">
                  <c:v>603.48385802592486</c:v>
                </c:pt>
                <c:pt idx="5">
                  <c:v>603.81602299217047</c:v>
                </c:pt>
                <c:pt idx="6">
                  <c:v>605.33589362763132</c:v>
                </c:pt>
                <c:pt idx="7">
                  <c:v>606.21896638670694</c:v>
                </c:pt>
                <c:pt idx="8">
                  <c:v>604.79731154875515</c:v>
                </c:pt>
                <c:pt idx="9">
                  <c:v>611.2287337191359</c:v>
                </c:pt>
                <c:pt idx="10">
                  <c:v>635.56439793944844</c:v>
                </c:pt>
                <c:pt idx="11">
                  <c:v>640.84648859544075</c:v>
                </c:pt>
                <c:pt idx="12">
                  <c:v>602.90748209845037</c:v>
                </c:pt>
                <c:pt idx="13">
                  <c:v>608.46173927193229</c:v>
                </c:pt>
                <c:pt idx="14">
                  <c:v>681.14008936078596</c:v>
                </c:pt>
                <c:pt idx="15">
                  <c:v>675.12940388539357</c:v>
                </c:pt>
                <c:pt idx="16">
                  <c:v>704.80077272103563</c:v>
                </c:pt>
                <c:pt idx="17">
                  <c:v>712.37587403352256</c:v>
                </c:pt>
                <c:pt idx="18">
                  <c:v>697.50213522700176</c:v>
                </c:pt>
                <c:pt idx="19">
                  <c:v>664.70746118338116</c:v>
                </c:pt>
                <c:pt idx="20">
                  <c:v>691.08248870890748</c:v>
                </c:pt>
                <c:pt idx="21">
                  <c:v>621.24716692697336</c:v>
                </c:pt>
                <c:pt idx="22">
                  <c:v>637.77602239044882</c:v>
                </c:pt>
                <c:pt idx="23">
                  <c:v>565.12038940152206</c:v>
                </c:pt>
                <c:pt idx="24">
                  <c:v>583.61797920133347</c:v>
                </c:pt>
                <c:pt idx="25">
                  <c:v>561.75420141910467</c:v>
                </c:pt>
                <c:pt idx="26">
                  <c:v>547.63710139238685</c:v>
                </c:pt>
                <c:pt idx="27">
                  <c:v>546.99833065966607</c:v>
                </c:pt>
                <c:pt idx="28">
                  <c:v>543.19532532520293</c:v>
                </c:pt>
                <c:pt idx="29">
                  <c:v>535.24302028429724</c:v>
                </c:pt>
                <c:pt idx="30">
                  <c:v>516.95116729375934</c:v>
                </c:pt>
                <c:pt idx="31">
                  <c:v>521.23430915876861</c:v>
                </c:pt>
                <c:pt idx="32">
                  <c:v>536.59845075152919</c:v>
                </c:pt>
                <c:pt idx="33">
                  <c:v>537.96976351225942</c:v>
                </c:pt>
                <c:pt idx="34">
                  <c:v>497.18780223654159</c:v>
                </c:pt>
              </c:numCache>
            </c:numRef>
          </c:val>
          <c:smooth val="0"/>
          <c:extLst>
            <c:ext xmlns:c16="http://schemas.microsoft.com/office/drawing/2014/chart" uri="{C3380CC4-5D6E-409C-BE32-E72D297353CC}">
              <c16:uniqueId val="{00000000-E4AB-452A-9587-FCE2B4FF697C}"/>
            </c:ext>
          </c:extLst>
        </c:ser>
        <c:ser>
          <c:idx val="1"/>
          <c:order val="1"/>
          <c:tx>
            <c:strRef>
              <c:f>mm!$AJ$3</c:f>
              <c:strCache>
                <c:ptCount val="1"/>
                <c:pt idx="0">
                  <c:v>forecast</c:v>
                </c:pt>
              </c:strCache>
            </c:strRef>
          </c:tx>
          <c:marker>
            <c:symbol val="none"/>
          </c:marker>
          <c:trendline>
            <c:trendlineType val="linear"/>
            <c:dispRSqr val="0"/>
            <c:dispEq val="0"/>
          </c:trendline>
          <c:val>
            <c:numRef>
              <c:f>mm!$AJ$4:$AJ$39</c:f>
              <c:numCache>
                <c:formatCode>0.0</c:formatCode>
                <c:ptCount val="36"/>
                <c:pt idx="5">
                  <c:v>607.70154912881583</c:v>
                </c:pt>
                <c:pt idx="6">
                  <c:v>605.99830312428662</c:v>
                </c:pt>
                <c:pt idx="7">
                  <c:v>604.72517968756711</c:v>
                </c:pt>
                <c:pt idx="8">
                  <c:v>604.69421111318047</c:v>
                </c:pt>
                <c:pt idx="9">
                  <c:v>604.73041051623773</c:v>
                </c:pt>
                <c:pt idx="10">
                  <c:v>606.27938565488</c:v>
                </c:pt>
                <c:pt idx="11">
                  <c:v>612.6290606443356</c:v>
                </c:pt>
                <c:pt idx="12">
                  <c:v>619.73117963789741</c:v>
                </c:pt>
                <c:pt idx="13">
                  <c:v>619.06888278024621</c:v>
                </c:pt>
                <c:pt idx="14">
                  <c:v>619.80176832488155</c:v>
                </c:pt>
                <c:pt idx="15">
                  <c:v>633.78403945321156</c:v>
                </c:pt>
                <c:pt idx="16">
                  <c:v>641.69704064240057</c:v>
                </c:pt>
                <c:pt idx="17">
                  <c:v>654.48789746751959</c:v>
                </c:pt>
                <c:pt idx="18">
                  <c:v>676.38157585453405</c:v>
                </c:pt>
                <c:pt idx="19">
                  <c:v>694.18965504554785</c:v>
                </c:pt>
                <c:pt idx="20">
                  <c:v>690.90312941006687</c:v>
                </c:pt>
                <c:pt idx="21">
                  <c:v>694.09374637476981</c:v>
                </c:pt>
                <c:pt idx="22">
                  <c:v>677.38302521595722</c:v>
                </c:pt>
                <c:pt idx="23">
                  <c:v>662.46305488734254</c:v>
                </c:pt>
                <c:pt idx="24">
                  <c:v>635.9867057222466</c:v>
                </c:pt>
                <c:pt idx="25">
                  <c:v>619.76880932583708</c:v>
                </c:pt>
                <c:pt idx="26">
                  <c:v>593.90315186787643</c:v>
                </c:pt>
                <c:pt idx="27">
                  <c:v>579.18113876095913</c:v>
                </c:pt>
                <c:pt idx="28">
                  <c:v>561.02560041480262</c:v>
                </c:pt>
                <c:pt idx="29">
                  <c:v>556.64058759953878</c:v>
                </c:pt>
                <c:pt idx="30">
                  <c:v>546.96559581613144</c:v>
                </c:pt>
                <c:pt idx="31">
                  <c:v>538.00498899106253</c:v>
                </c:pt>
                <c:pt idx="32">
                  <c:v>532.72443054433893</c:v>
                </c:pt>
                <c:pt idx="33">
                  <c:v>530.64445456271142</c:v>
                </c:pt>
                <c:pt idx="34">
                  <c:v>529.59934220012269</c:v>
                </c:pt>
                <c:pt idx="35">
                  <c:v>521.98829859057162</c:v>
                </c:pt>
              </c:numCache>
            </c:numRef>
          </c:val>
          <c:smooth val="0"/>
          <c:extLst>
            <c:ext xmlns:c16="http://schemas.microsoft.com/office/drawing/2014/chart" uri="{C3380CC4-5D6E-409C-BE32-E72D297353CC}">
              <c16:uniqueId val="{00000001-E4AB-452A-9587-FCE2B4FF697C}"/>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mm!$AP$3</c:f>
              <c:strCache>
                <c:ptCount val="1"/>
                <c:pt idx="0">
                  <c:v>Rifiuti e bioenergie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mm!$AP$4:$AP$38</c:f>
              <c:numCache>
                <c:formatCode>0.0</c:formatCode>
                <c:ptCount val="35"/>
                <c:pt idx="0">
                  <c:v>916.6516920750588</c:v>
                </c:pt>
                <c:pt idx="1">
                  <c:v>524.11632428423115</c:v>
                </c:pt>
                <c:pt idx="2">
                  <c:v>491.55385338538593</c:v>
                </c:pt>
                <c:pt idx="3">
                  <c:v>437.54232070241852</c:v>
                </c:pt>
                <c:pt idx="4">
                  <c:v>396.17867204191697</c:v>
                </c:pt>
                <c:pt idx="5">
                  <c:v>417.20980289281147</c:v>
                </c:pt>
                <c:pt idx="6">
                  <c:v>325.79381323547125</c:v>
                </c:pt>
                <c:pt idx="7">
                  <c:v>273.02066691958208</c:v>
                </c:pt>
                <c:pt idx="8">
                  <c:v>269.43643175652591</c:v>
                </c:pt>
                <c:pt idx="9">
                  <c:v>317.76004743875012</c:v>
                </c:pt>
                <c:pt idx="10">
                  <c:v>211.02420751016243</c:v>
                </c:pt>
                <c:pt idx="11">
                  <c:v>221.78145788588139</c:v>
                </c:pt>
                <c:pt idx="12">
                  <c:v>163.50903033084705</c:v>
                </c:pt>
                <c:pt idx="13">
                  <c:v>340.96277514944722</c:v>
                </c:pt>
                <c:pt idx="14">
                  <c:v>376.34073993949738</c:v>
                </c:pt>
                <c:pt idx="15">
                  <c:v>317.12613313443995</c:v>
                </c:pt>
                <c:pt idx="16">
                  <c:v>318.11092539433054</c:v>
                </c:pt>
                <c:pt idx="17">
                  <c:v>445.09395465908955</c:v>
                </c:pt>
                <c:pt idx="18">
                  <c:v>356.43523817415553</c:v>
                </c:pt>
                <c:pt idx="19">
                  <c:v>289.47363733971213</c:v>
                </c:pt>
                <c:pt idx="20">
                  <c:v>328.85445751297351</c:v>
                </c:pt>
                <c:pt idx="21">
                  <c:v>286.90120177760105</c:v>
                </c:pt>
                <c:pt idx="22">
                  <c:v>262.74072767413492</c:v>
                </c:pt>
                <c:pt idx="23">
                  <c:v>194.54606868526571</c:v>
                </c:pt>
                <c:pt idx="24">
                  <c:v>183.62156330786357</c:v>
                </c:pt>
                <c:pt idx="25">
                  <c:v>176.90253325274094</c:v>
                </c:pt>
                <c:pt idx="26">
                  <c:v>183.294886922594</c:v>
                </c:pt>
                <c:pt idx="27">
                  <c:v>177.58834984887446</c:v>
                </c:pt>
                <c:pt idx="28">
                  <c:v>179.4885777542064</c:v>
                </c:pt>
                <c:pt idx="29">
                  <c:v>181.9174386739914</c:v>
                </c:pt>
                <c:pt idx="30">
                  <c:v>176.12107418379031</c:v>
                </c:pt>
                <c:pt idx="31">
                  <c:v>176.99569679563109</c:v>
                </c:pt>
                <c:pt idx="32">
                  <c:v>193.30927917316615</c:v>
                </c:pt>
                <c:pt idx="33">
                  <c:v>217.27750481068546</c:v>
                </c:pt>
                <c:pt idx="34">
                  <c:v>188.80209980681815</c:v>
                </c:pt>
              </c:numCache>
            </c:numRef>
          </c:val>
          <c:smooth val="0"/>
          <c:extLst>
            <c:ext xmlns:c16="http://schemas.microsoft.com/office/drawing/2014/chart" uri="{C3380CC4-5D6E-409C-BE32-E72D297353CC}">
              <c16:uniqueId val="{00000000-6AB6-424A-A0B0-B8CE92BC0CC6}"/>
            </c:ext>
          </c:extLst>
        </c:ser>
        <c:ser>
          <c:idx val="1"/>
          <c:order val="1"/>
          <c:tx>
            <c:strRef>
              <c:f>mm!$AQ$3</c:f>
              <c:strCache>
                <c:ptCount val="1"/>
                <c:pt idx="0">
                  <c:v>forecast</c:v>
                </c:pt>
              </c:strCache>
            </c:strRef>
          </c:tx>
          <c:marker>
            <c:symbol val="none"/>
          </c:marker>
          <c:trendline>
            <c:trendlineType val="linear"/>
            <c:dispRSqr val="0"/>
            <c:dispEq val="0"/>
          </c:trendline>
          <c:val>
            <c:numRef>
              <c:f>mm!$AQ$4:$AQ$39</c:f>
              <c:numCache>
                <c:formatCode>0.0</c:formatCode>
                <c:ptCount val="36"/>
                <c:pt idx="5">
                  <c:v>553.20857249780227</c:v>
                </c:pt>
                <c:pt idx="6">
                  <c:v>453.32019466135279</c:v>
                </c:pt>
                <c:pt idx="7">
                  <c:v>413.65569245160088</c:v>
                </c:pt>
                <c:pt idx="8">
                  <c:v>369.94905515844005</c:v>
                </c:pt>
                <c:pt idx="9">
                  <c:v>336.3278773692615</c:v>
                </c:pt>
                <c:pt idx="10">
                  <c:v>320.64415244862823</c:v>
                </c:pt>
                <c:pt idx="11">
                  <c:v>279.40703337209834</c:v>
                </c:pt>
                <c:pt idx="12">
                  <c:v>258.6045623021804</c:v>
                </c:pt>
                <c:pt idx="13">
                  <c:v>236.70223498443337</c:v>
                </c:pt>
                <c:pt idx="14">
                  <c:v>251.00750366301764</c:v>
                </c:pt>
                <c:pt idx="15">
                  <c:v>262.72364216316709</c:v>
                </c:pt>
                <c:pt idx="16">
                  <c:v>283.9440272880226</c:v>
                </c:pt>
                <c:pt idx="17">
                  <c:v>303.20992078971238</c:v>
                </c:pt>
                <c:pt idx="18">
                  <c:v>359.52690565536091</c:v>
                </c:pt>
                <c:pt idx="19">
                  <c:v>362.62139826030261</c:v>
                </c:pt>
                <c:pt idx="20">
                  <c:v>345.2479777403455</c:v>
                </c:pt>
                <c:pt idx="21">
                  <c:v>347.59364261605225</c:v>
                </c:pt>
                <c:pt idx="22">
                  <c:v>341.35169789270634</c:v>
                </c:pt>
                <c:pt idx="23">
                  <c:v>304.88105249571538</c:v>
                </c:pt>
                <c:pt idx="24">
                  <c:v>272.50321859793746</c:v>
                </c:pt>
                <c:pt idx="25">
                  <c:v>251.33280379156776</c:v>
                </c:pt>
                <c:pt idx="26">
                  <c:v>220.94241893952122</c:v>
                </c:pt>
                <c:pt idx="27">
                  <c:v>200.22115596851981</c:v>
                </c:pt>
                <c:pt idx="28">
                  <c:v>183.19068040346775</c:v>
                </c:pt>
                <c:pt idx="29">
                  <c:v>180.17918221725589</c:v>
                </c:pt>
                <c:pt idx="30">
                  <c:v>179.83835729048147</c:v>
                </c:pt>
                <c:pt idx="31">
                  <c:v>179.68206547669132</c:v>
                </c:pt>
                <c:pt idx="32">
                  <c:v>178.42222745129874</c:v>
                </c:pt>
                <c:pt idx="33">
                  <c:v>181.56641331615708</c:v>
                </c:pt>
                <c:pt idx="34">
                  <c:v>189.12419872745286</c:v>
                </c:pt>
                <c:pt idx="35">
                  <c:v>190.50113095401827</c:v>
                </c:pt>
              </c:numCache>
            </c:numRef>
          </c:val>
          <c:smooth val="0"/>
          <c:extLst>
            <c:ext xmlns:c16="http://schemas.microsoft.com/office/drawing/2014/chart" uri="{C3380CC4-5D6E-409C-BE32-E72D297353CC}">
              <c16:uniqueId val="{00000001-6AB6-424A-A0B0-B8CE92BC0CC6}"/>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'6-y'!$A$21</c:f>
              <c:strCache>
                <c:ptCount val="1"/>
                <c:pt idx="0">
                  <c:v>Totale</c:v>
                </c:pt>
              </c:strCache>
            </c:strRef>
          </c:tx>
          <c:spPr>
            <a:ln w="25400">
              <a:solidFill>
                <a:srgbClr val="FF00FF"/>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'6-y'!$B$21:$AD$21</c:f>
              <c:numCache>
                <c:formatCode>#,##0</c:formatCode>
                <c:ptCount val="29"/>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pt idx="27" formatCode="#,##0.0">
                  <c:v>151.44928000000002</c:v>
                </c:pt>
                <c:pt idx="28" formatCode="#,##0.0">
                  <c:v>159.28532782682441</c:v>
                </c:pt>
              </c:numCache>
            </c:numRef>
          </c:val>
          <c:smooth val="1"/>
          <c:extLst>
            <c:ext xmlns:c16="http://schemas.microsoft.com/office/drawing/2014/chart" uri="{C3380CC4-5D6E-409C-BE32-E72D297353CC}">
              <c16:uniqueId val="{00000000-8D9A-4C84-869A-F723A35F5082}"/>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'6-y'!$B$6:$AD$6</c:f>
              <c:numCache>
                <c:formatCode>#,##0</c:formatCode>
                <c:ptCount val="29"/>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pt idx="27" formatCode="#,##0.0">
                  <c:v>60.246340000000004</c:v>
                </c:pt>
                <c:pt idx="28" formatCode="#,##0.0">
                  <c:v>63.363510326799336</c:v>
                </c:pt>
              </c:numCache>
            </c:numRef>
          </c:val>
          <c:smooth val="1"/>
          <c:extLst>
            <c:ext xmlns:c16="http://schemas.microsoft.com/office/drawing/2014/chart" uri="{C3380CC4-5D6E-409C-BE32-E72D297353CC}">
              <c16:uniqueId val="{00000001-8D9A-4C84-869A-F723A35F5082}"/>
            </c:ext>
          </c:extLst>
        </c:ser>
        <c:ser>
          <c:idx val="2"/>
          <c:order val="2"/>
          <c:tx>
            <c:strRef>
              <c:f>'6-y'!$A$14</c:f>
              <c:strCache>
                <c:ptCount val="1"/>
                <c:pt idx="0">
                  <c:v>Produzione elettrica da impianti cogenerativi</c:v>
                </c:pt>
              </c:strCache>
            </c:strRef>
          </c:tx>
          <c:spPr>
            <a:ln w="25400">
              <a:solidFill>
                <a:srgbClr val="00FF00"/>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'6-y'!$B$14:$AD$14</c:f>
              <c:numCache>
                <c:formatCode>#,##0.0</c:formatCode>
                <c:ptCount val="29"/>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pt idx="27">
                  <c:v>91.202940000000012</c:v>
                </c:pt>
                <c:pt idx="28">
                  <c:v>95.921817500025085</c:v>
                </c:pt>
              </c:numCache>
            </c:numRef>
          </c:val>
          <c:smooth val="1"/>
          <c:extLst>
            <c:ext xmlns:c16="http://schemas.microsoft.com/office/drawing/2014/chart" uri="{C3380CC4-5D6E-409C-BE32-E72D297353CC}">
              <c16:uniqueId val="{00000002-8D9A-4C84-869A-F723A35F5082}"/>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400" b="1" i="0" u="none" strike="noStrike" baseline="0">
                    <a:solidFill>
                      <a:srgbClr val="000000"/>
                    </a:solidFill>
                    <a:latin typeface="Arial"/>
                    <a:ea typeface="Arial"/>
                    <a:cs typeface="Arial"/>
                  </a:defRPr>
                </a:pPr>
                <a:r>
                  <a:rPr lang="it-IT" sz="1400"/>
                  <a:t>Produzione termoelettrica (TWh)</a:t>
                </a:r>
              </a:p>
            </c:rich>
          </c:tx>
          <c:layout>
            <c:manualLayout>
              <c:xMode val="edge"/>
              <c:yMode val="edge"/>
              <c:x val="6.5812528686296737E-4"/>
              <c:y val="2.9501084158501242E-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mm!$BD$4:$BD$38</c:f>
              <c:numCache>
                <c:formatCode>0.0</c:formatCode>
                <c:ptCount val="35"/>
                <c:pt idx="0">
                  <c:v>641.74869793512244</c:v>
                </c:pt>
                <c:pt idx="1">
                  <c:v>640.60938767225525</c:v>
                </c:pt>
                <c:pt idx="2">
                  <c:v>623.20058347924908</c:v>
                </c:pt>
                <c:pt idx="3">
                  <c:v>607.3814162426354</c:v>
                </c:pt>
                <c:pt idx="4">
                  <c:v>607.04242700909947</c:v>
                </c:pt>
                <c:pt idx="5">
                  <c:v>610.10431732806762</c:v>
                </c:pt>
                <c:pt idx="6">
                  <c:v>602.39044540472401</c:v>
                </c:pt>
                <c:pt idx="7">
                  <c:v>587.45108075099927</c:v>
                </c:pt>
                <c:pt idx="8">
                  <c:v>587.07741786568204</c:v>
                </c:pt>
                <c:pt idx="9">
                  <c:v>566.72536451599149</c:v>
                </c:pt>
                <c:pt idx="10">
                  <c:v>556.46192751543117</c:v>
                </c:pt>
                <c:pt idx="11">
                  <c:v>554.44406154261401</c:v>
                </c:pt>
                <c:pt idx="12">
                  <c:v>565.57297249393037</c:v>
                </c:pt>
                <c:pt idx="13">
                  <c:v>532.79561199459158</c:v>
                </c:pt>
                <c:pt idx="14">
                  <c:v>597.63099970252586</c:v>
                </c:pt>
                <c:pt idx="15">
                  <c:v>571.94377387630698</c:v>
                </c:pt>
                <c:pt idx="16">
                  <c:v>562.43342162720228</c:v>
                </c:pt>
                <c:pt idx="17">
                  <c:v>549.07320412415152</c:v>
                </c:pt>
                <c:pt idx="18">
                  <c:v>542.90262198517496</c:v>
                </c:pt>
                <c:pt idx="19">
                  <c:v>528.42693514697487</c:v>
                </c:pt>
                <c:pt idx="20">
                  <c:v>526.3129167115593</c:v>
                </c:pt>
                <c:pt idx="21">
                  <c:v>523.27715367380472</c:v>
                </c:pt>
                <c:pt idx="22">
                  <c:v>532.20039547814781</c:v>
                </c:pt>
                <c:pt idx="23">
                  <c:v>508.5175238657676</c:v>
                </c:pt>
                <c:pt idx="24">
                  <c:v>516.53669026369857</c:v>
                </c:pt>
                <c:pt idx="25">
                  <c:v>492.30278179801905</c:v>
                </c:pt>
                <c:pt idx="26">
                  <c:v>470.66104108873679</c:v>
                </c:pt>
                <c:pt idx="27">
                  <c:v>450.18648326345703</c:v>
                </c:pt>
                <c:pt idx="28">
                  <c:v>449.51733448035259</c:v>
                </c:pt>
                <c:pt idx="29">
                  <c:v>420.57379487934037</c:v>
                </c:pt>
                <c:pt idx="30">
                  <c:v>405.19183200859817</c:v>
                </c:pt>
                <c:pt idx="31">
                  <c:v>410.84231967688788</c:v>
                </c:pt>
                <c:pt idx="32">
                  <c:v>435.08334003427979</c:v>
                </c:pt>
                <c:pt idx="33">
                  <c:v>414.90312101526052</c:v>
                </c:pt>
                <c:pt idx="34">
                  <c:v>370.69254703068754</c:v>
                </c:pt>
              </c:numCache>
            </c:numRef>
          </c:val>
          <c:smooth val="0"/>
          <c:extLst>
            <c:ext xmlns:c16="http://schemas.microsoft.com/office/drawing/2014/chart" uri="{C3380CC4-5D6E-409C-BE32-E72D297353CC}">
              <c16:uniqueId val="{00000000-4515-423C-8371-FD4601A1F94E}"/>
            </c:ext>
          </c:extLst>
        </c:ser>
        <c:ser>
          <c:idx val="1"/>
          <c:order val="1"/>
          <c:tx>
            <c:v>forecast</c:v>
          </c:tx>
          <c:marker>
            <c:symbol val="none"/>
          </c:marker>
          <c:val>
            <c:numRef>
              <c:f>mm!$BE$4:$BE$39</c:f>
              <c:numCache>
                <c:formatCode>0.0</c:formatCode>
                <c:ptCount val="36"/>
                <c:pt idx="5">
                  <c:v>623.99650246767226</c:v>
                </c:pt>
                <c:pt idx="6">
                  <c:v>617.66762634626139</c:v>
                </c:pt>
                <c:pt idx="7">
                  <c:v>610.02383789275518</c:v>
                </c:pt>
                <c:pt idx="8">
                  <c:v>602.8739373471052</c:v>
                </c:pt>
                <c:pt idx="9">
                  <c:v>598.81313767171446</c:v>
                </c:pt>
                <c:pt idx="10">
                  <c:v>590.74972517309288</c:v>
                </c:pt>
                <c:pt idx="11">
                  <c:v>580.02124721056555</c:v>
                </c:pt>
                <c:pt idx="12">
                  <c:v>570.43197043814359</c:v>
                </c:pt>
                <c:pt idx="13">
                  <c:v>566.0563487867297</c:v>
                </c:pt>
                <c:pt idx="14">
                  <c:v>555.19998761251168</c:v>
                </c:pt>
                <c:pt idx="15">
                  <c:v>561.38111464981853</c:v>
                </c:pt>
                <c:pt idx="16">
                  <c:v>564.47748392199378</c:v>
                </c:pt>
                <c:pt idx="17">
                  <c:v>566.07535593891146</c:v>
                </c:pt>
                <c:pt idx="18">
                  <c:v>562.77540226495569</c:v>
                </c:pt>
                <c:pt idx="19">
                  <c:v>564.7968042630722</c:v>
                </c:pt>
                <c:pt idx="20">
                  <c:v>550.9559913519621</c:v>
                </c:pt>
                <c:pt idx="21">
                  <c:v>541.82981991901261</c:v>
                </c:pt>
                <c:pt idx="22">
                  <c:v>533.99856632833303</c:v>
                </c:pt>
                <c:pt idx="23">
                  <c:v>530.62400459913226</c:v>
                </c:pt>
                <c:pt idx="24">
                  <c:v>523.74698497525083</c:v>
                </c:pt>
                <c:pt idx="25">
                  <c:v>521.36893599859559</c:v>
                </c:pt>
                <c:pt idx="26">
                  <c:v>514.56690901588752</c:v>
                </c:pt>
                <c:pt idx="27">
                  <c:v>504.04368649887402</c:v>
                </c:pt>
                <c:pt idx="28">
                  <c:v>487.64090405593578</c:v>
                </c:pt>
                <c:pt idx="29">
                  <c:v>475.84086617885276</c:v>
                </c:pt>
                <c:pt idx="30">
                  <c:v>456.64828710198117</c:v>
                </c:pt>
                <c:pt idx="31">
                  <c:v>439.22609714409703</c:v>
                </c:pt>
                <c:pt idx="32">
                  <c:v>427.26235286172721</c:v>
                </c:pt>
                <c:pt idx="33">
                  <c:v>424.24172421589174</c:v>
                </c:pt>
                <c:pt idx="34">
                  <c:v>417.31888152287337</c:v>
                </c:pt>
                <c:pt idx="35">
                  <c:v>407.34263195314281</c:v>
                </c:pt>
              </c:numCache>
            </c:numRef>
          </c:val>
          <c:smooth val="0"/>
          <c:extLst>
            <c:ext xmlns:c16="http://schemas.microsoft.com/office/drawing/2014/chart" uri="{C3380CC4-5D6E-409C-BE32-E72D297353CC}">
              <c16:uniqueId val="{00000001-4515-423C-8371-FD4601A1F94E}"/>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mm!$AW$3</c:f>
              <c:strCache>
                <c:ptCount val="1"/>
                <c:pt idx="0">
                  <c:v>Rifiuti non rinnovabili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mm!$AW$4:$AW$38</c:f>
              <c:numCache>
                <c:formatCode>0.0</c:formatCode>
                <c:ptCount val="35"/>
                <c:pt idx="0">
                  <c:v>1833.3033841501176</c:v>
                </c:pt>
                <c:pt idx="1">
                  <c:v>983.28191647127699</c:v>
                </c:pt>
                <c:pt idx="2">
                  <c:v>983.10770677077187</c:v>
                </c:pt>
                <c:pt idx="3">
                  <c:v>875.08464140483704</c:v>
                </c:pt>
                <c:pt idx="4">
                  <c:v>1210.1302124971669</c:v>
                </c:pt>
                <c:pt idx="5">
                  <c:v>1884.9548585981836</c:v>
                </c:pt>
                <c:pt idx="6">
                  <c:v>1630.3164351320113</c:v>
                </c:pt>
                <c:pt idx="7">
                  <c:v>1755.3616598192932</c:v>
                </c:pt>
                <c:pt idx="8">
                  <c:v>1409.5358128409337</c:v>
                </c:pt>
                <c:pt idx="9">
                  <c:v>1770.4051542813002</c:v>
                </c:pt>
                <c:pt idx="10">
                  <c:v>997.97791034673412</c:v>
                </c:pt>
                <c:pt idx="11">
                  <c:v>911.75842692959532</c:v>
                </c:pt>
                <c:pt idx="12">
                  <c:v>715.68456066264173</c:v>
                </c:pt>
                <c:pt idx="13">
                  <c:v>1690.9826687416155</c:v>
                </c:pt>
                <c:pt idx="14">
                  <c:v>1863.4899317829795</c:v>
                </c:pt>
                <c:pt idx="15">
                  <c:v>1490.1550840395191</c:v>
                </c:pt>
                <c:pt idx="16">
                  <c:v>1471.2548497665796</c:v>
                </c:pt>
                <c:pt idx="17">
                  <c:v>2046.3815878296209</c:v>
                </c:pt>
                <c:pt idx="18">
                  <c:v>1607.8651280028391</c:v>
                </c:pt>
                <c:pt idx="19">
                  <c:v>1523.6735407225917</c:v>
                </c:pt>
                <c:pt idx="20">
                  <c:v>1776.3301888816188</c:v>
                </c:pt>
                <c:pt idx="21">
                  <c:v>1635.4924702244148</c:v>
                </c:pt>
                <c:pt idx="22">
                  <c:v>1710.661406639191</c:v>
                </c:pt>
                <c:pt idx="23">
                  <c:v>1644.6643620579669</c:v>
                </c:pt>
                <c:pt idx="24">
                  <c:v>1586.7827352181505</c:v>
                </c:pt>
                <c:pt idx="25">
                  <c:v>1590.0608793030674</c:v>
                </c:pt>
                <c:pt idx="26">
                  <c:v>1611.8541258735404</c:v>
                </c:pt>
                <c:pt idx="27">
                  <c:v>1570.2526208586301</c:v>
                </c:pt>
                <c:pt idx="28">
                  <c:v>1584.0604622578774</c:v>
                </c:pt>
                <c:pt idx="29">
                  <c:v>1647.3993874722655</c:v>
                </c:pt>
                <c:pt idx="30">
                  <c:v>1615.5511777705419</c:v>
                </c:pt>
                <c:pt idx="31">
                  <c:v>1595.5872747041751</c:v>
                </c:pt>
                <c:pt idx="32">
                  <c:v>1614.518837669845</c:v>
                </c:pt>
                <c:pt idx="33">
                  <c:v>1665.9397853433486</c:v>
                </c:pt>
                <c:pt idx="34">
                  <c:v>1592.5388647610607</c:v>
                </c:pt>
              </c:numCache>
            </c:numRef>
          </c:val>
          <c:smooth val="0"/>
          <c:extLst>
            <c:ext xmlns:c16="http://schemas.microsoft.com/office/drawing/2014/chart" uri="{C3380CC4-5D6E-409C-BE32-E72D297353CC}">
              <c16:uniqueId val="{00000000-1740-4ADA-90FD-145121C85562}"/>
            </c:ext>
          </c:extLst>
        </c:ser>
        <c:ser>
          <c:idx val="1"/>
          <c:order val="1"/>
          <c:tx>
            <c:strRef>
              <c:f>mm!$AQ$3</c:f>
              <c:strCache>
                <c:ptCount val="1"/>
                <c:pt idx="0">
                  <c:v>forecast</c:v>
                </c:pt>
              </c:strCache>
            </c:strRef>
          </c:tx>
          <c:marker>
            <c:symbol val="none"/>
          </c:marker>
          <c:trendline>
            <c:trendlineType val="linear"/>
            <c:dispRSqr val="0"/>
            <c:dispEq val="0"/>
          </c:trendline>
          <c:val>
            <c:numRef>
              <c:f>mm!$AX$4:$AX$39</c:f>
              <c:numCache>
                <c:formatCode>0.0</c:formatCode>
                <c:ptCount val="36"/>
                <c:pt idx="5">
                  <c:v>1176.9815722588341</c:v>
                </c:pt>
                <c:pt idx="6">
                  <c:v>1187.3118671484474</c:v>
                </c:pt>
                <c:pt idx="7">
                  <c:v>1316.7187708805941</c:v>
                </c:pt>
                <c:pt idx="8">
                  <c:v>1471.1695614902983</c:v>
                </c:pt>
                <c:pt idx="9">
                  <c:v>1578.0597957775176</c:v>
                </c:pt>
                <c:pt idx="10">
                  <c:v>1690.1147841343441</c:v>
                </c:pt>
                <c:pt idx="11">
                  <c:v>1512.7193944840546</c:v>
                </c:pt>
                <c:pt idx="12">
                  <c:v>1369.0077928435712</c:v>
                </c:pt>
                <c:pt idx="13">
                  <c:v>1161.0723730122411</c:v>
                </c:pt>
                <c:pt idx="14">
                  <c:v>1217.3617441923775</c:v>
                </c:pt>
                <c:pt idx="15">
                  <c:v>1235.9786996927132</c:v>
                </c:pt>
                <c:pt idx="16">
                  <c:v>1334.4141344312702</c:v>
                </c:pt>
                <c:pt idx="17">
                  <c:v>1446.3134189986672</c:v>
                </c:pt>
                <c:pt idx="18">
                  <c:v>1712.4528244320632</c:v>
                </c:pt>
                <c:pt idx="19">
                  <c:v>1695.8293162843079</c:v>
                </c:pt>
                <c:pt idx="20">
                  <c:v>1627.8660380722299</c:v>
                </c:pt>
                <c:pt idx="21">
                  <c:v>1685.1010590406499</c:v>
                </c:pt>
                <c:pt idx="22">
                  <c:v>1717.948583132217</c:v>
                </c:pt>
                <c:pt idx="23">
                  <c:v>1650.8045468941309</c:v>
                </c:pt>
                <c:pt idx="24">
                  <c:v>1658.1643937051565</c:v>
                </c:pt>
                <c:pt idx="25">
                  <c:v>1670.7862326042687</c:v>
                </c:pt>
                <c:pt idx="26">
                  <c:v>1633.5323706885581</c:v>
                </c:pt>
                <c:pt idx="27">
                  <c:v>1628.8047018183831</c:v>
                </c:pt>
                <c:pt idx="28">
                  <c:v>1600.7229446622709</c:v>
                </c:pt>
                <c:pt idx="29">
                  <c:v>1588.602164702253</c:v>
                </c:pt>
                <c:pt idx="30">
                  <c:v>1600.7254951530763</c:v>
                </c:pt>
                <c:pt idx="31">
                  <c:v>1605.8235548465709</c:v>
                </c:pt>
                <c:pt idx="32">
                  <c:v>1602.5701846126979</c:v>
                </c:pt>
                <c:pt idx="33">
                  <c:v>1611.423427974941</c:v>
                </c:pt>
                <c:pt idx="34">
                  <c:v>1627.7992925920353</c:v>
                </c:pt>
                <c:pt idx="35">
                  <c:v>1616.8271880497944</c:v>
                </c:pt>
              </c:numCache>
            </c:numRef>
          </c:val>
          <c:smooth val="0"/>
          <c:extLst>
            <c:ext xmlns:c16="http://schemas.microsoft.com/office/drawing/2014/chart" uri="{C3380CC4-5D6E-409C-BE32-E72D297353CC}">
              <c16:uniqueId val="{00000001-1740-4ADA-90FD-145121C85562}"/>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mm!$BM$4:$BM$38</c:f>
              <c:numCache>
                <c:formatCode>0.0</c:formatCode>
                <c:ptCount val="35"/>
                <c:pt idx="0">
                  <c:v>612.33225301481616</c:v>
                </c:pt>
                <c:pt idx="1">
                  <c:v>611.70151081122935</c:v>
                </c:pt>
                <c:pt idx="2">
                  <c:v>606.37380925863977</c:v>
                </c:pt>
                <c:pt idx="3">
                  <c:v>604.61631453346911</c:v>
                </c:pt>
                <c:pt idx="4">
                  <c:v>603.48385802592486</c:v>
                </c:pt>
                <c:pt idx="5">
                  <c:v>603.81602299217047</c:v>
                </c:pt>
                <c:pt idx="6">
                  <c:v>605.33589362763132</c:v>
                </c:pt>
                <c:pt idx="7">
                  <c:v>606.21896638670694</c:v>
                </c:pt>
                <c:pt idx="8">
                  <c:v>604.79731154875515</c:v>
                </c:pt>
                <c:pt idx="9">
                  <c:v>611.2287337191359</c:v>
                </c:pt>
                <c:pt idx="10">
                  <c:v>633.07698938102794</c:v>
                </c:pt>
                <c:pt idx="11">
                  <c:v>646.36227102623684</c:v>
                </c:pt>
                <c:pt idx="12">
                  <c:v>606.70441864413749</c:v>
                </c:pt>
                <c:pt idx="13">
                  <c:v>616.00167944880309</c:v>
                </c:pt>
                <c:pt idx="14">
                  <c:v>698.88089245519848</c:v>
                </c:pt>
                <c:pt idx="15">
                  <c:v>693.71088878781973</c:v>
                </c:pt>
                <c:pt idx="16">
                  <c:v>706.13538042020821</c:v>
                </c:pt>
                <c:pt idx="17">
                  <c:v>723.41144388655789</c:v>
                </c:pt>
                <c:pt idx="18">
                  <c:v>713.4351937364969</c:v>
                </c:pt>
                <c:pt idx="19">
                  <c:v>731.88009586148451</c:v>
                </c:pt>
                <c:pt idx="20">
                  <c:v>678.30262613244281</c:v>
                </c:pt>
                <c:pt idx="21">
                  <c:v>661.28697740645339</c:v>
                </c:pt>
                <c:pt idx="22">
                  <c:v>723.69720986405696</c:v>
                </c:pt>
                <c:pt idx="23">
                  <c:v>626.69909243354834</c:v>
                </c:pt>
                <c:pt idx="24">
                  <c:v>688.74475782906984</c:v>
                </c:pt>
                <c:pt idx="25">
                  <c:v>616.9859015481336</c:v>
                </c:pt>
                <c:pt idx="26">
                  <c:v>565.62539343130481</c:v>
                </c:pt>
                <c:pt idx="27">
                  <c:v>566.91165923634912</c:v>
                </c:pt>
                <c:pt idx="28">
                  <c:v>519.37285205413082</c:v>
                </c:pt>
                <c:pt idx="29">
                  <c:v>522.77184670124836</c:v>
                </c:pt>
                <c:pt idx="30">
                  <c:v>509.30334397004083</c:v>
                </c:pt>
                <c:pt idx="31">
                  <c:v>589.96187093270316</c:v>
                </c:pt>
                <c:pt idx="32">
                  <c:v>578.82792367844831</c:v>
                </c:pt>
                <c:pt idx="33">
                  <c:v>553.8110108134872</c:v>
                </c:pt>
                <c:pt idx="34">
                  <c:v>476.57116503399055</c:v>
                </c:pt>
              </c:numCache>
            </c:numRef>
          </c:val>
          <c:smooth val="0"/>
          <c:extLst>
            <c:ext xmlns:c16="http://schemas.microsoft.com/office/drawing/2014/chart" uri="{C3380CC4-5D6E-409C-BE32-E72D297353CC}">
              <c16:uniqueId val="{00000000-3D25-4BB2-9EEB-FE50019D2D13}"/>
            </c:ext>
          </c:extLst>
        </c:ser>
        <c:ser>
          <c:idx val="1"/>
          <c:order val="1"/>
          <c:marker>
            <c:symbol val="none"/>
          </c:marker>
          <c:val>
            <c:numRef>
              <c:f>mm!$BN$4:$BN$39</c:f>
              <c:numCache>
                <c:formatCode>0.0</c:formatCode>
                <c:ptCount val="36"/>
                <c:pt idx="5">
                  <c:v>607.70154912881583</c:v>
                </c:pt>
                <c:pt idx="6">
                  <c:v>605.99830312428662</c:v>
                </c:pt>
                <c:pt idx="7">
                  <c:v>604.72517968756711</c:v>
                </c:pt>
                <c:pt idx="8">
                  <c:v>604.69421111318047</c:v>
                </c:pt>
                <c:pt idx="9">
                  <c:v>604.73041051623773</c:v>
                </c:pt>
                <c:pt idx="10">
                  <c:v>606.27938565488</c:v>
                </c:pt>
                <c:pt idx="11">
                  <c:v>612.13157893265156</c:v>
                </c:pt>
                <c:pt idx="12">
                  <c:v>620.33685441237253</c:v>
                </c:pt>
                <c:pt idx="13">
                  <c:v>620.43394486385864</c:v>
                </c:pt>
                <c:pt idx="14">
                  <c:v>622.67481844386816</c:v>
                </c:pt>
                <c:pt idx="15">
                  <c:v>640.20525019108084</c:v>
                </c:pt>
                <c:pt idx="16">
                  <c:v>652.33203007243912</c:v>
                </c:pt>
                <c:pt idx="17">
                  <c:v>664.28665195123335</c:v>
                </c:pt>
                <c:pt idx="18">
                  <c:v>687.62805699971739</c:v>
                </c:pt>
                <c:pt idx="19">
                  <c:v>707.11475985725622</c:v>
                </c:pt>
                <c:pt idx="20">
                  <c:v>713.71460053851331</c:v>
                </c:pt>
                <c:pt idx="21">
                  <c:v>710.63294800743802</c:v>
                </c:pt>
                <c:pt idx="22">
                  <c:v>701.66326740468708</c:v>
                </c:pt>
                <c:pt idx="23">
                  <c:v>701.7204206001868</c:v>
                </c:pt>
                <c:pt idx="24">
                  <c:v>684.37320033959725</c:v>
                </c:pt>
                <c:pt idx="25">
                  <c:v>675.74613273311422</c:v>
                </c:pt>
                <c:pt idx="26">
                  <c:v>663.48278781625254</c:v>
                </c:pt>
                <c:pt idx="27">
                  <c:v>644.35047102122269</c:v>
                </c:pt>
                <c:pt idx="28">
                  <c:v>612.99336089568112</c:v>
                </c:pt>
                <c:pt idx="29">
                  <c:v>591.52811281979757</c:v>
                </c:pt>
                <c:pt idx="30">
                  <c:v>558.33353059423337</c:v>
                </c:pt>
                <c:pt idx="31">
                  <c:v>536.79701907861477</c:v>
                </c:pt>
                <c:pt idx="32">
                  <c:v>541.6643145788945</c:v>
                </c:pt>
                <c:pt idx="33">
                  <c:v>544.04756746731425</c:v>
                </c:pt>
                <c:pt idx="34">
                  <c:v>550.93519921918562</c:v>
                </c:pt>
                <c:pt idx="35">
                  <c:v>541.69506288573405</c:v>
                </c:pt>
              </c:numCache>
            </c:numRef>
          </c:val>
          <c:smooth val="0"/>
          <c:extLst>
            <c:ext xmlns:c16="http://schemas.microsoft.com/office/drawing/2014/chart" uri="{C3380CC4-5D6E-409C-BE32-E72D297353CC}">
              <c16:uniqueId val="{00000001-3D25-4BB2-9EEB-FE50019D2D13}"/>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mm!$BV$4:$BV$38</c:f>
              <c:numCache>
                <c:formatCode>0.0</c:formatCode>
                <c:ptCount val="35"/>
                <c:pt idx="0">
                  <c:v>927.00177120091689</c:v>
                </c:pt>
                <c:pt idx="1">
                  <c:v>907.91392862791383</c:v>
                </c:pt>
                <c:pt idx="2">
                  <c:v>807.39517424770531</c:v>
                </c:pt>
                <c:pt idx="3">
                  <c:v>832.49554054412874</c:v>
                </c:pt>
                <c:pt idx="4">
                  <c:v>823.04826996704446</c:v>
                </c:pt>
                <c:pt idx="5">
                  <c:v>800.2480227348367</c:v>
                </c:pt>
                <c:pt idx="6">
                  <c:v>703.52587554513514</c:v>
                </c:pt>
                <c:pt idx="7">
                  <c:v>717.86712744658462</c:v>
                </c:pt>
                <c:pt idx="8">
                  <c:v>726.95962506867966</c:v>
                </c:pt>
                <c:pt idx="9">
                  <c:v>637.70485494774016</c:v>
                </c:pt>
                <c:pt idx="10">
                  <c:v>580.33066214183395</c:v>
                </c:pt>
                <c:pt idx="11">
                  <c:v>562.00885828423839</c:v>
                </c:pt>
                <c:pt idx="12">
                  <c:v>539.79276496253829</c:v>
                </c:pt>
                <c:pt idx="13">
                  <c:v>555.67853767720158</c:v>
                </c:pt>
                <c:pt idx="14">
                  <c:v>713.486928606574</c:v>
                </c:pt>
                <c:pt idx="15">
                  <c:v>757.53777996045164</c:v>
                </c:pt>
                <c:pt idx="16">
                  <c:v>817.19160858970849</c:v>
                </c:pt>
                <c:pt idx="17">
                  <c:v>829.46748282204783</c:v>
                </c:pt>
                <c:pt idx="18">
                  <c:v>781.06983644463719</c:v>
                </c:pt>
                <c:pt idx="19">
                  <c:v>698.91236642799981</c:v>
                </c:pt>
                <c:pt idx="20">
                  <c:v>876.83309436190905</c:v>
                </c:pt>
                <c:pt idx="21">
                  <c:v>884.35918816637638</c:v>
                </c:pt>
                <c:pt idx="22">
                  <c:v>837.08002114387205</c:v>
                </c:pt>
                <c:pt idx="23">
                  <c:v>791.89274972394253</c:v>
                </c:pt>
                <c:pt idx="24">
                  <c:v>831.64573564172849</c:v>
                </c:pt>
                <c:pt idx="25">
                  <c:v>795.83431996527554</c:v>
                </c:pt>
                <c:pt idx="26">
                  <c:v>814.96455054368664</c:v>
                </c:pt>
                <c:pt idx="27">
                  <c:v>778.36355542980914</c:v>
                </c:pt>
                <c:pt idx="28">
                  <c:v>819.43832212653774</c:v>
                </c:pt>
                <c:pt idx="29">
                  <c:v>787.31711903079804</c:v>
                </c:pt>
                <c:pt idx="30">
                  <c:v>729.15822032630717</c:v>
                </c:pt>
                <c:pt idx="31">
                  <c:v>819.9996135641444</c:v>
                </c:pt>
                <c:pt idx="32">
                  <c:v>721.66447000041308</c:v>
                </c:pt>
                <c:pt idx="33">
                  <c:v>738.50643615099534</c:v>
                </c:pt>
                <c:pt idx="34">
                  <c:v>684.79537230176857</c:v>
                </c:pt>
              </c:numCache>
            </c:numRef>
          </c:val>
          <c:smooth val="0"/>
          <c:extLst>
            <c:ext xmlns:c16="http://schemas.microsoft.com/office/drawing/2014/chart" uri="{C3380CC4-5D6E-409C-BE32-E72D297353CC}">
              <c16:uniqueId val="{00000000-0B21-4B4F-90C4-966BD5E715B0}"/>
            </c:ext>
          </c:extLst>
        </c:ser>
        <c:ser>
          <c:idx val="1"/>
          <c:order val="1"/>
          <c:marker>
            <c:symbol val="none"/>
          </c:marker>
          <c:val>
            <c:numRef>
              <c:f>mm!$BW$4:$BW$39</c:f>
              <c:numCache>
                <c:formatCode>0.0</c:formatCode>
                <c:ptCount val="36"/>
                <c:pt idx="5">
                  <c:v>859.57093691754176</c:v>
                </c:pt>
                <c:pt idx="6">
                  <c:v>834.22018722432585</c:v>
                </c:pt>
                <c:pt idx="7">
                  <c:v>793.34257660777007</c:v>
                </c:pt>
                <c:pt idx="8">
                  <c:v>775.43696724754591</c:v>
                </c:pt>
                <c:pt idx="9">
                  <c:v>754.32978415245611</c:v>
                </c:pt>
                <c:pt idx="10">
                  <c:v>717.26110114859534</c:v>
                </c:pt>
                <c:pt idx="11">
                  <c:v>673.27762902999473</c:v>
                </c:pt>
                <c:pt idx="12">
                  <c:v>644.97422557781533</c:v>
                </c:pt>
                <c:pt idx="13">
                  <c:v>609.35935308100613</c:v>
                </c:pt>
                <c:pt idx="14">
                  <c:v>575.10313560271038</c:v>
                </c:pt>
                <c:pt idx="15">
                  <c:v>590.25955033447724</c:v>
                </c:pt>
                <c:pt idx="16">
                  <c:v>625.7009738982008</c:v>
                </c:pt>
                <c:pt idx="17">
                  <c:v>676.73752395929478</c:v>
                </c:pt>
                <c:pt idx="18">
                  <c:v>734.67246753119673</c:v>
                </c:pt>
                <c:pt idx="19">
                  <c:v>779.75072728468388</c:v>
                </c:pt>
                <c:pt idx="20">
                  <c:v>776.83581484896899</c:v>
                </c:pt>
                <c:pt idx="21">
                  <c:v>800.6948777292605</c:v>
                </c:pt>
                <c:pt idx="22">
                  <c:v>814.1283936445941</c:v>
                </c:pt>
                <c:pt idx="23">
                  <c:v>815.65090130895896</c:v>
                </c:pt>
                <c:pt idx="24">
                  <c:v>817.81548396482003</c:v>
                </c:pt>
                <c:pt idx="25">
                  <c:v>844.36215780756561</c:v>
                </c:pt>
                <c:pt idx="26">
                  <c:v>828.16240292823898</c:v>
                </c:pt>
                <c:pt idx="27">
                  <c:v>814.283475403701</c:v>
                </c:pt>
                <c:pt idx="28">
                  <c:v>802.54018226088851</c:v>
                </c:pt>
                <c:pt idx="29">
                  <c:v>808.04929674140749</c:v>
                </c:pt>
                <c:pt idx="30">
                  <c:v>799.18357341922137</c:v>
                </c:pt>
                <c:pt idx="31">
                  <c:v>785.84835349142782</c:v>
                </c:pt>
                <c:pt idx="32">
                  <c:v>786.85536609551934</c:v>
                </c:pt>
                <c:pt idx="33">
                  <c:v>775.51554900964015</c:v>
                </c:pt>
                <c:pt idx="34">
                  <c:v>759.32917181453161</c:v>
                </c:pt>
                <c:pt idx="35">
                  <c:v>738.82482246872564</c:v>
                </c:pt>
              </c:numCache>
            </c:numRef>
          </c:val>
          <c:smooth val="0"/>
          <c:extLst>
            <c:ext xmlns:c16="http://schemas.microsoft.com/office/drawing/2014/chart" uri="{C3380CC4-5D6E-409C-BE32-E72D297353CC}">
              <c16:uniqueId val="{00000001-0B21-4B4F-90C4-966BD5E715B0}"/>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1755294758911E-2"/>
          <c:y val="4.3033022035036568E-2"/>
          <c:w val="0.7839397683767404"/>
          <c:h val="0.76652292010010381"/>
        </c:manualLayout>
      </c:layout>
      <c:barChart>
        <c:barDir val="col"/>
        <c:grouping val="stacked"/>
        <c:varyColors val="0"/>
        <c:ser>
          <c:idx val="0"/>
          <c:order val="0"/>
          <c:tx>
            <c:strRef>
              <c:f>lorda!$B$7</c:f>
              <c:strCache>
                <c:ptCount val="1"/>
                <c:pt idx="0">
                  <c:v>CI</c:v>
                </c:pt>
              </c:strCache>
            </c:strRef>
          </c:tx>
          <c:spPr>
            <a:solidFill>
              <a:srgbClr val="FF00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lorda!$C$7:$W$7</c:f>
              <c:numCache>
                <c:formatCode>_(* #,##0.0_);_(* \(#,##0.0\);_(* "-"??_);_(@_)</c:formatCode>
                <c:ptCount val="21"/>
                <c:pt idx="0">
                  <c:v>0.41899999999999998</c:v>
                </c:pt>
                <c:pt idx="1">
                  <c:v>0.504</c:v>
                </c:pt>
                <c:pt idx="2">
                  <c:v>0.52800000000000002</c:v>
                </c:pt>
                <c:pt idx="3">
                  <c:v>0.55900000000000005</c:v>
                </c:pt>
                <c:pt idx="4">
                  <c:v>0.63</c:v>
                </c:pt>
                <c:pt idx="5">
                  <c:v>0.72299999999999998</c:v>
                </c:pt>
                <c:pt idx="6">
                  <c:v>0.89100000000000001</c:v>
                </c:pt>
                <c:pt idx="7">
                  <c:v>1.0515999999999999</c:v>
                </c:pt>
                <c:pt idx="8">
                  <c:v>1.3879999999999999</c:v>
                </c:pt>
                <c:pt idx="9">
                  <c:v>1.3888</c:v>
                </c:pt>
                <c:pt idx="10">
                  <c:v>1.3180000000000001</c:v>
                </c:pt>
                <c:pt idx="11">
                  <c:v>1.2370000000000001</c:v>
                </c:pt>
                <c:pt idx="12">
                  <c:v>1.2364999999999999</c:v>
                </c:pt>
                <c:pt idx="13">
                  <c:v>1.2402</c:v>
                </c:pt>
                <c:pt idx="14">
                  <c:v>1.224</c:v>
                </c:pt>
                <c:pt idx="15">
                  <c:v>1.2035</c:v>
                </c:pt>
                <c:pt idx="16">
                  <c:v>1.1915</c:v>
                </c:pt>
                <c:pt idx="17">
                  <c:v>1.1418999999999999</c:v>
                </c:pt>
                <c:pt idx="18">
                  <c:v>1.2854000000000001</c:v>
                </c:pt>
                <c:pt idx="19">
                  <c:v>1.5024</c:v>
                </c:pt>
                <c:pt idx="20">
                  <c:v>1.6067</c:v>
                </c:pt>
              </c:numCache>
            </c:numRef>
          </c:val>
          <c:extLst>
            <c:ext xmlns:c16="http://schemas.microsoft.com/office/drawing/2014/chart" uri="{C3380CC4-5D6E-409C-BE32-E72D297353CC}">
              <c16:uniqueId val="{00000000-B697-4EAA-9C4D-893B19AA24BC}"/>
            </c:ext>
          </c:extLst>
        </c:ser>
        <c:ser>
          <c:idx val="1"/>
          <c:order val="1"/>
          <c:tx>
            <c:strRef>
              <c:f>lorda!$B$8</c:f>
              <c:strCache>
                <c:ptCount val="1"/>
                <c:pt idx="0">
                  <c:v>TG</c:v>
                </c:pt>
              </c:strCache>
            </c:strRef>
          </c:tx>
          <c:spPr>
            <a:solidFill>
              <a:srgbClr val="FFFF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lorda!$C$8:$W$8</c:f>
              <c:numCache>
                <c:formatCode>_(* #,##0.0_);_(* \(#,##0.0\);_(* "-"??_);_(@_)</c:formatCode>
                <c:ptCount val="21"/>
                <c:pt idx="0">
                  <c:v>4.4829999999999997</c:v>
                </c:pt>
                <c:pt idx="1">
                  <c:v>2.98</c:v>
                </c:pt>
                <c:pt idx="2">
                  <c:v>2.968</c:v>
                </c:pt>
                <c:pt idx="3">
                  <c:v>2.9790000000000001</c:v>
                </c:pt>
                <c:pt idx="4">
                  <c:v>3.0990000000000002</c:v>
                </c:pt>
                <c:pt idx="5">
                  <c:v>2.5019999999999998</c:v>
                </c:pt>
                <c:pt idx="6">
                  <c:v>2.5169999999999999</c:v>
                </c:pt>
                <c:pt idx="7">
                  <c:v>2.5489999999999999</c:v>
                </c:pt>
                <c:pt idx="8">
                  <c:v>2.5464000000000002</c:v>
                </c:pt>
                <c:pt idx="9">
                  <c:v>2.0970999999999997</c:v>
                </c:pt>
                <c:pt idx="10">
                  <c:v>1.5161</c:v>
                </c:pt>
                <c:pt idx="11">
                  <c:v>2.1242999999999999</c:v>
                </c:pt>
                <c:pt idx="12">
                  <c:v>2.7189999999999999</c:v>
                </c:pt>
                <c:pt idx="13">
                  <c:v>2.7187000000000001</c:v>
                </c:pt>
                <c:pt idx="14">
                  <c:v>2.7185999999999999</c:v>
                </c:pt>
                <c:pt idx="15">
                  <c:v>2.7061000000000002</c:v>
                </c:pt>
                <c:pt idx="16">
                  <c:v>2.3544999999999998</c:v>
                </c:pt>
                <c:pt idx="17">
                  <c:v>2.3544999999999998</c:v>
                </c:pt>
                <c:pt idx="18">
                  <c:v>2.363</c:v>
                </c:pt>
                <c:pt idx="19">
                  <c:v>2.6154999999999999</c:v>
                </c:pt>
                <c:pt idx="20">
                  <c:v>2.2927</c:v>
                </c:pt>
              </c:numCache>
            </c:numRef>
          </c:val>
          <c:extLst>
            <c:ext xmlns:c16="http://schemas.microsoft.com/office/drawing/2014/chart" uri="{C3380CC4-5D6E-409C-BE32-E72D297353CC}">
              <c16:uniqueId val="{00000001-B697-4EAA-9C4D-893B19AA24BC}"/>
            </c:ext>
          </c:extLst>
        </c:ser>
        <c:ser>
          <c:idx val="2"/>
          <c:order val="2"/>
          <c:tx>
            <c:strRef>
              <c:f>lorda!$B$9</c:f>
              <c:strCache>
                <c:ptCount val="1"/>
                <c:pt idx="0">
                  <c:v>C</c:v>
                </c:pt>
              </c:strCache>
            </c:strRef>
          </c:tx>
          <c:spPr>
            <a:solidFill>
              <a:schemeClr val="accent1">
                <a:lumMod val="40000"/>
                <a:lumOff val="6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lorda!$C$9:$W$9</c:f>
              <c:numCache>
                <c:formatCode>_(* #,##0.0_);_(* \(#,##0.0\);_(* "-"??_);_(@_)</c:formatCode>
                <c:ptCount val="21"/>
                <c:pt idx="0">
                  <c:v>37.54</c:v>
                </c:pt>
                <c:pt idx="1">
                  <c:v>24.084</c:v>
                </c:pt>
                <c:pt idx="2">
                  <c:v>23.736000000000001</c:v>
                </c:pt>
                <c:pt idx="3">
                  <c:v>23.288</c:v>
                </c:pt>
                <c:pt idx="4">
                  <c:v>23.353999999999999</c:v>
                </c:pt>
                <c:pt idx="5">
                  <c:v>21.884</c:v>
                </c:pt>
                <c:pt idx="6">
                  <c:v>21.803000000000001</c:v>
                </c:pt>
                <c:pt idx="7">
                  <c:v>21.556999999999999</c:v>
                </c:pt>
                <c:pt idx="8">
                  <c:v>21.555199999999999</c:v>
                </c:pt>
                <c:pt idx="9">
                  <c:v>20.949200000000001</c:v>
                </c:pt>
                <c:pt idx="10">
                  <c:v>17.873799999999999</c:v>
                </c:pt>
                <c:pt idx="11">
                  <c:v>13.478999999999999</c:v>
                </c:pt>
                <c:pt idx="12">
                  <c:v>12.5648</c:v>
                </c:pt>
                <c:pt idx="13">
                  <c:v>11.7476</c:v>
                </c:pt>
                <c:pt idx="14">
                  <c:v>11.748200000000001</c:v>
                </c:pt>
                <c:pt idx="15">
                  <c:v>11.7067</c:v>
                </c:pt>
                <c:pt idx="16">
                  <c:v>10.546799999999999</c:v>
                </c:pt>
                <c:pt idx="17">
                  <c:v>9.9123999999999999</c:v>
                </c:pt>
                <c:pt idx="18">
                  <c:v>9.1585000000000001</c:v>
                </c:pt>
                <c:pt idx="19">
                  <c:v>9.1479999999999997</c:v>
                </c:pt>
                <c:pt idx="20">
                  <c:v>7.4996499999999999</c:v>
                </c:pt>
              </c:numCache>
            </c:numRef>
          </c:val>
          <c:extLst>
            <c:ext xmlns:c16="http://schemas.microsoft.com/office/drawing/2014/chart" uri="{C3380CC4-5D6E-409C-BE32-E72D297353CC}">
              <c16:uniqueId val="{00000002-B697-4EAA-9C4D-893B19AA24BC}"/>
            </c:ext>
          </c:extLst>
        </c:ser>
        <c:ser>
          <c:idx val="3"/>
          <c:order val="3"/>
          <c:tx>
            <c:strRef>
              <c:f>lorda!$B$10</c:f>
              <c:strCache>
                <c:ptCount val="1"/>
                <c:pt idx="0">
                  <c:v>CC</c:v>
                </c:pt>
              </c:strCache>
            </c:strRef>
          </c:tx>
          <c:spPr>
            <a:solidFill>
              <a:srgbClr val="92D05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lorda!$C$10:$W$10</c:f>
              <c:numCache>
                <c:formatCode>_(* #,##0.0_);_(* \(#,##0.0\);_(* "-"??_);_(@_)</c:formatCode>
                <c:ptCount val="21"/>
                <c:pt idx="0">
                  <c:v>1.601</c:v>
                </c:pt>
                <c:pt idx="1">
                  <c:v>12.782999999999999</c:v>
                </c:pt>
                <c:pt idx="2">
                  <c:v>15.555999999999999</c:v>
                </c:pt>
                <c:pt idx="3">
                  <c:v>18.940000000000001</c:v>
                </c:pt>
                <c:pt idx="4">
                  <c:v>21.768999999999998</c:v>
                </c:pt>
                <c:pt idx="5">
                  <c:v>21.504000000000001</c:v>
                </c:pt>
                <c:pt idx="6">
                  <c:v>23.106999999999999</c:v>
                </c:pt>
                <c:pt idx="7">
                  <c:v>25.065000000000001</c:v>
                </c:pt>
                <c:pt idx="8">
                  <c:v>25.9343</c:v>
                </c:pt>
                <c:pt idx="9">
                  <c:v>25.2196</c:v>
                </c:pt>
                <c:pt idx="10">
                  <c:v>25.131399999999999</c:v>
                </c:pt>
                <c:pt idx="11">
                  <c:v>22.611999999999998</c:v>
                </c:pt>
                <c:pt idx="12">
                  <c:v>21.821200000000001</c:v>
                </c:pt>
                <c:pt idx="13">
                  <c:v>21.823899999999998</c:v>
                </c:pt>
                <c:pt idx="14">
                  <c:v>21.823899999999998</c:v>
                </c:pt>
                <c:pt idx="15">
                  <c:v>21.823899999999998</c:v>
                </c:pt>
                <c:pt idx="16">
                  <c:v>21.8965</c:v>
                </c:pt>
                <c:pt idx="17">
                  <c:v>22.080100000000002</c:v>
                </c:pt>
                <c:pt idx="18">
                  <c:v>22.693200000000001</c:v>
                </c:pt>
                <c:pt idx="19">
                  <c:v>22.8215</c:v>
                </c:pt>
                <c:pt idx="20">
                  <c:v>23.710850000000001</c:v>
                </c:pt>
              </c:numCache>
            </c:numRef>
          </c:val>
          <c:extLst>
            <c:ext xmlns:c16="http://schemas.microsoft.com/office/drawing/2014/chart" uri="{C3380CC4-5D6E-409C-BE32-E72D297353CC}">
              <c16:uniqueId val="{00000003-B697-4EAA-9C4D-893B19AA24BC}"/>
            </c:ext>
          </c:extLst>
        </c:ser>
        <c:ser>
          <c:idx val="4"/>
          <c:order val="4"/>
          <c:tx>
            <c:strRef>
              <c:f>lorda!$B$11</c:f>
              <c:strCache>
                <c:ptCount val="1"/>
                <c:pt idx="0">
                  <c:v>RP</c:v>
                </c:pt>
              </c:strCache>
            </c:strRef>
          </c:tx>
          <c:spPr>
            <a:solidFill>
              <a:schemeClr val="accent6">
                <a:lumMod val="75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lorda!$C$11:$W$11</c:f>
              <c:numCache>
                <c:formatCode>_(* #,##0.0_);_(* \(#,##0.0\);_(* "-"??_);_(@_)</c:formatCode>
                <c:ptCount val="21"/>
                <c:pt idx="0">
                  <c:v>0</c:v>
                </c:pt>
                <c:pt idx="1">
                  <c:v>5.758</c:v>
                </c:pt>
                <c:pt idx="2">
                  <c:v>5.758</c:v>
                </c:pt>
                <c:pt idx="3">
                  <c:v>5.758</c:v>
                </c:pt>
                <c:pt idx="4">
                  <c:v>5.3179999999999996</c:v>
                </c:pt>
                <c:pt idx="5">
                  <c:v>5.3179999999999996</c:v>
                </c:pt>
                <c:pt idx="6">
                  <c:v>5.3179999999999996</c:v>
                </c:pt>
                <c:pt idx="7">
                  <c:v>5.3179999999999996</c:v>
                </c:pt>
                <c:pt idx="8">
                  <c:v>5.3176000000000005</c:v>
                </c:pt>
                <c:pt idx="9">
                  <c:v>5.3176000000000005</c:v>
                </c:pt>
                <c:pt idx="10">
                  <c:v>5.3175999999999997</c:v>
                </c:pt>
                <c:pt idx="11">
                  <c:v>2.2444000000000002</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B697-4EAA-9C4D-893B19AA24BC}"/>
            </c:ext>
          </c:extLst>
        </c:ser>
        <c:dLbls>
          <c:showLegendKey val="0"/>
          <c:showVal val="0"/>
          <c:showCatName val="0"/>
          <c:showSerName val="0"/>
          <c:showPercent val="0"/>
          <c:showBubbleSize val="0"/>
        </c:dLbls>
        <c:gapWidth val="150"/>
        <c:overlap val="100"/>
        <c:axId val="246428032"/>
        <c:axId val="246429952"/>
      </c:barChart>
      <c:lineChart>
        <c:grouping val="standard"/>
        <c:varyColors val="0"/>
        <c:ser>
          <c:idx val="5"/>
          <c:order val="5"/>
          <c:tx>
            <c:strRef>
              <c:f>lorda!$A$29</c:f>
              <c:strCache>
                <c:ptCount val="1"/>
                <c:pt idx="0">
                  <c:v>Produzione lorda</c:v>
                </c:pt>
              </c:strCache>
            </c:strRef>
          </c:tx>
          <c:spPr>
            <a:ln>
              <a:solidFill>
                <a:srgbClr val="FF0000"/>
              </a:solidFill>
            </a:ln>
          </c:spPr>
          <c:marker>
            <c:spPr>
              <a:solidFill>
                <a:schemeClr val="tx1"/>
              </a:solidFill>
            </c:spPr>
          </c:marker>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lorda!$C$32:$W$32</c:f>
              <c:numCache>
                <c:formatCode>_(* #,##0.0_);_(* \(#,##0.0\);_(* "-"??_);_(@_)</c:formatCode>
                <c:ptCount val="21"/>
                <c:pt idx="0">
                  <c:v>159.56899999999999</c:v>
                </c:pt>
                <c:pt idx="1">
                  <c:v>157.53</c:v>
                </c:pt>
                <c:pt idx="2">
                  <c:v>159.49340000000001</c:v>
                </c:pt>
                <c:pt idx="3">
                  <c:v>157.09270000000001</c:v>
                </c:pt>
                <c:pt idx="4">
                  <c:v>157.48740000000001</c:v>
                </c:pt>
                <c:pt idx="5">
                  <c:v>125.5963</c:v>
                </c:pt>
                <c:pt idx="6">
                  <c:v>119.00319999999999</c:v>
                </c:pt>
                <c:pt idx="7">
                  <c:v>126.1915</c:v>
                </c:pt>
                <c:pt idx="8">
                  <c:v>115.9717</c:v>
                </c:pt>
                <c:pt idx="9">
                  <c:v>100.94168000000001</c:v>
                </c:pt>
                <c:pt idx="10">
                  <c:v>90.359399999999994</c:v>
                </c:pt>
                <c:pt idx="11">
                  <c:v>95.583899999999986</c:v>
                </c:pt>
                <c:pt idx="12">
                  <c:v>93.5672</c:v>
                </c:pt>
                <c:pt idx="13">
                  <c:v>98.695400000000006</c:v>
                </c:pt>
                <c:pt idx="14">
                  <c:v>87.208100000000002</c:v>
                </c:pt>
                <c:pt idx="15">
                  <c:v>87.823300000000003</c:v>
                </c:pt>
                <c:pt idx="16">
                  <c:v>80.352500000000006</c:v>
                </c:pt>
                <c:pt idx="17">
                  <c:v>87.54301000000001</c:v>
                </c:pt>
                <c:pt idx="18">
                  <c:v>93.073499999999996</c:v>
                </c:pt>
                <c:pt idx="19">
                  <c:v>65.669899999999998</c:v>
                </c:pt>
                <c:pt idx="20">
                  <c:v>60.246340000000004</c:v>
                </c:pt>
              </c:numCache>
            </c:numRef>
          </c:val>
          <c:smooth val="1"/>
          <c:extLst>
            <c:ext xmlns:c16="http://schemas.microsoft.com/office/drawing/2014/chart" uri="{C3380CC4-5D6E-409C-BE32-E72D297353CC}">
              <c16:uniqueId val="{00000005-B697-4EAA-9C4D-893B19AA24BC}"/>
            </c:ext>
          </c:extLst>
        </c:ser>
        <c:dLbls>
          <c:showLegendKey val="0"/>
          <c:showVal val="0"/>
          <c:showCatName val="0"/>
          <c:showSerName val="0"/>
          <c:showPercent val="0"/>
          <c:showBubbleSize val="0"/>
        </c:dLbls>
        <c:marker val="1"/>
        <c:smooth val="0"/>
        <c:axId val="246433280"/>
        <c:axId val="246431744"/>
      </c:lineChart>
      <c:catAx>
        <c:axId val="246428032"/>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429952"/>
        <c:crosses val="autoZero"/>
        <c:auto val="1"/>
        <c:lblAlgn val="ctr"/>
        <c:lblOffset val="100"/>
        <c:tickLblSkip val="1"/>
        <c:noMultiLvlLbl val="0"/>
      </c:catAx>
      <c:valAx>
        <c:axId val="24642995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428032"/>
        <c:crosses val="autoZero"/>
        <c:crossBetween val="between"/>
      </c:valAx>
      <c:valAx>
        <c:axId val="246431744"/>
        <c:scaling>
          <c:orientation val="minMax"/>
        </c:scaling>
        <c:delete val="0"/>
        <c:axPos val="r"/>
        <c:numFmt formatCode="General" sourceLinked="0"/>
        <c:majorTickMark val="out"/>
        <c:minorTickMark val="none"/>
        <c:tickLblPos val="nextTo"/>
        <c:txPr>
          <a:bodyPr/>
          <a:lstStyle/>
          <a:p>
            <a:pPr>
              <a:defRPr b="1"/>
            </a:pPr>
            <a:endParaRPr lang="it-IT"/>
          </a:p>
        </c:txPr>
        <c:crossAx val="246433280"/>
        <c:crosses val="max"/>
        <c:crossBetween val="between"/>
      </c:valAx>
      <c:catAx>
        <c:axId val="246433280"/>
        <c:scaling>
          <c:orientation val="minMax"/>
        </c:scaling>
        <c:delete val="1"/>
        <c:axPos val="b"/>
        <c:numFmt formatCode="General" sourceLinked="1"/>
        <c:majorTickMark val="out"/>
        <c:minorTickMark val="none"/>
        <c:tickLblPos val="none"/>
        <c:crossAx val="246431744"/>
        <c:crosses val="autoZero"/>
        <c:auto val="1"/>
        <c:lblAlgn val="ctr"/>
        <c:lblOffset val="100"/>
        <c:noMultiLvlLbl val="0"/>
      </c:catAx>
    </c:plotArea>
    <c:legend>
      <c:legendPos val="b"/>
      <c:layout>
        <c:manualLayout>
          <c:xMode val="edge"/>
          <c:yMode val="edge"/>
          <c:x val="0.12350576480055687"/>
          <c:y val="0.92909607085412271"/>
          <c:w val="0.74969808687069273"/>
          <c:h val="6.388407993711303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8655064019578"/>
          <c:y val="4.3033022035036596E-2"/>
          <c:w val="0.781601069540383"/>
          <c:h val="0.75558521411434798"/>
        </c:manualLayout>
      </c:layout>
      <c:barChart>
        <c:barDir val="col"/>
        <c:grouping val="stacked"/>
        <c:varyColors val="0"/>
        <c:ser>
          <c:idx val="0"/>
          <c:order val="0"/>
          <c:tx>
            <c:strRef>
              <c:f>lorda!$B$17</c:f>
              <c:strCache>
                <c:ptCount val="1"/>
                <c:pt idx="0">
                  <c:v>CIC</c:v>
                </c:pt>
              </c:strCache>
            </c:strRef>
          </c:tx>
          <c:spPr>
            <a:solidFill>
              <a:srgbClr val="FF00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lorda!$C$17:$W$17</c:f>
              <c:numCache>
                <c:formatCode>_(* #,##0.0_);_(* \(#,##0.0\);_(* "-"??_);_(@_)</c:formatCode>
                <c:ptCount val="21"/>
                <c:pt idx="0">
                  <c:v>0.42499999999999999</c:v>
                </c:pt>
                <c:pt idx="1">
                  <c:v>0.63300000000000001</c:v>
                </c:pt>
                <c:pt idx="2">
                  <c:v>0.70399999999999996</c:v>
                </c:pt>
                <c:pt idx="3">
                  <c:v>0.76300000000000001</c:v>
                </c:pt>
                <c:pt idx="4">
                  <c:v>0.82499999999999996</c:v>
                </c:pt>
                <c:pt idx="5">
                  <c:v>1.115</c:v>
                </c:pt>
                <c:pt idx="6">
                  <c:v>1.42</c:v>
                </c:pt>
                <c:pt idx="7">
                  <c:v>1.8169999999999999</c:v>
                </c:pt>
                <c:pt idx="8">
                  <c:v>2.3540999999999999</c:v>
                </c:pt>
                <c:pt idx="9">
                  <c:v>2.5390000000000001</c:v>
                </c:pt>
                <c:pt idx="10">
                  <c:v>2.8271000000000002</c:v>
                </c:pt>
                <c:pt idx="11">
                  <c:v>3.0895000000000001</c:v>
                </c:pt>
                <c:pt idx="12">
                  <c:v>3.2547999999999999</c:v>
                </c:pt>
                <c:pt idx="13">
                  <c:v>3.3668999999999998</c:v>
                </c:pt>
                <c:pt idx="14">
                  <c:v>3.5444</c:v>
                </c:pt>
                <c:pt idx="15">
                  <c:v>3.6852999999999998</c:v>
                </c:pt>
                <c:pt idx="16">
                  <c:v>3.7970000000000002</c:v>
                </c:pt>
                <c:pt idx="17">
                  <c:v>3.9034</c:v>
                </c:pt>
                <c:pt idx="18">
                  <c:v>4.0803000000000003</c:v>
                </c:pt>
                <c:pt idx="19">
                  <c:v>4.2134999999999998</c:v>
                </c:pt>
                <c:pt idx="20">
                  <c:v>4.3473100000000002</c:v>
                </c:pt>
              </c:numCache>
            </c:numRef>
          </c:val>
          <c:extLst>
            <c:ext xmlns:c16="http://schemas.microsoft.com/office/drawing/2014/chart" uri="{C3380CC4-5D6E-409C-BE32-E72D297353CC}">
              <c16:uniqueId val="{00000000-0C64-4252-AB75-FAA849A86D6E}"/>
            </c:ext>
          </c:extLst>
        </c:ser>
        <c:ser>
          <c:idx val="1"/>
          <c:order val="1"/>
          <c:tx>
            <c:strRef>
              <c:f>lorda!$B$18</c:f>
              <c:strCache>
                <c:ptCount val="1"/>
                <c:pt idx="0">
                  <c:v>TGC</c:v>
                </c:pt>
              </c:strCache>
            </c:strRef>
          </c:tx>
          <c:spPr>
            <a:solidFill>
              <a:srgbClr val="FFFF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lorda!$C$18:$W$18</c:f>
              <c:numCache>
                <c:formatCode>_(* #,##0.0_);_(* \(#,##0.0\);_(* "-"??_);_(@_)</c:formatCode>
                <c:ptCount val="21"/>
                <c:pt idx="0">
                  <c:v>0.88300000000000001</c:v>
                </c:pt>
                <c:pt idx="1">
                  <c:v>1.0249999999999999</c:v>
                </c:pt>
                <c:pt idx="2">
                  <c:v>1.052</c:v>
                </c:pt>
                <c:pt idx="3">
                  <c:v>1.0760000000000001</c:v>
                </c:pt>
                <c:pt idx="4">
                  <c:v>1.0049999999999999</c:v>
                </c:pt>
                <c:pt idx="5">
                  <c:v>0.89</c:v>
                </c:pt>
                <c:pt idx="6">
                  <c:v>0.89190000000000003</c:v>
                </c:pt>
                <c:pt idx="7">
                  <c:v>0.94799999999999995</c:v>
                </c:pt>
                <c:pt idx="8">
                  <c:v>0.94510000000000005</c:v>
                </c:pt>
                <c:pt idx="9">
                  <c:v>1.008</c:v>
                </c:pt>
                <c:pt idx="10">
                  <c:v>1.0439000000000001</c:v>
                </c:pt>
                <c:pt idx="11">
                  <c:v>1.0606</c:v>
                </c:pt>
                <c:pt idx="12">
                  <c:v>1.0487</c:v>
                </c:pt>
                <c:pt idx="13">
                  <c:v>1.0334000000000001</c:v>
                </c:pt>
                <c:pt idx="14">
                  <c:v>1.0194000000000001</c:v>
                </c:pt>
                <c:pt idx="15">
                  <c:v>1.028</c:v>
                </c:pt>
                <c:pt idx="16">
                  <c:v>1.0484</c:v>
                </c:pt>
                <c:pt idx="17">
                  <c:v>1.6680999999999999</c:v>
                </c:pt>
                <c:pt idx="18">
                  <c:v>1.4371</c:v>
                </c:pt>
                <c:pt idx="19">
                  <c:v>1.4421999999999999</c:v>
                </c:pt>
                <c:pt idx="20">
                  <c:v>1.42</c:v>
                </c:pt>
              </c:numCache>
            </c:numRef>
          </c:val>
          <c:extLst>
            <c:ext xmlns:c16="http://schemas.microsoft.com/office/drawing/2014/chart" uri="{C3380CC4-5D6E-409C-BE32-E72D297353CC}">
              <c16:uniqueId val="{00000001-0C64-4252-AB75-FAA849A86D6E}"/>
            </c:ext>
          </c:extLst>
        </c:ser>
        <c:ser>
          <c:idx val="2"/>
          <c:order val="2"/>
          <c:tx>
            <c:strRef>
              <c:f>lorda!$B$19</c:f>
              <c:strCache>
                <c:ptCount val="1"/>
                <c:pt idx="0">
                  <c:v>CCC</c:v>
                </c:pt>
              </c:strCache>
            </c:strRef>
          </c:tx>
          <c:spPr>
            <a:solidFill>
              <a:srgbClr val="92D05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lorda!$C$19:$W$19</c:f>
              <c:numCache>
                <c:formatCode>_(* #,##0.0_);_(* \(#,##0.0\);_(* "-"??_);_(@_)</c:formatCode>
                <c:ptCount val="21"/>
                <c:pt idx="0">
                  <c:v>6.3440000000000003</c:v>
                </c:pt>
                <c:pt idx="1">
                  <c:v>12.555</c:v>
                </c:pt>
                <c:pt idx="2">
                  <c:v>13.914999999999999</c:v>
                </c:pt>
                <c:pt idx="3">
                  <c:v>15</c:v>
                </c:pt>
                <c:pt idx="4">
                  <c:v>16.341999999999999</c:v>
                </c:pt>
                <c:pt idx="5">
                  <c:v>19.125</c:v>
                </c:pt>
                <c:pt idx="6">
                  <c:v>18.928999999999998</c:v>
                </c:pt>
                <c:pt idx="7">
                  <c:v>18.338999999999999</c:v>
                </c:pt>
                <c:pt idx="8">
                  <c:v>17.5014</c:v>
                </c:pt>
                <c:pt idx="9">
                  <c:v>16.932400000000001</c:v>
                </c:pt>
                <c:pt idx="10">
                  <c:v>16.8583</c:v>
                </c:pt>
                <c:pt idx="11">
                  <c:v>19.208400000000001</c:v>
                </c:pt>
                <c:pt idx="12">
                  <c:v>19.017800000000001</c:v>
                </c:pt>
                <c:pt idx="13">
                  <c:v>18.884699999999999</c:v>
                </c:pt>
                <c:pt idx="14">
                  <c:v>18.886700000000001</c:v>
                </c:pt>
                <c:pt idx="15">
                  <c:v>18.731999999999999</c:v>
                </c:pt>
                <c:pt idx="16">
                  <c:v>18.888999999999999</c:v>
                </c:pt>
                <c:pt idx="17">
                  <c:v>17.9984</c:v>
                </c:pt>
                <c:pt idx="18">
                  <c:v>18.760300000000001</c:v>
                </c:pt>
                <c:pt idx="19">
                  <c:v>18.929300000000001</c:v>
                </c:pt>
                <c:pt idx="20">
                  <c:v>18.740739999999999</c:v>
                </c:pt>
              </c:numCache>
            </c:numRef>
          </c:val>
          <c:extLst>
            <c:ext xmlns:c16="http://schemas.microsoft.com/office/drawing/2014/chart" uri="{C3380CC4-5D6E-409C-BE32-E72D297353CC}">
              <c16:uniqueId val="{00000002-0C64-4252-AB75-FAA849A86D6E}"/>
            </c:ext>
          </c:extLst>
        </c:ser>
        <c:ser>
          <c:idx val="3"/>
          <c:order val="3"/>
          <c:tx>
            <c:strRef>
              <c:f>lorda!$B$20</c:f>
              <c:strCache>
                <c:ptCount val="1"/>
                <c:pt idx="0">
                  <c:v>CPC</c:v>
                </c:pt>
              </c:strCache>
            </c:strRef>
          </c:tx>
          <c:spPr>
            <a:solidFill>
              <a:schemeClr val="tx2">
                <a:lumMod val="60000"/>
                <a:lumOff val="4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lorda!$C$20:$W$20</c:f>
              <c:numCache>
                <c:formatCode>_(* #,##0.0_);_(* \(#,##0.0\);_(* "-"??_);_(@_)</c:formatCode>
                <c:ptCount val="21"/>
                <c:pt idx="0">
                  <c:v>2.0209999999999999</c:v>
                </c:pt>
                <c:pt idx="1">
                  <c:v>1.8879999999999999</c:v>
                </c:pt>
                <c:pt idx="2">
                  <c:v>1.7649999999999999</c:v>
                </c:pt>
                <c:pt idx="3">
                  <c:v>1.605</c:v>
                </c:pt>
                <c:pt idx="4">
                  <c:v>1.579</c:v>
                </c:pt>
                <c:pt idx="5">
                  <c:v>1.496</c:v>
                </c:pt>
                <c:pt idx="6">
                  <c:v>1.3009999999999999</c:v>
                </c:pt>
                <c:pt idx="7">
                  <c:v>1.26</c:v>
                </c:pt>
                <c:pt idx="8">
                  <c:v>1.1682000000000001</c:v>
                </c:pt>
                <c:pt idx="9">
                  <c:v>1.0539000000000001</c:v>
                </c:pt>
                <c:pt idx="10">
                  <c:v>1.0235000000000001</c:v>
                </c:pt>
                <c:pt idx="11">
                  <c:v>1.0132000000000001</c:v>
                </c:pt>
                <c:pt idx="12">
                  <c:v>0.72699999999999998</c:v>
                </c:pt>
                <c:pt idx="13">
                  <c:v>0.71679999999999999</c:v>
                </c:pt>
                <c:pt idx="14">
                  <c:v>0.64419999999999999</c:v>
                </c:pt>
                <c:pt idx="15">
                  <c:v>0.60880000000000001</c:v>
                </c:pt>
                <c:pt idx="16">
                  <c:v>0.55900000000000005</c:v>
                </c:pt>
                <c:pt idx="17">
                  <c:v>0.57299999999999995</c:v>
                </c:pt>
                <c:pt idx="18">
                  <c:v>0.56930000000000003</c:v>
                </c:pt>
                <c:pt idx="19">
                  <c:v>0.57250000000000001</c:v>
                </c:pt>
                <c:pt idx="20">
                  <c:v>0.54</c:v>
                </c:pt>
              </c:numCache>
            </c:numRef>
          </c:val>
          <c:extLst>
            <c:ext xmlns:c16="http://schemas.microsoft.com/office/drawing/2014/chart" uri="{C3380CC4-5D6E-409C-BE32-E72D297353CC}">
              <c16:uniqueId val="{00000003-0C64-4252-AB75-FAA849A86D6E}"/>
            </c:ext>
          </c:extLst>
        </c:ser>
        <c:ser>
          <c:idx val="4"/>
          <c:order val="4"/>
          <c:tx>
            <c:strRef>
              <c:f>lorda!$B$21</c:f>
              <c:strCache>
                <c:ptCount val="1"/>
                <c:pt idx="0">
                  <c:v>CSC</c:v>
                </c:pt>
              </c:strCache>
            </c:strRef>
          </c:tx>
          <c:spPr>
            <a:solidFill>
              <a:schemeClr val="accent4">
                <a:lumMod val="60000"/>
                <a:lumOff val="4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lorda!$C$21:$W$21</c:f>
              <c:numCache>
                <c:formatCode>_(* #,##0.0_);_(* \(#,##0.0\);_(* "-"??_);_(@_)</c:formatCode>
                <c:ptCount val="21"/>
                <c:pt idx="0">
                  <c:v>2.5449999999999999</c:v>
                </c:pt>
                <c:pt idx="1">
                  <c:v>2.1960000000000002</c:v>
                </c:pt>
                <c:pt idx="2">
                  <c:v>2.0510000000000002</c:v>
                </c:pt>
                <c:pt idx="3">
                  <c:v>1.948</c:v>
                </c:pt>
                <c:pt idx="4">
                  <c:v>1.772</c:v>
                </c:pt>
                <c:pt idx="5">
                  <c:v>1.782</c:v>
                </c:pt>
                <c:pt idx="6">
                  <c:v>1.833</c:v>
                </c:pt>
                <c:pt idx="7">
                  <c:v>1.486</c:v>
                </c:pt>
                <c:pt idx="8">
                  <c:v>1.5404</c:v>
                </c:pt>
                <c:pt idx="9">
                  <c:v>1.6656</c:v>
                </c:pt>
                <c:pt idx="10">
                  <c:v>1.7112000000000001</c:v>
                </c:pt>
                <c:pt idx="11">
                  <c:v>2.1970999999999998</c:v>
                </c:pt>
                <c:pt idx="12">
                  <c:v>2.1795</c:v>
                </c:pt>
                <c:pt idx="13">
                  <c:v>2.1606999999999998</c:v>
                </c:pt>
                <c:pt idx="14">
                  <c:v>2.0569999999999999</c:v>
                </c:pt>
                <c:pt idx="15">
                  <c:v>2.0825</c:v>
                </c:pt>
                <c:pt idx="16">
                  <c:v>2.0651000000000002</c:v>
                </c:pt>
                <c:pt idx="17">
                  <c:v>1.9907999999999999</c:v>
                </c:pt>
                <c:pt idx="18">
                  <c:v>1.7349000000000001</c:v>
                </c:pt>
                <c:pt idx="19">
                  <c:v>1.6571</c:v>
                </c:pt>
                <c:pt idx="20">
                  <c:v>1.6415</c:v>
                </c:pt>
              </c:numCache>
            </c:numRef>
          </c:val>
          <c:extLst>
            <c:ext xmlns:c16="http://schemas.microsoft.com/office/drawing/2014/chart" uri="{C3380CC4-5D6E-409C-BE32-E72D297353CC}">
              <c16:uniqueId val="{00000004-0C64-4252-AB75-FAA849A86D6E}"/>
            </c:ext>
          </c:extLst>
        </c:ser>
        <c:dLbls>
          <c:showLegendKey val="0"/>
          <c:showVal val="0"/>
          <c:showCatName val="0"/>
          <c:showSerName val="0"/>
          <c:showPercent val="0"/>
          <c:showBubbleSize val="0"/>
        </c:dLbls>
        <c:gapWidth val="150"/>
        <c:overlap val="100"/>
        <c:axId val="246597120"/>
        <c:axId val="246599040"/>
      </c:barChart>
      <c:lineChart>
        <c:grouping val="standard"/>
        <c:varyColors val="0"/>
        <c:ser>
          <c:idx val="5"/>
          <c:order val="5"/>
          <c:tx>
            <c:strRef>
              <c:f>lorda!$A$29</c:f>
              <c:strCache>
                <c:ptCount val="1"/>
                <c:pt idx="0">
                  <c:v>Produzione lorda</c:v>
                </c:pt>
              </c:strCache>
            </c:strRef>
          </c:tx>
          <c:spPr>
            <a:ln>
              <a:solidFill>
                <a:srgbClr val="FF0000"/>
              </a:solidFill>
            </a:ln>
          </c:spPr>
          <c:marker>
            <c:spPr>
              <a:solidFill>
                <a:schemeClr val="tx1"/>
              </a:solidFill>
            </c:spPr>
          </c:marker>
          <c:cat>
            <c:numRef>
              <c:f>lorda!$C$30:$W$30</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lorda!$C$40:$W$40</c:f>
              <c:numCache>
                <c:formatCode>_(* #,##0.0_);_(* \(#,##0.0\);_(* "-"??_);_(@_)</c:formatCode>
                <c:ptCount val="21"/>
                <c:pt idx="0">
                  <c:v>60.1</c:v>
                </c:pt>
                <c:pt idx="1">
                  <c:v>94.427000000000007</c:v>
                </c:pt>
                <c:pt idx="2">
                  <c:v>101.6439</c:v>
                </c:pt>
                <c:pt idx="3">
                  <c:v>107.6504</c:v>
                </c:pt>
                <c:pt idx="4">
                  <c:v>102.9247</c:v>
                </c:pt>
                <c:pt idx="5">
                  <c:v>100.43929999999999</c:v>
                </c:pt>
                <c:pt idx="6">
                  <c:v>111.468</c:v>
                </c:pt>
                <c:pt idx="7">
                  <c:v>101.50879999999999</c:v>
                </c:pt>
                <c:pt idx="8">
                  <c:v>100.83880000000001</c:v>
                </c:pt>
                <c:pt idx="9">
                  <c:v>91.292839999999984</c:v>
                </c:pt>
                <c:pt idx="10">
                  <c:v>85.150700000000001</c:v>
                </c:pt>
                <c:pt idx="11">
                  <c:v>95.874499999999998</c:v>
                </c:pt>
                <c:pt idx="12">
                  <c:v>105.1268</c:v>
                </c:pt>
                <c:pt idx="13">
                  <c:v>110.12809999999999</c:v>
                </c:pt>
                <c:pt idx="14">
                  <c:v>104.9207</c:v>
                </c:pt>
                <c:pt idx="15">
                  <c:v>107.2604</c:v>
                </c:pt>
                <c:pt idx="16">
                  <c:v>100.45226</c:v>
                </c:pt>
                <c:pt idx="17">
                  <c:v>101.58919999999999</c:v>
                </c:pt>
                <c:pt idx="18">
                  <c:v>105.4415</c:v>
                </c:pt>
                <c:pt idx="19">
                  <c:v>96.304400000000001</c:v>
                </c:pt>
                <c:pt idx="20">
                  <c:v>91.202940000000012</c:v>
                </c:pt>
              </c:numCache>
            </c:numRef>
          </c:val>
          <c:smooth val="1"/>
          <c:extLst>
            <c:ext xmlns:c16="http://schemas.microsoft.com/office/drawing/2014/chart" uri="{C3380CC4-5D6E-409C-BE32-E72D297353CC}">
              <c16:uniqueId val="{00000005-0C64-4252-AB75-FAA849A86D6E}"/>
            </c:ext>
          </c:extLst>
        </c:ser>
        <c:dLbls>
          <c:showLegendKey val="0"/>
          <c:showVal val="0"/>
          <c:showCatName val="0"/>
          <c:showSerName val="0"/>
          <c:showPercent val="0"/>
          <c:showBubbleSize val="0"/>
        </c:dLbls>
        <c:marker val="1"/>
        <c:smooth val="0"/>
        <c:axId val="246610560"/>
        <c:axId val="246609024"/>
      </c:lineChart>
      <c:catAx>
        <c:axId val="246597120"/>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599040"/>
        <c:crosses val="autoZero"/>
        <c:auto val="1"/>
        <c:lblAlgn val="ctr"/>
        <c:lblOffset val="100"/>
        <c:tickLblSkip val="1"/>
        <c:noMultiLvlLbl val="0"/>
      </c:catAx>
      <c:valAx>
        <c:axId val="246599040"/>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597120"/>
        <c:crosses val="autoZero"/>
        <c:crossBetween val="between"/>
      </c:valAx>
      <c:valAx>
        <c:axId val="246609024"/>
        <c:scaling>
          <c:orientation val="minMax"/>
        </c:scaling>
        <c:delete val="0"/>
        <c:axPos val="r"/>
        <c:numFmt formatCode="General" sourceLinked="0"/>
        <c:majorTickMark val="out"/>
        <c:minorTickMark val="none"/>
        <c:tickLblPos val="nextTo"/>
        <c:txPr>
          <a:bodyPr/>
          <a:lstStyle/>
          <a:p>
            <a:pPr>
              <a:defRPr b="1"/>
            </a:pPr>
            <a:endParaRPr lang="it-IT"/>
          </a:p>
        </c:txPr>
        <c:crossAx val="246610560"/>
        <c:crosses val="max"/>
        <c:crossBetween val="between"/>
      </c:valAx>
      <c:catAx>
        <c:axId val="246610560"/>
        <c:scaling>
          <c:orientation val="minMax"/>
        </c:scaling>
        <c:delete val="1"/>
        <c:axPos val="b"/>
        <c:numFmt formatCode="General" sourceLinked="1"/>
        <c:majorTickMark val="out"/>
        <c:minorTickMark val="none"/>
        <c:tickLblPos val="none"/>
        <c:crossAx val="246609024"/>
        <c:crosses val="autoZero"/>
        <c:auto val="1"/>
        <c:lblAlgn val="ctr"/>
        <c:lblOffset val="100"/>
        <c:noMultiLvlLbl val="0"/>
      </c:catAx>
    </c:plotArea>
    <c:legend>
      <c:legendPos val="b"/>
      <c:layout>
        <c:manualLayout>
          <c:xMode val="edge"/>
          <c:yMode val="edge"/>
          <c:x val="4.1651305527984274E-2"/>
          <c:y val="0.91402641538358631"/>
          <c:w val="0.93898789783876868"/>
          <c:h val="8.371719160105002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56703318558439"/>
          <c:y val="4.303302203503663E-2"/>
          <c:w val="0.83071374510392459"/>
          <c:h val="0.71231904614623809"/>
        </c:manualLayout>
      </c:layout>
      <c:lineChart>
        <c:grouping val="standard"/>
        <c:varyColors val="0"/>
        <c:ser>
          <c:idx val="1"/>
          <c:order val="0"/>
          <c:tx>
            <c:strRef>
              <c:f>lorda!$A$67</c:f>
              <c:strCache>
                <c:ptCount val="1"/>
                <c:pt idx="0">
                  <c:v>TOTALE</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lorda!$C$67:$AC$67</c:f>
              <c:numCache>
                <c:formatCode>_(* #,##0.0_);_(* \(#,##0.0\);_(* "-"??_);_(@_)</c:formatCode>
                <c:ptCount val="27"/>
                <c:pt idx="0">
                  <c:v>3899.195910325363</c:v>
                </c:pt>
                <c:pt idx="1">
                  <c:v>3897.4878569439716</c:v>
                </c:pt>
                <c:pt idx="2">
                  <c:v>3820.5896122896856</c:v>
                </c:pt>
                <c:pt idx="3">
                  <c:v>3664.7715946843859</c:v>
                </c:pt>
                <c:pt idx="4">
                  <c:v>3425.6185953511622</c:v>
                </c:pt>
                <c:pt idx="5">
                  <c:v>2948.1622538150514</c:v>
                </c:pt>
                <c:pt idx="6">
                  <c:v>2941.8976015113417</c:v>
                </c:pt>
                <c:pt idx="7">
                  <c:v>2856.5731203974356</c:v>
                </c:pt>
                <c:pt idx="8">
                  <c:v>2690.8212440474049</c:v>
                </c:pt>
                <c:pt idx="9">
                  <c:v>2448.8224323828545</c:v>
                </c:pt>
                <c:pt idx="10">
                  <c:v>2341.2085009657767</c:v>
                </c:pt>
                <c:pt idx="11">
                  <c:v>2790.995734606829</c:v>
                </c:pt>
                <c:pt idx="12">
                  <c:v>3060.823967268067</c:v>
                </c:pt>
                <c:pt idx="13">
                  <c:v>3260.5695049269971</c:v>
                </c:pt>
                <c:pt idx="14">
                  <c:v>3001.0652887682331</c:v>
                </c:pt>
                <c:pt idx="15">
                  <c:v>3050.6137703482468</c:v>
                </c:pt>
                <c:pt idx="16">
                  <c:v>2885.7702393625927</c:v>
                </c:pt>
                <c:pt idx="17">
                  <c:v>3053.8442659346865</c:v>
                </c:pt>
                <c:pt idx="18">
                  <c:v>3181.6972471182567</c:v>
                </c:pt>
                <c:pt idx="19">
                  <c:v>2562.4182308598906</c:v>
                </c:pt>
                <c:pt idx="20">
                  <c:v>2438.4100106504857</c:v>
                </c:pt>
                <c:pt idx="21">
                  <c:v>2564.5743441148938</c:v>
                </c:pt>
                <c:pt idx="22">
                  <c:v>2501.6698125472799</c:v>
                </c:pt>
                <c:pt idx="23">
                  <c:v>2267.7117507320331</c:v>
                </c:pt>
                <c:pt idx="24">
                  <c:v>2023.3312599524245</c:v>
                </c:pt>
                <c:pt idx="25">
                  <c:v>1807.0068278444244</c:v>
                </c:pt>
                <c:pt idx="26">
                  <c:v>1590.682395736424</c:v>
                </c:pt>
              </c:numCache>
            </c:numRef>
          </c:val>
          <c:smooth val="0"/>
          <c:extLst>
            <c:ext xmlns:c16="http://schemas.microsoft.com/office/drawing/2014/chart" uri="{C3380CC4-5D6E-409C-BE32-E72D297353CC}">
              <c16:uniqueId val="{00000000-5D62-4969-929D-F4A9D355F6F0}"/>
            </c:ext>
          </c:extLst>
        </c:ser>
        <c:ser>
          <c:idx val="0"/>
          <c:order val="1"/>
          <c:tx>
            <c:strRef>
              <c:f>lorda!$A$60</c:f>
              <c:strCache>
                <c:ptCount val="1"/>
                <c:pt idx="0">
                  <c:v>Produzione combinata energia elettrica e calore</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lorda!$C$60:$AC$60</c:f>
              <c:numCache>
                <c:formatCode>_(* #,##0.0_);_(* \(#,##0.0\);_(* "-"??_);_(@_)</c:formatCode>
                <c:ptCount val="27"/>
                <c:pt idx="0">
                  <c:v>4918.9720085120316</c:v>
                </c:pt>
                <c:pt idx="1">
                  <c:v>5160.7913865661039</c:v>
                </c:pt>
                <c:pt idx="2">
                  <c:v>5215.9850156514613</c:v>
                </c:pt>
                <c:pt idx="3">
                  <c:v>5279.3094992889028</c:v>
                </c:pt>
                <c:pt idx="4">
                  <c:v>4782.3018306848808</c:v>
                </c:pt>
                <c:pt idx="5">
                  <c:v>4114.8469826703258</c:v>
                </c:pt>
                <c:pt idx="6">
                  <c:v>4572.8585493928449</c:v>
                </c:pt>
                <c:pt idx="7">
                  <c:v>4256.3126336534024</c:v>
                </c:pt>
                <c:pt idx="8">
                  <c:v>4289.3335375087199</c:v>
                </c:pt>
                <c:pt idx="9">
                  <c:v>3935.2227907357665</c:v>
                </c:pt>
                <c:pt idx="10">
                  <c:v>3628.9933515172174</c:v>
                </c:pt>
                <c:pt idx="11">
                  <c:v>3608.5370810875916</c:v>
                </c:pt>
                <c:pt idx="12">
                  <c:v>4008.2202853460831</c:v>
                </c:pt>
                <c:pt idx="13">
                  <c:v>4209.3874820831352</c:v>
                </c:pt>
                <c:pt idx="14">
                  <c:v>4011.97236147278</c:v>
                </c:pt>
                <c:pt idx="15">
                  <c:v>4103.7919569650576</c:v>
                </c:pt>
                <c:pt idx="16">
                  <c:v>3810.9572514682</c:v>
                </c:pt>
                <c:pt idx="17">
                  <c:v>3887.2426723808067</c:v>
                </c:pt>
                <c:pt idx="18">
                  <c:v>3966.6503649085848</c:v>
                </c:pt>
                <c:pt idx="19">
                  <c:v>3591.4778088138219</c:v>
                </c:pt>
                <c:pt idx="20">
                  <c:v>3417.126671275144</c:v>
                </c:pt>
                <c:pt idx="21">
                  <c:v>3593.9302059398801</c:v>
                </c:pt>
                <c:pt idx="22">
                  <c:v>3505.7773720748237</c:v>
                </c:pt>
                <c:pt idx="23">
                  <c:v>3177.9144083005526</c:v>
                </c:pt>
                <c:pt idx="24">
                  <c:v>2835.4457138091207</c:v>
                </c:pt>
                <c:pt idx="25">
                  <c:v>2532.2940767275863</c:v>
                </c:pt>
                <c:pt idx="26">
                  <c:v>2229.142439646052</c:v>
                </c:pt>
              </c:numCache>
            </c:numRef>
          </c:val>
          <c:smooth val="0"/>
          <c:extLst>
            <c:ext xmlns:c16="http://schemas.microsoft.com/office/drawing/2014/chart" uri="{C3380CC4-5D6E-409C-BE32-E72D297353CC}">
              <c16:uniqueId val="{00000001-5D62-4969-929D-F4A9D355F6F0}"/>
            </c:ext>
          </c:extLst>
        </c:ser>
        <c:ser>
          <c:idx val="2"/>
          <c:order val="2"/>
          <c:tx>
            <c:strRef>
              <c:f>lorda!$A$53</c:f>
              <c:strCache>
                <c:ptCount val="1"/>
                <c:pt idx="0">
                  <c:v>Solo produzione energia elettrica</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lorda!$C$53:$AC$53</c:f>
              <c:numCache>
                <c:formatCode>_(* #,##0.0_);_(* \(#,##0.0\);_(* "-"??_);_(@_)</c:formatCode>
                <c:ptCount val="27"/>
                <c:pt idx="0">
                  <c:v>3616.8683983861461</c:v>
                </c:pt>
                <c:pt idx="1">
                  <c:v>3398.7788301797236</c:v>
                </c:pt>
                <c:pt idx="2">
                  <c:v>3264.0934858686533</c:v>
                </c:pt>
                <c:pt idx="3">
                  <c:v>3029.8115682076805</c:v>
                </c:pt>
                <c:pt idx="4">
                  <c:v>2889.8361377690512</c:v>
                </c:pt>
                <c:pt idx="5">
                  <c:v>2403.2509902221541</c:v>
                </c:pt>
                <c:pt idx="6">
                  <c:v>2205.1922542388584</c:v>
                </c:pt>
                <c:pt idx="7">
                  <c:v>2258.9864308474453</c:v>
                </c:pt>
                <c:pt idx="8">
                  <c:v>2032.2772842850859</c:v>
                </c:pt>
                <c:pt idx="9">
                  <c:v>1825.2841222453478</c:v>
                </c:pt>
                <c:pt idx="10">
                  <c:v>1754.4969476676454</c:v>
                </c:pt>
                <c:pt idx="11">
                  <c:v>2274.1935483870971</c:v>
                </c:pt>
                <c:pt idx="12">
                  <c:v>2418.5445390488894</c:v>
                </c:pt>
                <c:pt idx="13">
                  <c:v>2605.2963629740307</c:v>
                </c:pt>
                <c:pt idx="14">
                  <c:v>2302.9314756669833</c:v>
                </c:pt>
                <c:pt idx="15">
                  <c:v>2322.6242393307966</c:v>
                </c:pt>
                <c:pt idx="16">
                  <c:v>2213.8663345740883</c:v>
                </c:pt>
                <c:pt idx="17">
                  <c:v>2445.4379373437432</c:v>
                </c:pt>
                <c:pt idx="18">
                  <c:v>2599.0343695198089</c:v>
                </c:pt>
                <c:pt idx="19">
                  <c:v>1804.2767496043607</c:v>
                </c:pt>
                <c:pt idx="20">
                  <c:v>1700.9178456178595</c:v>
                </c:pt>
                <c:pt idx="21">
                  <c:v>1788.9240321626924</c:v>
                </c:pt>
                <c:pt idx="22">
                  <c:v>1745.0448486594048</c:v>
                </c:pt>
                <c:pt idx="23">
                  <c:v>1581.8469284041637</c:v>
                </c:pt>
                <c:pt idx="24">
                  <c:v>1411.3788216984335</c:v>
                </c:pt>
                <c:pt idx="25">
                  <c:v>1260.4812755890775</c:v>
                </c:pt>
                <c:pt idx="26">
                  <c:v>1109.5837294797216</c:v>
                </c:pt>
              </c:numCache>
            </c:numRef>
          </c:val>
          <c:smooth val="0"/>
          <c:extLst>
            <c:ext xmlns:c16="http://schemas.microsoft.com/office/drawing/2014/chart" uri="{C3380CC4-5D6E-409C-BE32-E72D297353CC}">
              <c16:uniqueId val="{00000002-5D62-4969-929D-F4A9D355F6F0}"/>
            </c:ext>
          </c:extLst>
        </c:ser>
        <c:dLbls>
          <c:showLegendKey val="0"/>
          <c:showVal val="0"/>
          <c:showCatName val="0"/>
          <c:showSerName val="0"/>
          <c:showPercent val="0"/>
          <c:showBubbleSize val="0"/>
        </c:dLbls>
        <c:smooth val="0"/>
        <c:axId val="246685056"/>
        <c:axId val="246584448"/>
      </c:lineChart>
      <c:catAx>
        <c:axId val="246685056"/>
        <c:scaling>
          <c:orientation val="minMax"/>
        </c:scaling>
        <c:delete val="0"/>
        <c:axPos val="b"/>
        <c:numFmt formatCode="General" sourceLinked="1"/>
        <c:majorTickMark val="out"/>
        <c:minorTickMark val="none"/>
        <c:tickLblPos val="nextTo"/>
        <c:crossAx val="246584448"/>
        <c:crosses val="autoZero"/>
        <c:auto val="1"/>
        <c:lblAlgn val="ctr"/>
        <c:lblOffset val="100"/>
        <c:noMultiLvlLbl val="0"/>
      </c:catAx>
      <c:valAx>
        <c:axId val="246584448"/>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crossAx val="246685056"/>
        <c:crosses val="autoZero"/>
        <c:crossBetween val="between"/>
      </c:valAx>
    </c:plotArea>
    <c:legend>
      <c:legendPos val="b"/>
      <c:layout>
        <c:manualLayout>
          <c:xMode val="edge"/>
          <c:yMode val="edge"/>
          <c:x val="3.697390785526599E-2"/>
          <c:y val="0.83430108570178241"/>
          <c:w val="0.96114684634748815"/>
          <c:h val="0.16569891429821737"/>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2819544800021"/>
          <c:y val="5.13585977626181E-2"/>
          <c:w val="0.81931653168663232"/>
          <c:h val="0.76103620511240266"/>
        </c:manualLayout>
      </c:layout>
      <c:lineChart>
        <c:grouping val="standard"/>
        <c:varyColors val="0"/>
        <c:ser>
          <c:idx val="0"/>
          <c:order val="0"/>
          <c:tx>
            <c:v>Termoelettrica tradizionale</c:v>
          </c:tx>
          <c:spPr>
            <a:ln>
              <a:solidFill>
                <a:schemeClr val="tx1">
                  <a:lumMod val="65000"/>
                  <a:lumOff val="3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0.82314404432132959</c:v>
              </c:pt>
              <c:pt idx="1">
                <c:v>0.78001411076272509</c:v>
              </c:pt>
              <c:pt idx="2">
                <c:v>0.78229777153111102</c:v>
              </c:pt>
              <c:pt idx="3">
                <c:v>0.78382599797129293</c:v>
              </c:pt>
              <c:pt idx="4">
                <c:v>0.77927999630736366</c:v>
              </c:pt>
              <c:pt idx="5">
                <c:v>0.81214700670798545</c:v>
              </c:pt>
              <c:pt idx="6">
                <c:v>0.79184492027834352</c:v>
              </c:pt>
              <c:pt idx="7">
                <c:v>0.79883548640830826</c:v>
              </c:pt>
              <c:pt idx="8">
                <c:v>0.80053426945964867</c:v>
              </c:pt>
              <c:pt idx="9">
                <c:v>0.78697443943217471</c:v>
              </c:pt>
              <c:pt idx="10">
                <c:v>0.79689895355768336</c:v>
              </c:pt>
              <c:pt idx="11">
                <c:v>0.78628042289735878</c:v>
              </c:pt>
              <c:pt idx="12">
                <c:v>0.81298934929163535</c:v>
              </c:pt>
              <c:pt idx="13">
                <c:v>0.82612555502359941</c:v>
              </c:pt>
              <c:pt idx="14">
                <c:v>0.81136990428820743</c:v>
              </c:pt>
              <c:pt idx="15">
                <c:v>0.83330276567602213</c:v>
              </c:pt>
              <c:pt idx="16">
                <c:v>0.83459181103956426</c:v>
              </c:pt>
              <c:pt idx="17">
                <c:v>0.84668512335610158</c:v>
              </c:pt>
              <c:pt idx="18">
                <c:v>0.81887734638215959</c:v>
              </c:pt>
              <c:pt idx="19">
                <c:v>0.77445628216807805</c:v>
              </c:pt>
              <c:pt idx="20">
                <c:v>0.76556382052325145</c:v>
              </c:pt>
              <c:pt idx="21">
                <c:v>0.7552285431782344</c:v>
              </c:pt>
              <c:pt idx="22">
                <c:v>0.72695991194755893</c:v>
              </c:pt>
              <c:pt idx="23">
                <c:v>0.6659251307522086</c:v>
              </c:pt>
              <c:pt idx="24">
                <c:v>0.62956771333268058</c:v>
              </c:pt>
              <c:pt idx="25">
                <c:v>0.67864866392927059</c:v>
              </c:pt>
              <c:pt idx="26">
                <c:v>0.68823839192844483</c:v>
              </c:pt>
              <c:pt idx="27">
                <c:v>0.70812459185030152</c:v>
              </c:pt>
              <c:pt idx="28">
                <c:v>0.6652550633440989</c:v>
              </c:pt>
              <c:pt idx="29">
                <c:v>0.66609414403240674</c:v>
              </c:pt>
              <c:pt idx="30">
                <c:v>0.6462978302722705</c:v>
              </c:pt>
              <c:pt idx="31">
                <c:v>0.65628197399362487</c:v>
              </c:pt>
              <c:pt idx="32">
                <c:v>0.70155849539702253</c:v>
              </c:pt>
              <c:pt idx="33">
                <c:v>0.6142148580985185</c:v>
              </c:pt>
              <c:pt idx="34">
                <c:v>0.56125801106460271</c:v>
              </c:pt>
              <c:pt idx="35">
                <c:v>0.57604614270594512</c:v>
              </c:pt>
            </c:numLit>
          </c:val>
          <c:smooth val="1"/>
          <c:extLst>
            <c:ext xmlns:c16="http://schemas.microsoft.com/office/drawing/2014/chart" uri="{C3380CC4-5D6E-409C-BE32-E72D297353CC}">
              <c16:uniqueId val="{00000000-A408-4A32-B242-90ED50A8E083}"/>
            </c:ext>
          </c:extLst>
        </c:ser>
        <c:dLbls>
          <c:showLegendKey val="0"/>
          <c:showVal val="0"/>
          <c:showCatName val="0"/>
          <c:showSerName val="0"/>
          <c:showPercent val="0"/>
          <c:showBubbleSize val="0"/>
        </c:dLbls>
        <c:smooth val="0"/>
        <c:axId val="166866304"/>
        <c:axId val="166876288"/>
      </c:lineChart>
      <c:dateAx>
        <c:axId val="166866304"/>
        <c:scaling>
          <c:orientation val="minMax"/>
        </c:scaling>
        <c:delete val="0"/>
        <c:axPos val="b"/>
        <c:numFmt formatCode="General" sourceLinked="1"/>
        <c:majorTickMark val="out"/>
        <c:minorTickMark val="none"/>
        <c:tickLblPos val="nextTo"/>
        <c:txPr>
          <a:bodyPr rot="-5400000" vert="horz" anchor="ctr" anchorCtr="1"/>
          <a:lstStyle/>
          <a:p>
            <a:pPr>
              <a:defRPr sz="1000" b="1" i="0" u="none" strike="noStrike" baseline="0">
                <a:solidFill>
                  <a:srgbClr val="000000"/>
                </a:solidFill>
                <a:latin typeface="Calibri"/>
                <a:ea typeface="Calibri"/>
                <a:cs typeface="Calibri"/>
              </a:defRPr>
            </a:pPr>
            <a:endParaRPr lang="it-IT"/>
          </a:p>
        </c:txPr>
        <c:crossAx val="166876288"/>
        <c:crosses val="autoZero"/>
        <c:auto val="0"/>
        <c:lblOffset val="100"/>
        <c:baseTimeUnit val="days"/>
        <c:majorUnit val="1"/>
        <c:majorTimeUnit val="days"/>
      </c:dateAx>
      <c:valAx>
        <c:axId val="166876288"/>
        <c:scaling>
          <c:orientation val="minMax"/>
          <c:max val="1"/>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866304"/>
        <c:crosses val="autoZero"/>
        <c:crossBetween val="between"/>
        <c:majorUnit val="0.1"/>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68584658913113"/>
          <c:y val="5.13585977626181E-2"/>
          <c:w val="0.83785590795669673"/>
          <c:h val="0.75231167889028416"/>
        </c:manualLayout>
      </c:layout>
      <c:lineChart>
        <c:grouping val="standard"/>
        <c:varyColors val="0"/>
        <c:ser>
          <c:idx val="0"/>
          <c:order val="0"/>
          <c:tx>
            <c:v>Idroelettrica</c:v>
          </c:tx>
          <c:spPr>
            <a:ln>
              <a:solidFill>
                <a:schemeClr val="tx2">
                  <a:lumMod val="60000"/>
                  <a:lumOff val="4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0.14601108033240998</c:v>
              </c:pt>
              <c:pt idx="1">
                <c:v>0.19042541920912107</c:v>
              </c:pt>
              <c:pt idx="2">
                <c:v>0.18651603949543433</c:v>
              </c:pt>
              <c:pt idx="3">
                <c:v>0.18592741537329108</c:v>
              </c:pt>
              <c:pt idx="4">
                <c:v>0.19264733985670329</c:v>
              </c:pt>
              <c:pt idx="5">
                <c:v>0.15644981558112755</c:v>
              </c:pt>
              <c:pt idx="6">
                <c:v>0.17197278421743167</c:v>
              </c:pt>
              <c:pt idx="7">
                <c:v>0.1654266237933939</c:v>
              </c:pt>
              <c:pt idx="8">
                <c:v>0.15863953747969545</c:v>
              </c:pt>
              <c:pt idx="9">
                <c:v>0.17073754645048994</c:v>
              </c:pt>
              <c:pt idx="10">
                <c:v>0.15977322323681031</c:v>
              </c:pt>
              <c:pt idx="11">
                <c:v>0.16777403993998755</c:v>
              </c:pt>
              <c:pt idx="12">
                <c:v>0.13852966662553703</c:v>
              </c:pt>
              <c:pt idx="13">
                <c:v>0.12477376270016832</c:v>
              </c:pt>
              <c:pt idx="14">
                <c:v>0.13956832445354878</c:v>
              </c:pt>
              <c:pt idx="15">
                <c:v>0.1187584767625986</c:v>
              </c:pt>
              <c:pt idx="16">
                <c:v>0.11777046499952723</c:v>
              </c:pt>
              <c:pt idx="17">
                <c:v>0.10454429605464366</c:v>
              </c:pt>
              <c:pt idx="18">
                <c:v>0.1304266354484197</c:v>
              </c:pt>
              <c:pt idx="19">
                <c:v>0.16790959347682119</c:v>
              </c:pt>
              <c:pt idx="20">
                <c:v>0.16922607432220557</c:v>
              </c:pt>
              <c:pt idx="21">
                <c:v>0.1514395873414959</c:v>
              </c:pt>
              <c:pt idx="22">
                <c:v>0.13992058172350491</c:v>
              </c:pt>
              <c:pt idx="23">
                <c:v>0.18210037891139491</c:v>
              </c:pt>
              <c:pt idx="24">
                <c:v>0.20921908513866722</c:v>
              </c:pt>
              <c:pt idx="25">
                <c:v>0.16091259885368595</c:v>
              </c:pt>
              <c:pt idx="26">
                <c:v>0.14643359761354074</c:v>
              </c:pt>
              <c:pt idx="27">
                <c:v>0.12236318438121832</c:v>
              </c:pt>
              <c:pt idx="28">
                <c:v>0.16839874143119424</c:v>
              </c:pt>
              <c:pt idx="29">
                <c:v>0.15762463031875448</c:v>
              </c:pt>
              <c:pt idx="30">
                <c:v>0.16950633603641432</c:v>
              </c:pt>
              <c:pt idx="31">
                <c:v>0.15701448630593851</c:v>
              </c:pt>
              <c:pt idx="32">
                <c:v>0.10000805338366781</c:v>
              </c:pt>
              <c:pt idx="33">
                <c:v>0.15306400115515389</c:v>
              </c:pt>
              <c:pt idx="34">
                <c:v>0.19608129399374344</c:v>
              </c:pt>
              <c:pt idx="35">
                <c:v>0.15111503906009061</c:v>
              </c:pt>
            </c:numLit>
          </c:val>
          <c:smooth val="1"/>
          <c:extLst>
            <c:ext xmlns:c16="http://schemas.microsoft.com/office/drawing/2014/chart" uri="{C3380CC4-5D6E-409C-BE32-E72D297353CC}">
              <c16:uniqueId val="{00000000-9448-468B-9C11-1E8A386AFA0A}"/>
            </c:ext>
          </c:extLst>
        </c:ser>
        <c:dLbls>
          <c:showLegendKey val="0"/>
          <c:showVal val="0"/>
          <c:showCatName val="0"/>
          <c:showSerName val="0"/>
          <c:showPercent val="0"/>
          <c:showBubbleSize val="0"/>
        </c:dLbls>
        <c:smooth val="0"/>
        <c:axId val="166919168"/>
        <c:axId val="166933248"/>
      </c:lineChart>
      <c:dateAx>
        <c:axId val="1669191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33248"/>
        <c:crosses val="autoZero"/>
        <c:auto val="0"/>
        <c:lblOffset val="100"/>
        <c:baseTimeUnit val="days"/>
        <c:majorUnit val="1"/>
        <c:majorTimeUnit val="days"/>
      </c:dateAx>
      <c:valAx>
        <c:axId val="166933248"/>
        <c:scaling>
          <c:orientation val="minMax"/>
          <c:max val="0.22"/>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19168"/>
        <c:crosses val="autoZero"/>
        <c:crossBetween val="between"/>
        <c:majorUnit val="2.0000000000000011E-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2890001745625"/>
          <c:y val="0.10991007842204856"/>
          <c:w val="0.81641564779632447"/>
          <c:h val="0.70248491263057988"/>
        </c:manualLayout>
      </c:layout>
      <c:lineChart>
        <c:grouping val="standard"/>
        <c:varyColors val="0"/>
        <c:ser>
          <c:idx val="2"/>
          <c:order val="0"/>
          <c:tx>
            <c:v>Geotermico</c:v>
          </c:tx>
          <c:spPr>
            <a:ln>
              <a:solidFill>
                <a:schemeClr val="accent6">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1.4875346260387811E-2</c:v>
              </c:pt>
              <c:pt idx="1">
                <c:v>1.434519073197891E-2</c:v>
              </c:pt>
              <c:pt idx="2">
                <c:v>1.5288127502718183E-2</c:v>
              </c:pt>
              <c:pt idx="3">
                <c:v>1.6458559617956749E-2</c:v>
              </c:pt>
              <c:pt idx="4">
                <c:v>1.4741642714139478E-2</c:v>
              </c:pt>
              <c:pt idx="5">
                <c:v>1.4226776204064545E-2</c:v>
              </c:pt>
              <c:pt idx="6">
                <c:v>1.539243886942651E-2</c:v>
              </c:pt>
              <c:pt idx="7">
                <c:v>1.552949896965759E-2</c:v>
              </c:pt>
              <c:pt idx="8">
                <c:v>1.6219389208372785E-2</c:v>
              </c:pt>
              <c:pt idx="9">
                <c:v>1.6572736799628996E-2</c:v>
              </c:pt>
              <c:pt idx="10">
                <c:v>1.7008257239227147E-2</c:v>
              </c:pt>
              <c:pt idx="11">
                <c:v>1.61521902909086E-2</c:v>
              </c:pt>
              <c:pt idx="12">
                <c:v>1.6343074515698438E-2</c:v>
              </c:pt>
              <c:pt idx="13">
                <c:v>1.8172142128234991E-2</c:v>
              </c:pt>
              <c:pt idx="14">
                <c:v>1.79242863481636E-2</c:v>
              </c:pt>
              <c:pt idx="15">
                <c:v>1.7532225280451393E-2</c:v>
              </c:pt>
              <c:pt idx="16">
                <c:v>1.7596297500118579E-2</c:v>
              </c:pt>
              <c:pt idx="17">
                <c:v>1.7742315730451624E-2</c:v>
              </c:pt>
              <c:pt idx="18">
                <c:v>1.7297988027434624E-2</c:v>
              </c:pt>
              <c:pt idx="19">
                <c:v>1.8253665050816249E-2</c:v>
              </c:pt>
              <c:pt idx="20">
                <c:v>1.7797334905460496E-2</c:v>
              </c:pt>
              <c:pt idx="21">
                <c:v>1.8686930411831618E-2</c:v>
              </c:pt>
              <c:pt idx="22">
                <c:v>1.868407845328162E-2</c:v>
              </c:pt>
              <c:pt idx="23">
                <c:v>1.9527687515592439E-2</c:v>
              </c:pt>
              <c:pt idx="24">
                <c:v>2.1142615361854165E-2</c:v>
              </c:pt>
              <c:pt idx="25">
                <c:v>2.1855587044248288E-2</c:v>
              </c:pt>
              <c:pt idx="26">
                <c:v>2.1702174358677041E-2</c:v>
              </c:pt>
              <c:pt idx="27">
                <c:v>2.096203949271137E-2</c:v>
              </c:pt>
              <c:pt idx="28">
                <c:v>2.1074289669527978E-2</c:v>
              </c:pt>
              <c:pt idx="29">
                <c:v>2.0673248631181959E-2</c:v>
              </c:pt>
              <c:pt idx="30">
                <c:v>2.1481090144279021E-2</c:v>
              </c:pt>
              <c:pt idx="31">
                <c:v>2.0458055506092105E-2</c:v>
              </c:pt>
              <c:pt idx="32">
                <c:v>2.0555857072257183E-2</c:v>
              </c:pt>
              <c:pt idx="33">
                <c:v>2.1503676389477259E-2</c:v>
              </c:pt>
              <c:pt idx="34">
                <c:v>2.0943809304856956E-2</c:v>
              </c:pt>
              <c:pt idx="35">
                <c:v>2.0381578651023347E-2</c:v>
              </c:pt>
            </c:numLit>
          </c:val>
          <c:smooth val="1"/>
          <c:extLst>
            <c:ext xmlns:c16="http://schemas.microsoft.com/office/drawing/2014/chart" uri="{C3380CC4-5D6E-409C-BE32-E72D297353CC}">
              <c16:uniqueId val="{00000000-7077-45DF-A6CA-98D12BF1872B}"/>
            </c:ext>
          </c:extLst>
        </c:ser>
        <c:dLbls>
          <c:showLegendKey val="0"/>
          <c:showVal val="0"/>
          <c:showCatName val="0"/>
          <c:showSerName val="0"/>
          <c:showPercent val="0"/>
          <c:showBubbleSize val="0"/>
        </c:dLbls>
        <c:smooth val="0"/>
        <c:axId val="166944128"/>
        <c:axId val="166966400"/>
      </c:lineChart>
      <c:dateAx>
        <c:axId val="16694412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66400"/>
        <c:crosses val="autoZero"/>
        <c:auto val="0"/>
        <c:lblOffset val="100"/>
        <c:baseTimeUnit val="days"/>
        <c:majorUnit val="1"/>
        <c:majorTimeUnit val="days"/>
      </c:dateAx>
      <c:valAx>
        <c:axId val="166966400"/>
        <c:scaling>
          <c:orientation val="minMax"/>
          <c:min val="0"/>
        </c:scaling>
        <c:delete val="0"/>
        <c:axPos val="l"/>
        <c:majorGridlines>
          <c:spPr>
            <a:ln>
              <a:prstDash val="dash"/>
            </a:ln>
          </c:spPr>
        </c:majorGridlines>
        <c:numFmt formatCode="0.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44128"/>
        <c:crosses val="autoZero"/>
        <c:crossBetween val="between"/>
      </c:valAx>
    </c:plotArea>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3410022040341"/>
          <c:y val="0.11240961716326887"/>
          <c:w val="0.84001042048773578"/>
          <c:h val="0.70632252018851804"/>
        </c:manualLayout>
      </c:layout>
      <c:lineChart>
        <c:grouping val="standard"/>
        <c:varyColors val="0"/>
        <c:ser>
          <c:idx val="1"/>
          <c:order val="0"/>
          <c:tx>
            <c:v>Fotovoltaico</c:v>
          </c:tx>
          <c:spPr>
            <a:ln>
              <a:solidFill>
                <a:srgbClr val="FF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1.8467220683287167E-5</c:v>
              </c:pt>
              <c:pt idx="1">
                <c:v>2.254115451285184E-5</c:v>
              </c:pt>
              <c:pt idx="2">
                <c:v>3.9778302262059455E-5</c:v>
              </c:pt>
              <c:pt idx="3">
                <c:v>4.9371190563818996E-5</c:v>
              </c:pt>
              <c:pt idx="4">
                <c:v>4.7452102494815863E-5</c:v>
              </c:pt>
              <c:pt idx="5">
                <c:v>5.3832835793700981E-5</c:v>
              </c:pt>
              <c:pt idx="6">
                <c:v>5.7275713420149674E-5</c:v>
              </c:pt>
              <c:pt idx="7">
                <c:v>5.9649309777953456E-5</c:v>
              </c:pt>
              <c:pt idx="8">
                <c:v>6.1587257596403292E-5</c:v>
              </c:pt>
              <c:pt idx="9">
                <c:v>6.3991760872576591E-5</c:v>
              </c:pt>
              <c:pt idx="10">
                <c:v>6.5066018512728178E-5</c:v>
              </c:pt>
              <c:pt idx="11">
                <c:v>6.8098259336808983E-5</c:v>
              </c:pt>
              <c:pt idx="12">
                <c:v>7.3612715790418297E-5</c:v>
              </c:pt>
              <c:pt idx="13">
                <c:v>8.1664902364505162E-5</c:v>
              </c:pt>
              <c:pt idx="14">
                <c:v>9.5599710168051119E-5</c:v>
              </c:pt>
              <c:pt idx="15">
                <c:v>1.0207512136238018E-4</c:v>
              </c:pt>
              <c:pt idx="16">
                <c:v>1.1142135769152771E-4</c:v>
              </c:pt>
              <c:pt idx="17">
                <c:v>1.2424813946375774E-4</c:v>
              </c:pt>
              <c:pt idx="18">
                <c:v>6.0476997433017818E-4</c:v>
              </c:pt>
              <c:pt idx="19">
                <c:v>2.3116935128378435E-3</c:v>
              </c:pt>
              <c:pt idx="20">
                <c:v>6.3089680108142018E-3</c:v>
              </c:pt>
              <c:pt idx="21">
                <c:v>3.5678774498525127E-2</c:v>
              </c:pt>
              <c:pt idx="22">
                <c:v>6.3024390178704495E-2</c:v>
              </c:pt>
              <c:pt idx="23">
                <c:v>7.449382151171878E-2</c:v>
              </c:pt>
              <c:pt idx="24">
                <c:v>7.9714624901993436E-2</c:v>
              </c:pt>
              <c:pt idx="25">
                <c:v>8.106956331229638E-2</c:v>
              </c:pt>
              <c:pt idx="26">
                <c:v>7.6282697687323861E-2</c:v>
              </c:pt>
              <c:pt idx="27">
                <c:v>8.240442336023189E-2</c:v>
              </c:pt>
              <c:pt idx="28">
                <c:v>7.8195162203222215E-2</c:v>
              </c:pt>
              <c:pt idx="29">
                <c:v>8.0614745839307042E-2</c:v>
              </c:pt>
              <c:pt idx="30">
                <c:v>8.8908187527529478E-2</c:v>
              </c:pt>
              <c:pt idx="31">
                <c:v>8.661930599902605E-2</c:v>
              </c:pt>
              <c:pt idx="32">
                <c:v>9.9035709821562887E-2</c:v>
              </c:pt>
              <c:pt idx="33">
                <c:v>0.11601868450948227</c:v>
              </c:pt>
              <c:pt idx="34">
                <c:v>0.13283394232434306</c:v>
              </c:pt>
              <c:pt idx="35">
                <c:v>0.16206829737323061</c:v>
              </c:pt>
            </c:numLit>
          </c:val>
          <c:smooth val="1"/>
          <c:extLst>
            <c:ext xmlns:c16="http://schemas.microsoft.com/office/drawing/2014/chart" uri="{C3380CC4-5D6E-409C-BE32-E72D297353CC}">
              <c16:uniqueId val="{00000000-29B6-4C30-8DDA-D3EB74BE0E2C}"/>
            </c:ext>
          </c:extLst>
        </c:ser>
        <c:ser>
          <c:idx val="0"/>
          <c:order val="1"/>
          <c:tx>
            <c:v>Eolico</c:v>
          </c:tx>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9.2336103416435834E-6</c:v>
              </c:pt>
              <c:pt idx="1">
                <c:v>1.3524692707711104E-5</c:v>
              </c:pt>
              <c:pt idx="2">
                <c:v>8.8396227249021018E-6</c:v>
              </c:pt>
              <c:pt idx="3">
                <c:v>1.7953160205025091E-5</c:v>
              </c:pt>
              <c:pt idx="4">
                <c:v>2.7177113247030901E-5</c:v>
              </c:pt>
              <c:pt idx="5">
                <c:v>4.0995774950587672E-5</c:v>
              </c:pt>
              <c:pt idx="6">
                <c:v>1.3377970205992104E-4</c:v>
              </c:pt>
              <c:pt idx="7">
                <c:v>4.6844591278952783E-4</c:v>
              </c:pt>
              <c:pt idx="8">
                <c:v>8.918604740679152E-4</c:v>
              </c:pt>
              <c:pt idx="9">
                <c:v>1.5150990441889457E-3</c:v>
              </c:pt>
              <c:pt idx="10">
                <c:v>2.0354819458065134E-3</c:v>
              </c:pt>
              <c:pt idx="11">
                <c:v>4.2242425502296349E-3</c:v>
              </c:pt>
              <c:pt idx="12">
                <c:v>4.9222369291859703E-3</c:v>
              </c:pt>
              <c:pt idx="13">
                <c:v>4.9625039003497635E-3</c:v>
              </c:pt>
              <c:pt idx="14">
                <c:v>6.0870643043209102E-3</c:v>
              </c:pt>
              <c:pt idx="15">
                <c:v>7.7162206258258618E-3</c:v>
              </c:pt>
              <c:pt idx="16">
                <c:v>9.4571264941206105E-3</c:v>
              </c:pt>
              <c:pt idx="17">
                <c:v>1.2852992150066264E-2</c:v>
              </c:pt>
              <c:pt idx="18">
                <c:v>1.5232996249799456E-2</c:v>
              </c:pt>
              <c:pt idx="19">
                <c:v>2.2357988891569439E-2</c:v>
              </c:pt>
              <c:pt idx="20">
                <c:v>3.0212001453476058E-2</c:v>
              </c:pt>
              <c:pt idx="21">
                <c:v>3.2574476223613383E-2</c:v>
              </c:pt>
              <c:pt idx="22">
                <c:v>4.4798416980702117E-2</c:v>
              </c:pt>
              <c:pt idx="23">
                <c:v>5.1403725070642593E-2</c:v>
              </c:pt>
              <c:pt idx="24">
                <c:v>5.4241495317484081E-2</c:v>
              </c:pt>
              <c:pt idx="25">
                <c:v>5.2453055541813606E-2</c:v>
              </c:pt>
              <c:pt idx="26">
                <c:v>6.1044310590327028E-2</c:v>
              </c:pt>
              <c:pt idx="27">
                <c:v>5.9973296857984887E-2</c:v>
              </c:pt>
              <c:pt idx="28">
                <c:v>6.1152511793039849E-2</c:v>
              </c:pt>
              <c:pt idx="29">
                <c:v>6.8748616248356015E-2</c:v>
              </c:pt>
              <c:pt idx="30">
                <c:v>6.687872664232411E-2</c:v>
              </c:pt>
              <c:pt idx="31">
                <c:v>7.2395391286929095E-2</c:v>
              </c:pt>
              <c:pt idx="32">
                <c:v>7.2174586854366743E-2</c:v>
              </c:pt>
              <c:pt idx="33">
                <c:v>8.930776530786641E-2</c:v>
              </c:pt>
              <c:pt idx="34">
                <c:v>8.23798443915571E-2</c:v>
              </c:pt>
              <c:pt idx="35">
                <c:v>7.775295580813292E-2</c:v>
              </c:pt>
            </c:numLit>
          </c:val>
          <c:smooth val="1"/>
          <c:extLst>
            <c:ext xmlns:c16="http://schemas.microsoft.com/office/drawing/2014/chart" uri="{C3380CC4-5D6E-409C-BE32-E72D297353CC}">
              <c16:uniqueId val="{00000001-29B6-4C30-8DDA-D3EB74BE0E2C}"/>
            </c:ext>
          </c:extLst>
        </c:ser>
        <c:ser>
          <c:idx val="2"/>
          <c:order val="2"/>
          <c:tx>
            <c:v>Rifiuti e bioenergie</c:v>
          </c:tx>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2.3776546629732226E-4</c:v>
              </c:pt>
              <c:pt idx="1">
                <c:v>4.5893790588166349E-4</c:v>
              </c:pt>
              <c:pt idx="2">
                <c:v>4.0662264534549664E-4</c:v>
              </c:pt>
              <c:pt idx="3">
                <c:v>4.6678216533065233E-4</c:v>
              </c:pt>
              <c:pt idx="4">
                <c:v>8.2113706453529084E-4</c:v>
              </c:pt>
              <c:pt idx="5">
                <c:v>1.2543050739932328E-3</c:v>
              </c:pt>
              <c:pt idx="6">
                <c:v>1.9805123476210329E-3</c:v>
              </c:pt>
              <c:pt idx="7">
                <c:v>2.7603712254910934E-3</c:v>
              </c:pt>
              <c:pt idx="8">
                <c:v>3.8357313871759929E-3</c:v>
              </c:pt>
              <c:pt idx="9">
                <c:v>5.6305221125411802E-3</c:v>
              </c:pt>
              <c:pt idx="10">
                <c:v>5.4386154529625103E-3</c:v>
              </c:pt>
              <c:pt idx="11">
                <c:v>7.0175256246581656E-3</c:v>
              </c:pt>
              <c:pt idx="12">
                <c:v>9.4944629216255939E-3</c:v>
              </c:pt>
              <c:pt idx="13">
                <c:v>1.2205670334441594E-2</c:v>
              </c:pt>
              <c:pt idx="14">
                <c:v>1.483081158879466E-2</c:v>
              </c:pt>
              <c:pt idx="15">
                <c:v>1.595351828247742E-2</c:v>
              </c:pt>
              <c:pt idx="16">
                <c:v>1.6828763518992089E-2</c:v>
              </c:pt>
              <c:pt idx="17">
                <c:v>1.7335004842491585E-2</c:v>
              </c:pt>
              <c:pt idx="18">
                <c:v>1.8695696043237609E-2</c:v>
              </c:pt>
              <c:pt idx="19">
                <c:v>2.5822351222959332E-2</c:v>
              </c:pt>
              <c:pt idx="20">
                <c:v>3.1252151875534998E-2</c:v>
              </c:pt>
              <c:pt idx="21">
                <c:v>3.5800064551425433E-2</c:v>
              </c:pt>
              <c:pt idx="22">
                <c:v>4.1723999435972527E-2</c:v>
              </c:pt>
              <c:pt idx="23">
                <c:v>5.8971601141323493E-2</c:v>
              </c:pt>
              <c:pt idx="24">
                <c:v>6.694321730261639E-2</c:v>
              </c:pt>
              <c:pt idx="25">
                <c:v>6.8537495494604125E-2</c:v>
              </c:pt>
              <c:pt idx="26">
                <c:v>6.732484793017314E-2</c:v>
              </c:pt>
              <c:pt idx="27">
                <c:v>6.5559951484444948E-2</c:v>
              </c:pt>
              <c:pt idx="28">
                <c:v>6.6282496610881828E-2</c:v>
              </c:pt>
              <c:pt idx="29">
                <c:v>6.6573040049584892E-2</c:v>
              </c:pt>
              <c:pt idx="30">
                <c:v>6.9987983574607546E-2</c:v>
              </c:pt>
              <c:pt idx="31">
                <c:v>6.5972991272019874E-2</c:v>
              </c:pt>
              <c:pt idx="32">
                <c:v>6.203770272121642E-2</c:v>
              </c:pt>
              <c:pt idx="33">
                <c:v>6.0510020127271004E-2</c:v>
              </c:pt>
              <c:pt idx="34">
                <c:v>6.3612751944162271E-2</c:v>
              </c:pt>
              <c:pt idx="35">
                <c:v>6.5247622927178728E-2</c:v>
              </c:pt>
            </c:numLit>
          </c:val>
          <c:smooth val="0"/>
          <c:extLst>
            <c:ext xmlns:c16="http://schemas.microsoft.com/office/drawing/2014/chart" uri="{C3380CC4-5D6E-409C-BE32-E72D297353CC}">
              <c16:uniqueId val="{00000002-29B6-4C30-8DDA-D3EB74BE0E2C}"/>
            </c:ext>
          </c:extLst>
        </c:ser>
        <c:dLbls>
          <c:showLegendKey val="0"/>
          <c:showVal val="0"/>
          <c:showCatName val="0"/>
          <c:showSerName val="0"/>
          <c:showPercent val="0"/>
          <c:showBubbleSize val="0"/>
        </c:dLbls>
        <c:smooth val="0"/>
        <c:axId val="167187968"/>
        <c:axId val="167189504"/>
      </c:lineChart>
      <c:dateAx>
        <c:axId val="1671879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7189504"/>
        <c:crosses val="autoZero"/>
        <c:auto val="0"/>
        <c:lblOffset val="100"/>
        <c:baseTimeUnit val="days"/>
        <c:majorUnit val="1"/>
        <c:majorTimeUnit val="days"/>
      </c:dateAx>
      <c:valAx>
        <c:axId val="167189504"/>
        <c:scaling>
          <c:orientation val="minMax"/>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7187968"/>
        <c:crosses val="autoZero"/>
        <c:crossBetween val="between"/>
      </c:valAx>
    </c:plotArea>
    <c:legend>
      <c:legendPos val="b"/>
      <c:layout>
        <c:manualLayout>
          <c:xMode val="edge"/>
          <c:yMode val="edge"/>
          <c:x val="0.15012461129006144"/>
          <c:y val="5.7817454391158934E-3"/>
          <c:w val="0.76512949013461551"/>
          <c:h val="7.9350673921662937E-2"/>
        </c:manualLayout>
      </c:layout>
      <c:overlay val="0"/>
      <c:txPr>
        <a:bodyPr/>
        <a:lstStyle/>
        <a:p>
          <a:pPr>
            <a:defRPr sz="1050"/>
          </a:pPr>
          <a:endParaRPr lang="it-IT"/>
        </a:p>
      </c:txPr>
    </c:legend>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EE87B14-EF0D-4146-B945-60A32987FB9C}">
  <sheetPr>
    <tabColor theme="7" tint="0.59999389629810485"/>
  </sheetPr>
  <sheetViews>
    <sheetView zoomScale="80" workbookViewId="0"/>
  </sheetViews>
  <sheetProtection algorithmName="SHA-512" hashValue="6lsEPjwpedTpr02vOCY3FdcdQ8CAEWff0dyejERoNmZSigXaQwteejhlsVy+D4R1nQ/zhi9IIToqeJTwdiqqrg==" saltValue="S+04gmgWhOmgO+1Y36+jHA=="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 Id="rId9"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3933825</xdr:colOff>
      <xdr:row>7</xdr:row>
      <xdr:rowOff>7408</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42585" cy="11580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114300</xdr:rowOff>
    </xdr:from>
    <xdr:to>
      <xdr:col>9</xdr:col>
      <xdr:colOff>543263</xdr:colOff>
      <xdr:row>20</xdr:row>
      <xdr:rowOff>34231</xdr:rowOff>
    </xdr:to>
    <xdr:graphicFrame macro="">
      <xdr:nvGraphicFramePr>
        <xdr:cNvPr id="5" name="Grafico 2">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energia elettrica lorda di origine termica su produzione totale (%)</a:t>
          </a:r>
          <a:endParaRPr lang="it-IT" sz="11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xdr:row>
      <xdr:rowOff>175260</xdr:rowOff>
    </xdr:from>
    <xdr:to>
      <xdr:col>10</xdr:col>
      <xdr:colOff>307038</xdr:colOff>
      <xdr:row>22</xdr:row>
      <xdr:rowOff>99060</xdr:rowOff>
    </xdr:to>
    <xdr:graphicFrame macro="">
      <xdr:nvGraphicFramePr>
        <xdr:cNvPr id="5" name="Gra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0.00417</cdr:x>
      <cdr:y>0.03989</cdr:y>
    </cdr:from>
    <cdr:to>
      <cdr:x>0.07812</cdr:x>
      <cdr:y>0.74858</cdr:y>
    </cdr:to>
    <cdr:sp macro="" textlink="">
      <cdr:nvSpPr>
        <cdr:cNvPr id="2" name="CasellaDiTesto 1"/>
        <cdr:cNvSpPr txBox="1"/>
      </cdr:nvSpPr>
      <cdr:spPr>
        <a:xfrm xmlns:a="http://schemas.openxmlformats.org/drawingml/2006/main" rot="16200000">
          <a:off x="-1045176" y="1219702"/>
          <a:ext cx="2621998" cy="4777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latin typeface="Arial" panose="020B0604020202020204" pitchFamily="34" charset="0"/>
              <a:cs typeface="Arial" panose="020B0604020202020204" pitchFamily="34" charset="0"/>
            </a:rPr>
            <a:t>Produzione lorda e consumi di energia elettrica </a:t>
          </a:r>
          <a:r>
            <a:rPr lang="it-IT" sz="1100" b="1" baseline="0">
              <a:latin typeface="Arial" panose="020B0604020202020204" pitchFamily="34" charset="0"/>
              <a:cs typeface="Arial" panose="020B0604020202020204" pitchFamily="34" charset="0"/>
            </a:rPr>
            <a:t> (TWh)</a:t>
          </a:r>
          <a:endParaRPr lang="it-IT"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0.94861</cdr:x>
      <cdr:y>0.04723</cdr:y>
    </cdr:from>
    <cdr:to>
      <cdr:x>1</cdr:x>
      <cdr:y>0.68296</cdr:y>
    </cdr:to>
    <cdr:sp macro="" textlink="">
      <cdr:nvSpPr>
        <cdr:cNvPr id="3" name="CasellaDiTesto 1">
          <a:extLst xmlns:a="http://schemas.openxmlformats.org/drawingml/2006/main">
            <a:ext uri="{FF2B5EF4-FFF2-40B4-BE49-F238E27FC236}">
              <a16:creationId xmlns:a16="http://schemas.microsoft.com/office/drawing/2014/main" id="{0DA2CE01-79ED-41F3-9789-0D60FADFB4DD}"/>
            </a:ext>
          </a:extLst>
        </cdr:cNvPr>
        <cdr:cNvSpPr txBox="1"/>
      </cdr:nvSpPr>
      <cdr:spPr>
        <a:xfrm xmlns:a="http://schemas.openxmlformats.org/drawingml/2006/main" rot="5400000">
          <a:off x="5073649" y="1236437"/>
          <a:ext cx="2442027" cy="3320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latin typeface="Arial" panose="020B0604020202020204" pitchFamily="34" charset="0"/>
              <a:cs typeface="Arial" panose="020B0604020202020204" pitchFamily="34" charset="0"/>
            </a:rPr>
            <a:t>Emissioni di CO</a:t>
          </a:r>
          <a:r>
            <a:rPr lang="it-IT" sz="1100" b="1" baseline="-25000">
              <a:latin typeface="Arial" panose="020B0604020202020204" pitchFamily="34" charset="0"/>
              <a:cs typeface="Arial" panose="020B0604020202020204" pitchFamily="34" charset="0"/>
            </a:rPr>
            <a:t>2</a:t>
          </a:r>
          <a:r>
            <a:rPr lang="it-IT" sz="1100" b="1">
              <a:latin typeface="Arial" panose="020B0604020202020204" pitchFamily="34" charset="0"/>
              <a:cs typeface="Arial" panose="020B0604020202020204" pitchFamily="34" charset="0"/>
            </a:rPr>
            <a:t> </a:t>
          </a:r>
          <a:r>
            <a:rPr lang="it-IT" sz="1100" b="1" baseline="0">
              <a:latin typeface="Arial" panose="020B0604020202020204" pitchFamily="34" charset="0"/>
              <a:cs typeface="Arial" panose="020B0604020202020204" pitchFamily="34" charset="0"/>
            </a:rPr>
            <a:t>(Mt)</a:t>
          </a:r>
          <a:endParaRPr lang="it-IT" sz="1100" b="1">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xdr:row>
      <xdr:rowOff>114300</xdr:rowOff>
    </xdr:from>
    <xdr:to>
      <xdr:col>11</xdr:col>
      <xdr:colOff>124134</xdr:colOff>
      <xdr:row>23</xdr:row>
      <xdr:rowOff>33167</xdr:rowOff>
    </xdr:to>
    <xdr:graphicFrame macro="">
      <xdr:nvGraphicFramePr>
        <xdr:cNvPr id="3" name="Chart 16">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376518</xdr:colOff>
      <xdr:row>34</xdr:row>
      <xdr:rowOff>55953</xdr:rowOff>
    </xdr:to>
    <xdr:grpSp>
      <xdr:nvGrpSpPr>
        <xdr:cNvPr id="10" name="Gruppo 9">
          <a:extLst>
            <a:ext uri="{FF2B5EF4-FFF2-40B4-BE49-F238E27FC236}">
              <a16:creationId xmlns:a16="http://schemas.microsoft.com/office/drawing/2014/main" id="{00000000-0008-0000-1100-00000A000000}"/>
            </a:ext>
          </a:extLst>
        </xdr:cNvPr>
        <xdr:cNvGrpSpPr/>
      </xdr:nvGrpSpPr>
      <xdr:grpSpPr>
        <a:xfrm>
          <a:off x="0" y="196850"/>
          <a:ext cx="9520518" cy="6132903"/>
          <a:chOff x="39438943" y="8351948"/>
          <a:chExt cx="9296400" cy="5726228"/>
        </a:xfrm>
      </xdr:grpSpPr>
      <xdr:graphicFrame macro="">
        <xdr:nvGraphicFramePr>
          <xdr:cNvPr id="11" name="Grafico 13">
            <a:extLst>
              <a:ext uri="{FF2B5EF4-FFF2-40B4-BE49-F238E27FC236}">
                <a16:creationId xmlns:a16="http://schemas.microsoft.com/office/drawing/2014/main" id="{00000000-0008-0000-1100-00000B000000}"/>
              </a:ext>
            </a:extLst>
          </xdr:cNvPr>
          <xdr:cNvGraphicFramePr>
            <a:graphicFrameLocks/>
          </xdr:cNvGraphicFramePr>
        </xdr:nvGraphicFramePr>
        <xdr:xfrm>
          <a:off x="39451274" y="8351948"/>
          <a:ext cx="4609414" cy="290874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Grafico 14">
            <a:extLst>
              <a:ext uri="{FF2B5EF4-FFF2-40B4-BE49-F238E27FC236}">
                <a16:creationId xmlns:a16="http://schemas.microsoft.com/office/drawing/2014/main" id="{00000000-0008-0000-1100-00000C000000}"/>
              </a:ext>
            </a:extLst>
          </xdr:cNvPr>
          <xdr:cNvGraphicFramePr>
            <a:graphicFrameLocks/>
          </xdr:cNvGraphicFramePr>
        </xdr:nvGraphicFramePr>
        <xdr:xfrm>
          <a:off x="44029865" y="8366532"/>
          <a:ext cx="4612153" cy="291135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ico 15">
            <a:extLst>
              <a:ext uri="{FF2B5EF4-FFF2-40B4-BE49-F238E27FC236}">
                <a16:creationId xmlns:a16="http://schemas.microsoft.com/office/drawing/2014/main" id="{00000000-0008-0000-1100-00000D000000}"/>
              </a:ext>
            </a:extLst>
          </xdr:cNvPr>
          <xdr:cNvGraphicFramePr>
            <a:graphicFrameLocks/>
          </xdr:cNvGraphicFramePr>
        </xdr:nvGraphicFramePr>
        <xdr:xfrm>
          <a:off x="39438943" y="11142076"/>
          <a:ext cx="4621745" cy="291135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4" name="Grafico 16">
            <a:extLst>
              <a:ext uri="{FF2B5EF4-FFF2-40B4-BE49-F238E27FC236}">
                <a16:creationId xmlns:a16="http://schemas.microsoft.com/office/drawing/2014/main" id="{00000000-0008-0000-1100-00000E000000}"/>
              </a:ext>
            </a:extLst>
          </xdr:cNvPr>
          <xdr:cNvGraphicFramePr>
            <a:graphicFrameLocks/>
          </xdr:cNvGraphicFramePr>
        </xdr:nvGraphicFramePr>
        <xdr:xfrm>
          <a:off x="44073289" y="11086582"/>
          <a:ext cx="4662054" cy="2991594"/>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6.xml><?xml version="1.0" encoding="utf-8"?>
<c:userShapes xmlns:c="http://schemas.openxmlformats.org/drawingml/2006/chart">
  <cdr:relSizeAnchor xmlns:cdr="http://schemas.openxmlformats.org/drawingml/2006/chartDrawing">
    <cdr:from>
      <cdr:x>0.01158</cdr:x>
      <cdr:y>0</cdr:y>
    </cdr:from>
    <cdr:to>
      <cdr:x>0.07329</cdr:x>
      <cdr:y>0.82941</cdr:y>
    </cdr:to>
    <cdr:sp macro="" textlink="">
      <cdr:nvSpPr>
        <cdr:cNvPr id="2" name="CasellaDiTesto 1"/>
        <cdr:cNvSpPr txBox="1"/>
      </cdr:nvSpPr>
      <cdr:spPr>
        <a:xfrm xmlns:a="http://schemas.openxmlformats.org/drawingml/2006/main" rot="16200000">
          <a:off x="-1057866" y="1112536"/>
          <a:ext cx="2516365" cy="2912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termoelettrica  (%)</a:t>
          </a:r>
          <a:endParaRPr lang="it-IT" sz="1100" b="1"/>
        </a:p>
      </cdr:txBody>
    </cdr:sp>
  </cdr:relSizeAnchor>
</c:userShapes>
</file>

<file path=xl/drawings/drawing17.xml><?xml version="1.0" encoding="utf-8"?>
<c:userShapes xmlns:c="http://schemas.openxmlformats.org/drawingml/2006/chart">
  <cdr:relSizeAnchor xmlns:cdr="http://schemas.openxmlformats.org/drawingml/2006/chartDrawing">
    <cdr:from>
      <cdr:x>0.01348</cdr:x>
      <cdr:y>0.01272</cdr:y>
    </cdr:from>
    <cdr:to>
      <cdr:x>0.05987</cdr:x>
      <cdr:y>0.84137</cdr:y>
    </cdr:to>
    <cdr:sp macro="" textlink="">
      <cdr:nvSpPr>
        <cdr:cNvPr id="2" name="CasellaDiTesto 1"/>
        <cdr:cNvSpPr txBox="1"/>
      </cdr:nvSpPr>
      <cdr:spPr>
        <a:xfrm xmlns:a="http://schemas.openxmlformats.org/drawingml/2006/main" rot="16200000">
          <a:off x="-1084934" y="1187230"/>
          <a:ext cx="2516315" cy="219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idroelettrica  (%)</a:t>
          </a:r>
          <a:endParaRPr lang="it-IT" sz="1100" b="1"/>
        </a:p>
      </cdr:txBody>
    </cdr:sp>
  </cdr:relSizeAnchor>
</c:userShapes>
</file>

<file path=xl/drawings/drawing18.xml><?xml version="1.0" encoding="utf-8"?>
<c:userShapes xmlns:c="http://schemas.openxmlformats.org/drawingml/2006/chart">
  <cdr:relSizeAnchor xmlns:cdr="http://schemas.openxmlformats.org/drawingml/2006/chartDrawing">
    <cdr:from>
      <cdr:x>0.01348</cdr:x>
      <cdr:y>0.01272</cdr:y>
    </cdr:from>
    <cdr:to>
      <cdr:x>0.06061</cdr:x>
      <cdr:y>0.83271</cdr:y>
    </cdr:to>
    <cdr:sp macro="" textlink="">
      <cdr:nvSpPr>
        <cdr:cNvPr id="2" name="CasellaDiTesto 1"/>
        <cdr:cNvSpPr txBox="1"/>
      </cdr:nvSpPr>
      <cdr:spPr>
        <a:xfrm xmlns:a="http://schemas.openxmlformats.org/drawingml/2006/main" rot="16200000">
          <a:off x="-1069677" y="1172107"/>
          <a:ext cx="2490031" cy="2230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geotermica (%)</a:t>
          </a:r>
          <a:endParaRPr lang="it-IT" sz="1100" b="1"/>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0.0742</cdr:y>
    </cdr:from>
    <cdr:to>
      <cdr:x>0.06118</cdr:x>
      <cdr:y>0.84129</cdr:y>
    </cdr:to>
    <cdr:sp macro="" textlink="">
      <cdr:nvSpPr>
        <cdr:cNvPr id="2" name="CasellaDiTesto 1"/>
        <cdr:cNvSpPr txBox="1"/>
      </cdr:nvSpPr>
      <cdr:spPr>
        <a:xfrm xmlns:a="http://schemas.openxmlformats.org/drawingml/2006/main" rot="16200000">
          <a:off x="-1050740" y="1282277"/>
          <a:ext cx="2393577" cy="292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baseline="0">
              <a:latin typeface="+mn-lt"/>
              <a:ea typeface="+mn-ea"/>
              <a:cs typeface="+mn-cs"/>
            </a:rPr>
            <a:t>Produzione da fonte rinnovabile (%)</a:t>
          </a:r>
          <a:endParaRPr lang="it-IT" sz="1100" b="1">
            <a:latin typeface="+mn-lt"/>
            <a:ea typeface="+mn-ea"/>
            <a:cs typeface="+mn-c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9</xdr:row>
      <xdr:rowOff>175847</xdr:rowOff>
    </xdr:to>
    <xdr:sp macro="" textlink="">
      <xdr:nvSpPr>
        <xdr:cNvPr id="2" name="CasellaDiTesto 1">
          <a:extLst>
            <a:ext uri="{FF2B5EF4-FFF2-40B4-BE49-F238E27FC236}">
              <a16:creationId xmlns:a16="http://schemas.microsoft.com/office/drawing/2014/main" id="{00000000-0008-0000-0100-000002000000}"/>
            </a:ext>
          </a:extLst>
        </xdr:cNvPr>
        <xdr:cNvSpPr txBox="1"/>
      </xdr:nvSpPr>
      <xdr:spPr>
        <a:xfrm>
          <a:off x="0" y="2"/>
          <a:ext cx="10251831" cy="181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600" b="1">
              <a:solidFill>
                <a:schemeClr val="dk1"/>
              </a:solidFill>
              <a:latin typeface="Times New Roman" pitchFamily="18" charset="0"/>
              <a:ea typeface="+mn-ea"/>
              <a:cs typeface="Times New Roman" pitchFamily="18" charset="0"/>
            </a:rPr>
            <a:t>Fattori di emissione per la produzione e il consumo</a:t>
          </a:r>
          <a:r>
            <a:rPr lang="it-IT" sz="1600" b="1" baseline="0">
              <a:solidFill>
                <a:schemeClr val="dk1"/>
              </a:solidFill>
              <a:latin typeface="Times New Roman" pitchFamily="18" charset="0"/>
              <a:ea typeface="+mn-ea"/>
              <a:cs typeface="Times New Roman" pitchFamily="18" charset="0"/>
            </a:rPr>
            <a:t> di energia elettrica in Italia Aggiornamento al 2024 e stime preliminari per il 2025</a:t>
          </a:r>
          <a:endParaRPr lang="it-IT" sz="1600" b="1">
            <a:solidFill>
              <a:schemeClr val="dk1"/>
            </a:solidFill>
            <a:latin typeface="Times New Roman" pitchFamily="18" charset="0"/>
            <a:ea typeface="+mn-ea"/>
            <a:cs typeface="Times New Roman" pitchFamily="18" charset="0"/>
          </a:endParaRPr>
        </a:p>
        <a:p>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Fattori di</a:t>
          </a:r>
          <a:r>
            <a:rPr lang="it-IT" sz="1200" baseline="0">
              <a:solidFill>
                <a:schemeClr val="dk1"/>
              </a:solidFill>
              <a:latin typeface="Times New Roman" pitchFamily="18" charset="0"/>
              <a:ea typeface="+mn-ea"/>
              <a:cs typeface="Times New Roman" pitchFamily="18" charset="0"/>
            </a:rPr>
            <a:t> emissione dei combustibili </a:t>
          </a:r>
          <a:r>
            <a:rPr lang="it-IT" sz="1200">
              <a:solidFill>
                <a:schemeClr val="dk1"/>
              </a:solidFill>
              <a:latin typeface="Times New Roman" pitchFamily="18" charset="0"/>
              <a:ea typeface="+mn-ea"/>
              <a:cs typeface="Times New Roman" pitchFamily="18" charset="0"/>
            </a:rPr>
            <a:t>elaborati da </a:t>
          </a:r>
          <a:r>
            <a:rPr lang="it-IT" sz="1200" baseline="0">
              <a:solidFill>
                <a:schemeClr val="dk1"/>
              </a:solidFill>
              <a:latin typeface="Times New Roman" pitchFamily="18" charset="0"/>
              <a:ea typeface="+mn-ea"/>
              <a:cs typeface="Times New Roman" pitchFamily="18" charset="0"/>
            </a:rPr>
            <a:t>ISPRA.</a:t>
          </a:r>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TERNA S.p.A. è la fonte dei dati</a:t>
          </a:r>
          <a:r>
            <a:rPr lang="it-IT" sz="1200" baseline="0">
              <a:solidFill>
                <a:schemeClr val="dk1"/>
              </a:solidFill>
              <a:latin typeface="Times New Roman" pitchFamily="18" charset="0"/>
              <a:ea typeface="+mn-ea"/>
              <a:cs typeface="Times New Roman" pitchFamily="18" charset="0"/>
            </a:rPr>
            <a:t> </a:t>
          </a:r>
          <a:r>
            <a:rPr lang="it-IT" sz="1200">
              <a:solidFill>
                <a:schemeClr val="dk1"/>
              </a:solidFill>
              <a:latin typeface="Times New Roman" pitchFamily="18" charset="0"/>
              <a:ea typeface="+mn-ea"/>
              <a:cs typeface="Times New Roman" pitchFamily="18" charset="0"/>
            </a:rPr>
            <a:t>di produzione elettrica, produzione di calore e consumi energetici delle centrali. </a:t>
          </a:r>
        </a:p>
        <a:p>
          <a:r>
            <a:rPr lang="it-IT" sz="1200">
              <a:solidFill>
                <a:schemeClr val="dk1"/>
              </a:solidFill>
              <a:latin typeface="Times New Roman" pitchFamily="18" charset="0"/>
              <a:ea typeface="+mn-ea"/>
              <a:cs typeface="Times New Roman" pitchFamily="18" charset="0"/>
            </a:rPr>
            <a:t>Le stime per il 2025 sono elaborate da TERNA e GSE nel contesto della Relazione annuale situazione energetica nazionale del MASE. Ulteriori elaborazioni sono eseguite da ISPRA su dati TERNA</a:t>
          </a:r>
          <a:r>
            <a:rPr lang="it-IT" sz="1200" baseline="0">
              <a:solidFill>
                <a:schemeClr val="dk1"/>
              </a:solidFill>
              <a:latin typeface="Times New Roman" pitchFamily="18" charset="0"/>
              <a:ea typeface="+mn-ea"/>
              <a:cs typeface="Times New Roman" pitchFamily="18" charset="0"/>
            </a:rPr>
            <a:t> (</a:t>
          </a:r>
          <a:r>
            <a:rPr lang="it-IT" sz="1200" baseline="0">
              <a:solidFill>
                <a:sysClr val="windowText" lastClr="000000"/>
              </a:solidFill>
              <a:latin typeface="Times New Roman" pitchFamily="18" charset="0"/>
              <a:ea typeface="+mn-ea"/>
              <a:cs typeface="Times New Roman" pitchFamily="18" charset="0"/>
            </a:rPr>
            <a:t>Rapporto mensile sul sistema elettrico, </a:t>
          </a:r>
          <a:r>
            <a:rPr lang="it-IT" sz="1200" b="1" baseline="0">
              <a:solidFill>
                <a:sysClr val="windowText" lastClr="000000"/>
              </a:solidFill>
              <a:latin typeface="Times New Roman" pitchFamily="18" charset="0"/>
              <a:ea typeface="+mn-ea"/>
              <a:cs typeface="Times New Roman" pitchFamily="18" charset="0"/>
            </a:rPr>
            <a:t>dicembre 2025</a:t>
          </a:r>
          <a:r>
            <a:rPr lang="it-IT" sz="1200" baseline="0">
              <a:solidFill>
                <a:sysClr val="windowText" lastClr="000000"/>
              </a:solidFill>
              <a:latin typeface="Times New Roman" pitchFamily="18" charset="0"/>
              <a:ea typeface="+mn-ea"/>
              <a:cs typeface="Times New Roman" pitchFamily="18" charset="0"/>
            </a:rPr>
            <a:t>), SNAM per il gas naturale, MSE per carbone e prodotti petroliferi (dati </a:t>
          </a:r>
          <a:r>
            <a:rPr lang="it-IT" sz="1200" b="1" baseline="0">
              <a:solidFill>
                <a:sysClr val="windowText" lastClr="000000"/>
              </a:solidFill>
              <a:latin typeface="Times New Roman" pitchFamily="18" charset="0"/>
              <a:ea typeface="+mn-ea"/>
              <a:cs typeface="Times New Roman" pitchFamily="18" charset="0"/>
            </a:rPr>
            <a:t>aggiornati a dicembre 2025</a:t>
          </a:r>
          <a:r>
            <a:rPr lang="it-IT" sz="1200" baseline="0">
              <a:solidFill>
                <a:sysClr val="windowText" lastClr="000000"/>
              </a:solidFill>
              <a:latin typeface="Times New Roman" pitchFamily="18" charset="0"/>
              <a:ea typeface="+mn-ea"/>
              <a:cs typeface="Times New Roman" pitchFamily="18" charset="0"/>
            </a:rPr>
            <a:t>). </a:t>
          </a:r>
        </a:p>
        <a:p>
          <a:r>
            <a:rPr lang="it-IT" sz="1200" b="1" baseline="0">
              <a:solidFill>
                <a:schemeClr val="dk1"/>
              </a:solidFill>
              <a:latin typeface="Times New Roman" pitchFamily="18" charset="0"/>
              <a:ea typeface="+mn-ea"/>
              <a:cs typeface="Times New Roman" pitchFamily="18" charset="0"/>
            </a:rPr>
            <a:t>NB - Le stime preliminari sono caratterizzate da incertezza e saranno riviste con i dati consuntivi.</a:t>
          </a:r>
          <a:endParaRPr lang="it-IT" sz="1200" b="1">
            <a:solidFill>
              <a:schemeClr val="dk1"/>
            </a:solidFill>
            <a:latin typeface="Times New Roman" pitchFamily="18" charset="0"/>
            <a:ea typeface="+mn-ea"/>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121920</xdr:rowOff>
    </xdr:from>
    <xdr:to>
      <xdr:col>9</xdr:col>
      <xdr:colOff>483326</xdr:colOff>
      <xdr:row>21</xdr:row>
      <xdr:rowOff>19017</xdr:rowOff>
    </xdr:to>
    <xdr:graphicFrame macro="">
      <xdr:nvGraphicFramePr>
        <xdr:cNvPr id="4" name="Grafico 2">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a:t>
          </a:r>
          <a:r>
            <a:rPr lang="it-IT" sz="1100" b="1"/>
            <a:t>CO</a:t>
          </a:r>
          <a:r>
            <a:rPr lang="it-IT" sz="1100" b="1" baseline="-25000"/>
            <a:t>2</a:t>
          </a:r>
          <a:r>
            <a:rPr lang="it-IT" sz="1100" b="1"/>
            <a:t> da combustibili</a:t>
          </a:r>
          <a:r>
            <a:rPr lang="it-IT" sz="1100" b="1" baseline="0"/>
            <a:t> fossili per la produzione termoelettrica (Mt)</a:t>
          </a:r>
          <a:endParaRPr lang="it-IT" sz="11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-23</xdr:colOff>
      <xdr:row>1</xdr:row>
      <xdr:rowOff>61791</xdr:rowOff>
    </xdr:from>
    <xdr:to>
      <xdr:col>16</xdr:col>
      <xdr:colOff>264308</xdr:colOff>
      <xdr:row>52</xdr:row>
      <xdr:rowOff>10261</xdr:rowOff>
    </xdr:to>
    <xdr:grpSp>
      <xdr:nvGrpSpPr>
        <xdr:cNvPr id="3" name="Gruppo 12">
          <a:extLst>
            <a:ext uri="{FF2B5EF4-FFF2-40B4-BE49-F238E27FC236}">
              <a16:creationId xmlns:a16="http://schemas.microsoft.com/office/drawing/2014/main" id="{00000000-0008-0000-1300-000003000000}"/>
            </a:ext>
          </a:extLst>
        </xdr:cNvPr>
        <xdr:cNvGrpSpPr>
          <a:grpSpLocks/>
        </xdr:cNvGrpSpPr>
      </xdr:nvGrpSpPr>
      <xdr:grpSpPr bwMode="auto">
        <a:xfrm>
          <a:off x="-23" y="258641"/>
          <a:ext cx="10017931" cy="9340120"/>
          <a:chOff x="23029735" y="4497751"/>
          <a:chExt cx="8843982" cy="8519935"/>
        </a:xfrm>
      </xdr:grpSpPr>
      <xdr:graphicFrame macro="">
        <xdr:nvGraphicFramePr>
          <xdr:cNvPr id="4" name="Grafico 6">
            <a:extLst>
              <a:ext uri="{FF2B5EF4-FFF2-40B4-BE49-F238E27FC236}">
                <a16:creationId xmlns:a16="http://schemas.microsoft.com/office/drawing/2014/main" id="{00000000-0008-0000-1300-000004000000}"/>
              </a:ext>
            </a:extLst>
          </xdr:cNvPr>
          <xdr:cNvGraphicFramePr>
            <a:graphicFrameLocks/>
          </xdr:cNvGraphicFramePr>
        </xdr:nvGraphicFramePr>
        <xdr:xfrm>
          <a:off x="27286917" y="4497751"/>
          <a:ext cx="4586800" cy="28962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Grafico 6">
            <a:extLst>
              <a:ext uri="{FF2B5EF4-FFF2-40B4-BE49-F238E27FC236}">
                <a16:creationId xmlns:a16="http://schemas.microsoft.com/office/drawing/2014/main" id="{00000000-0008-0000-1300-000009000000}"/>
              </a:ext>
            </a:extLst>
          </xdr:cNvPr>
          <xdr:cNvGraphicFramePr>
            <a:graphicFrameLocks/>
          </xdr:cNvGraphicFramePr>
        </xdr:nvGraphicFramePr>
        <xdr:xfrm>
          <a:off x="27289481" y="7278040"/>
          <a:ext cx="4580709" cy="289305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Grafico 6">
            <a:extLst>
              <a:ext uri="{FF2B5EF4-FFF2-40B4-BE49-F238E27FC236}">
                <a16:creationId xmlns:a16="http://schemas.microsoft.com/office/drawing/2014/main" id="{00000000-0008-0000-1300-00000A000000}"/>
              </a:ext>
            </a:extLst>
          </xdr:cNvPr>
          <xdr:cNvGraphicFramePr>
            <a:graphicFrameLocks/>
          </xdr:cNvGraphicFramePr>
        </xdr:nvGraphicFramePr>
        <xdr:xfrm>
          <a:off x="27278277" y="10124634"/>
          <a:ext cx="4580709" cy="289305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fico 5">
            <a:extLst>
              <a:ext uri="{FF2B5EF4-FFF2-40B4-BE49-F238E27FC236}">
                <a16:creationId xmlns:a16="http://schemas.microsoft.com/office/drawing/2014/main" id="{00000000-0008-0000-1300-000006000000}"/>
              </a:ext>
            </a:extLst>
          </xdr:cNvPr>
          <xdr:cNvGraphicFramePr>
            <a:graphicFrameLocks/>
          </xdr:cNvGraphicFramePr>
        </xdr:nvGraphicFramePr>
        <xdr:xfrm>
          <a:off x="23033183" y="4498652"/>
          <a:ext cx="4580710" cy="289305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fico 6">
            <a:extLst>
              <a:ext uri="{FF2B5EF4-FFF2-40B4-BE49-F238E27FC236}">
                <a16:creationId xmlns:a16="http://schemas.microsoft.com/office/drawing/2014/main" id="{00000000-0008-0000-1300-000007000000}"/>
              </a:ext>
            </a:extLst>
          </xdr:cNvPr>
          <xdr:cNvGraphicFramePr>
            <a:graphicFrameLocks/>
          </xdr:cNvGraphicFramePr>
        </xdr:nvGraphicFramePr>
        <xdr:xfrm>
          <a:off x="23033184" y="7278040"/>
          <a:ext cx="4580710" cy="289305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fico 7">
            <a:extLst>
              <a:ext uri="{FF2B5EF4-FFF2-40B4-BE49-F238E27FC236}">
                <a16:creationId xmlns:a16="http://schemas.microsoft.com/office/drawing/2014/main" id="{00000000-0008-0000-1300-000008000000}"/>
              </a:ext>
            </a:extLst>
          </xdr:cNvPr>
          <xdr:cNvGraphicFramePr>
            <a:graphicFrameLocks/>
          </xdr:cNvGraphicFramePr>
        </xdr:nvGraphicFramePr>
        <xdr:xfrm>
          <a:off x="23029735" y="10124196"/>
          <a:ext cx="4580710" cy="288874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0.01128</cdr:y>
    </cdr:from>
    <cdr:to>
      <cdr:x>0.04996</cdr:x>
      <cdr:y>0.81085</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0.01056</cdr:y>
    </cdr:from>
    <cdr:to>
      <cdr:x>0.04964</cdr:x>
      <cdr:y>0.81397</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dr:relSizeAnchor xmlns:cdr="http://schemas.openxmlformats.org/drawingml/2006/chartDrawing">
    <cdr:from>
      <cdr:x>0.01716</cdr:x>
      <cdr:y>0.0354</cdr:y>
    </cdr:from>
    <cdr:to>
      <cdr:x>0.05917</cdr:x>
      <cdr:y>0.85141</cdr:y>
    </cdr:to>
    <cdr:sp macro="" textlink="">
      <cdr:nvSpPr>
        <cdr:cNvPr id="4" name="CasellaDiTesto 1"/>
        <cdr:cNvSpPr txBox="1"/>
      </cdr:nvSpPr>
      <cdr:spPr>
        <a:xfrm xmlns:a="http://schemas.openxmlformats.org/drawingml/2006/main" rot="16200000">
          <a:off x="-802957" y="1071898"/>
          <a:ext cx="2036319" cy="2735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0.00072</cdr:x>
      <cdr:y>0.01128</cdr:y>
    </cdr:from>
    <cdr:to>
      <cdr:x>0.04696</cdr:x>
      <cdr:y>0.81662</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0.02212</cdr:x>
      <cdr:y>0.13504</cdr:y>
    </cdr:from>
    <cdr:to>
      <cdr:x>0.0599</cdr:x>
      <cdr:y>0.81234</cdr:y>
    </cdr:to>
    <cdr:sp macro="" textlink="">
      <cdr:nvSpPr>
        <cdr:cNvPr id="4" name="CasellaDiTesto 1"/>
        <cdr:cNvSpPr txBox="1"/>
      </cdr:nvSpPr>
      <cdr:spPr>
        <a:xfrm xmlns:a="http://schemas.openxmlformats.org/drawingml/2006/main">
          <a:off x="112059" y="414618"/>
          <a:ext cx="257736" cy="15688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it-IT"/>
        </a:p>
      </cdr:txBody>
    </cdr:sp>
  </cdr:relSizeAnchor>
  <cdr:relSizeAnchor xmlns:cdr="http://schemas.openxmlformats.org/drawingml/2006/chartDrawing">
    <cdr:from>
      <cdr:x>0.00072</cdr:x>
      <cdr:y>0.01056</cdr:y>
    </cdr:from>
    <cdr:to>
      <cdr:x>0.04768</cdr:x>
      <cdr:y>0.81542</cdr:y>
    </cdr:to>
    <cdr:sp macro="" textlink="">
      <cdr:nvSpPr>
        <cdr:cNvPr id="5"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0.00466</cdr:x>
      <cdr:y>0.03433</cdr:y>
    </cdr:from>
    <cdr:to>
      <cdr:x>0.05615</cdr:x>
      <cdr:y>0.8324</cdr:y>
    </cdr:to>
    <cdr:sp macro="" textlink="">
      <cdr:nvSpPr>
        <cdr:cNvPr id="4" name="CasellaDiTesto 3"/>
        <cdr:cNvSpPr txBox="1"/>
      </cdr:nvSpPr>
      <cdr:spPr>
        <a:xfrm xmlns:a="http://schemas.openxmlformats.org/drawingml/2006/main" rot="16200000">
          <a:off x="-1029827" y="1151674"/>
          <a:ext cx="2337617" cy="2353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Numero indice 1990=100</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xdr:row>
      <xdr:rowOff>53340</xdr:rowOff>
    </xdr:from>
    <xdr:to>
      <xdr:col>10</xdr:col>
      <xdr:colOff>563880</xdr:colOff>
      <xdr:row>20</xdr:row>
      <xdr:rowOff>144780</xdr:rowOff>
    </xdr:to>
    <xdr:graphicFrame macro="">
      <xdr:nvGraphicFramePr>
        <xdr:cNvPr id="4" name="Chart 25">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2</xdr:row>
          <xdr:rowOff>0</xdr:rowOff>
        </xdr:from>
        <xdr:to>
          <xdr:col>0</xdr:col>
          <xdr:colOff>1187450</xdr:colOff>
          <xdr:row>3</xdr:row>
          <xdr:rowOff>114300</xdr:rowOff>
        </xdr:to>
        <xdr:sp macro="" textlink="">
          <xdr:nvSpPr>
            <xdr:cNvPr id="56321" name="ComboBox1" hidden="1">
              <a:extLst>
                <a:ext uri="{63B3BB69-23CF-44E3-9099-C40C66FF867C}">
                  <a14:compatExt spid="_x0000_s56321"/>
                </a:ext>
                <a:ext uri="{FF2B5EF4-FFF2-40B4-BE49-F238E27FC236}">
                  <a16:creationId xmlns:a16="http://schemas.microsoft.com/office/drawing/2014/main" id="{00000000-0008-0000-02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1398492</xdr:colOff>
      <xdr:row>0</xdr:row>
      <xdr:rowOff>1</xdr:rowOff>
    </xdr:from>
    <xdr:to>
      <xdr:col>8</xdr:col>
      <xdr:colOff>6927</xdr:colOff>
      <xdr:row>5</xdr:row>
      <xdr:rowOff>124690</xdr:rowOff>
    </xdr:to>
    <xdr:sp macro="" textlink="">
      <xdr:nvSpPr>
        <xdr:cNvPr id="3" name="CasellaDiTesto 2">
          <a:extLst>
            <a:ext uri="{FF2B5EF4-FFF2-40B4-BE49-F238E27FC236}">
              <a16:creationId xmlns:a16="http://schemas.microsoft.com/office/drawing/2014/main" id="{00000000-0008-0000-0200-000003000000}"/>
            </a:ext>
          </a:extLst>
        </xdr:cNvPr>
        <xdr:cNvSpPr txBox="1"/>
      </xdr:nvSpPr>
      <xdr:spPr>
        <a:xfrm>
          <a:off x="1398492" y="1"/>
          <a:ext cx="9657435" cy="1129144"/>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400" b="1" baseline="0">
              <a:solidFill>
                <a:schemeClr val="dk1"/>
              </a:solidFill>
              <a:effectLst/>
              <a:latin typeface="+mn-lt"/>
              <a:ea typeface="+mn-ea"/>
              <a:cs typeface="+mn-cs"/>
            </a:rPr>
            <a:t>1. Selezionare nel combo verde l'anno di riferimento per i fattori di emissione specifici. * I fattori specifici del 2025 sono preliminari.</a:t>
          </a:r>
          <a:endParaRPr lang="en-GB" sz="1400">
            <a:effectLst/>
          </a:endParaRPr>
        </a:p>
        <a:p>
          <a:r>
            <a:rPr lang="it-IT" sz="1400" b="1"/>
            <a:t>2. Inserire nelle celle gialle</a:t>
          </a:r>
          <a:r>
            <a:rPr lang="it-IT" sz="1400" b="1" baseline="0"/>
            <a:t> il mix di energia venduta (%) e nella cella celeste la quantità venduta (MWh).  </a:t>
          </a:r>
        </a:p>
        <a:p>
          <a:r>
            <a:rPr lang="it-IT" sz="1400" b="1" baseline="0"/>
            <a:t>Nella cella G17 sono calcolate le emissioni di CO</a:t>
          </a:r>
          <a:r>
            <a:rPr lang="it-IT" sz="1400" b="1" baseline="-25000"/>
            <a:t>2</a:t>
          </a:r>
          <a:r>
            <a:rPr lang="it-IT" sz="1400" b="1" baseline="0"/>
            <a:t>. Nel foglio Grafico sono riportati i fattori di emissione dei diversi mix energetici.</a:t>
          </a:r>
        </a:p>
        <a:p>
          <a:r>
            <a:rPr lang="it-IT" sz="1400" b="1" baseline="0"/>
            <a:t>Se il totale del mix inserito non è esattamente 100% il calcolo non sarà eseguito.</a:t>
          </a:r>
          <a:endParaRPr lang="it-IT" sz="1400" b="1"/>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0.00193</cdr:x>
      <cdr:y>0</cdr:y>
    </cdr:from>
    <cdr:to>
      <cdr:x>0.08124</cdr:x>
      <cdr:y>0.91453</cdr:y>
    </cdr:to>
    <cdr:sp macro="" textlink="">
      <cdr:nvSpPr>
        <cdr:cNvPr id="2" name="CasellaDiTesto 1"/>
        <cdr:cNvSpPr txBox="1"/>
      </cdr:nvSpPr>
      <cdr:spPr>
        <a:xfrm xmlns:a="http://schemas.openxmlformats.org/drawingml/2006/main" rot="16200000">
          <a:off x="-1353740" y="1366594"/>
          <a:ext cx="3261360" cy="5281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200" b="1"/>
            <a:t>Emissioni di CO2 per kWh prodotto/consumato </a:t>
          </a:r>
        </a:p>
        <a:p xmlns:a="http://schemas.openxmlformats.org/drawingml/2006/main">
          <a:pPr algn="ctr"/>
          <a:r>
            <a:rPr lang="it-IT" sz="1200" b="1"/>
            <a:t>(g CO</a:t>
          </a:r>
          <a:r>
            <a:rPr lang="it-IT" sz="1200" b="1" baseline="-25000"/>
            <a:t>2</a:t>
          </a:r>
          <a:r>
            <a:rPr lang="it-IT" sz="1200" b="1"/>
            <a:t>/kWh)</a:t>
          </a:r>
        </a:p>
      </cdr:txBody>
    </cdr:sp>
  </cdr:relSizeAnchor>
</c:userShapes>
</file>

<file path=xl/drawings/drawing31.xml><?xml version="1.0" encoding="utf-8"?>
<xdr:wsDr xmlns:xdr="http://schemas.openxmlformats.org/drawingml/2006/spreadsheetDrawing" xmlns:a="http://schemas.openxmlformats.org/drawingml/2006/main">
  <xdr:twoCellAnchor>
    <xdr:from>
      <xdr:col>24</xdr:col>
      <xdr:colOff>0</xdr:colOff>
      <xdr:row>1</xdr:row>
      <xdr:rowOff>15240</xdr:rowOff>
    </xdr:from>
    <xdr:to>
      <xdr:col>34</xdr:col>
      <xdr:colOff>167640</xdr:colOff>
      <xdr:row>21</xdr:row>
      <xdr:rowOff>147469</xdr:rowOff>
    </xdr:to>
    <xdr:graphicFrame macro="">
      <xdr:nvGraphicFramePr>
        <xdr:cNvPr id="3" name="Gra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0.04936</cdr:y>
    </cdr:from>
    <cdr:to>
      <cdr:x>0.03644</cdr:x>
      <cdr:y>0.66041</cdr:y>
    </cdr:to>
    <cdr:sp macro="" textlink="">
      <cdr:nvSpPr>
        <cdr:cNvPr id="2" name="CasellaDiTesto 1"/>
        <cdr:cNvSpPr txBox="1"/>
      </cdr:nvSpPr>
      <cdr:spPr>
        <a:xfrm xmlns:a="http://schemas.openxmlformats.org/drawingml/2006/main" rot="16200000">
          <a:off x="-936812" y="1108423"/>
          <a:ext cx="2124636" cy="2510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400" b="1">
              <a:solidFill>
                <a:schemeClr val="tx1">
                  <a:lumMod val="65000"/>
                  <a:lumOff val="35000"/>
                </a:schemeClr>
              </a:solidFill>
            </a:rPr>
            <a:t>Fattore di conversione</a:t>
          </a:r>
        </a:p>
      </cdr:txBody>
    </cdr:sp>
  </cdr:relSizeAnchor>
</c:userShapes>
</file>

<file path=xl/drawings/drawing33.xml><?xml version="1.0" encoding="utf-8"?>
<xdr:wsDr xmlns:xdr="http://schemas.openxmlformats.org/drawingml/2006/spreadsheetDrawing" xmlns:a="http://schemas.openxmlformats.org/drawingml/2006/main">
  <xdr:twoCellAnchor>
    <xdr:from>
      <xdr:col>44</xdr:col>
      <xdr:colOff>338448</xdr:colOff>
      <xdr:row>45</xdr:row>
      <xdr:rowOff>95294</xdr:rowOff>
    </xdr:from>
    <xdr:to>
      <xdr:col>52</xdr:col>
      <xdr:colOff>415171</xdr:colOff>
      <xdr:row>64</xdr:row>
      <xdr:rowOff>0</xdr:rowOff>
    </xdr:to>
    <xdr:sp macro="" textlink="">
      <xdr:nvSpPr>
        <xdr:cNvPr id="2" name="CasellaDiTesto 1">
          <a:extLst>
            <a:ext uri="{FF2B5EF4-FFF2-40B4-BE49-F238E27FC236}">
              <a16:creationId xmlns:a16="http://schemas.microsoft.com/office/drawing/2014/main" id="{00000000-0008-0000-1C00-000002000000}"/>
            </a:ext>
          </a:extLst>
        </xdr:cNvPr>
        <xdr:cNvSpPr txBox="1"/>
      </xdr:nvSpPr>
      <xdr:spPr>
        <a:xfrm>
          <a:off x="34661105" y="8695008"/>
          <a:ext cx="4964409" cy="3431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a:t>Dai dati pubblicati da Terna arrivo all'energia usata nelle centrali (cogenerative e non) per la sola elettricità.</a:t>
          </a:r>
          <a:r>
            <a:rPr lang="it-IT" sz="1100" baseline="0"/>
            <a:t> Potrei avere la stima anche per i singoli gruppi di combustibili. Uso il consumo specifico medio per tipo di centrale (cogenenerativa e non) e la produzione elettrica totale termica. </a:t>
          </a:r>
        </a:p>
        <a:p>
          <a:endParaRPr lang="it-IT" sz="1100" baseline="0"/>
        </a:p>
        <a:p>
          <a:r>
            <a:rPr lang="it-IT" sz="1100" baseline="0"/>
            <a:t>Il sistema di equazioni mi consente di ricavare il contenuto di combustibili per la produzione elettrica nelle centrali cogenerative e non.</a:t>
          </a:r>
        </a:p>
        <a:p>
          <a:endParaRPr lang="it-IT" sz="1100" baseline="0"/>
        </a:p>
        <a:p>
          <a:pPr marL="0" marR="0" indent="0" defTabSz="914400" eaLnBrk="1" fontAlgn="auto" latinLnBrk="0" hangingPunct="1">
            <a:lnSpc>
              <a:spcPct val="100000"/>
            </a:lnSpc>
            <a:spcBef>
              <a:spcPts val="0"/>
            </a:spcBef>
            <a:spcAft>
              <a:spcPts val="0"/>
            </a:spcAft>
            <a:buClrTx/>
            <a:buSzTx/>
            <a:buFontTx/>
            <a:buNone/>
            <a:tabLst/>
            <a:defRPr/>
          </a:pPr>
          <a:r>
            <a:rPr lang="it-IT" sz="1100" baseline="0">
              <a:solidFill>
                <a:schemeClr val="dk1"/>
              </a:solidFill>
              <a:latin typeface="+mn-lt"/>
              <a:ea typeface="+mn-ea"/>
              <a:cs typeface="+mn-cs"/>
            </a:rPr>
            <a:t>Nella sezione del calore utile viene fornito il calore introdotto, ovvero il contenuto energetico dei combustibili usati nelle cogenerative per fare calore e elettricità </a:t>
          </a:r>
          <a:endParaRPr lang="it-IT" sz="1100"/>
        </a:p>
        <a:p>
          <a:r>
            <a:rPr lang="it-IT" sz="1100"/>
            <a:t>Il differenziale rispetto alla soluzione delle</a:t>
          </a:r>
          <a:r>
            <a:rPr lang="it-IT" sz="1100" baseline="0"/>
            <a:t> equazioni per le centrali cogenerative è il consumo di combustibile per il calore.</a:t>
          </a:r>
        </a:p>
        <a:p>
          <a:endParaRPr lang="it-IT" sz="1100" baseline="0"/>
        </a:p>
        <a:p>
          <a:r>
            <a:rPr lang="it-IT" sz="1100" baseline="0"/>
            <a:t>Quindi di fatto Terna pubblica il consumo di combustibili per la produzione elettrica scorporata ma fornisce tutti gli elementi per calcolare anche il consumo totale per produrre elettricità e calore. Per questo motivo lo metto nel rapporto.</a:t>
          </a:r>
          <a:endParaRPr lang="it-IT" sz="1100"/>
        </a:p>
      </xdr:txBody>
    </xdr:sp>
    <xdr:clientData/>
  </xdr:twoCellAnchor>
  <xdr:twoCellAnchor>
    <xdr:from>
      <xdr:col>37</xdr:col>
      <xdr:colOff>606107</xdr:colOff>
      <xdr:row>1</xdr:row>
      <xdr:rowOff>169631</xdr:rowOff>
    </xdr:from>
    <xdr:to>
      <xdr:col>47</xdr:col>
      <xdr:colOff>16998</xdr:colOff>
      <xdr:row>18</xdr:row>
      <xdr:rowOff>194372</xdr:rowOff>
    </xdr:to>
    <xdr:graphicFrame macro="">
      <xdr:nvGraphicFramePr>
        <xdr:cNvPr id="6" name="Gra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553949</xdr:colOff>
      <xdr:row>19</xdr:row>
      <xdr:rowOff>22296</xdr:rowOff>
    </xdr:from>
    <xdr:to>
      <xdr:col>46</xdr:col>
      <xdr:colOff>564660</xdr:colOff>
      <xdr:row>36</xdr:row>
      <xdr:rowOff>119919</xdr:rowOff>
    </xdr:to>
    <xdr:graphicFrame macro="">
      <xdr:nvGraphicFramePr>
        <xdr:cNvPr id="3" name="Gra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104957</xdr:colOff>
      <xdr:row>127</xdr:row>
      <xdr:rowOff>130164</xdr:rowOff>
    </xdr:from>
    <xdr:to>
      <xdr:col>14</xdr:col>
      <xdr:colOff>646273</xdr:colOff>
      <xdr:row>143</xdr:row>
      <xdr:rowOff>184590</xdr:rowOff>
    </xdr:to>
    <xdr:graphicFrame macro="">
      <xdr:nvGraphicFramePr>
        <xdr:cNvPr id="7" name="Grafico 6">
          <a:extLst>
            <a:ext uri="{FF2B5EF4-FFF2-40B4-BE49-F238E27FC236}">
              <a16:creationId xmlns:a16="http://schemas.microsoft.com/office/drawing/2014/main" id="{00000000-0008-0000-1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615539</xdr:colOff>
      <xdr:row>127</xdr:row>
      <xdr:rowOff>158338</xdr:rowOff>
    </xdr:from>
    <xdr:to>
      <xdr:col>20</xdr:col>
      <xdr:colOff>550224</xdr:colOff>
      <xdr:row>144</xdr:row>
      <xdr:rowOff>32655</xdr:rowOff>
    </xdr:to>
    <xdr:graphicFrame macro="">
      <xdr:nvGraphicFramePr>
        <xdr:cNvPr id="9" name="Gra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794657</xdr:colOff>
      <xdr:row>125</xdr:row>
      <xdr:rowOff>141514</xdr:rowOff>
    </xdr:from>
    <xdr:to>
      <xdr:col>37</xdr:col>
      <xdr:colOff>128067</xdr:colOff>
      <xdr:row>142</xdr:row>
      <xdr:rowOff>118052</xdr:rowOff>
    </xdr:to>
    <xdr:graphicFrame macro="">
      <xdr:nvGraphicFramePr>
        <xdr:cNvPr id="12" name="Gra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798674</xdr:colOff>
      <xdr:row>144</xdr:row>
      <xdr:rowOff>20026</xdr:rowOff>
    </xdr:from>
    <xdr:to>
      <xdr:col>32</xdr:col>
      <xdr:colOff>65314</xdr:colOff>
      <xdr:row>161</xdr:row>
      <xdr:rowOff>175</xdr:rowOff>
    </xdr:to>
    <xdr:graphicFrame macro="">
      <xdr:nvGraphicFramePr>
        <xdr:cNvPr id="19" name="Gra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528451</xdr:colOff>
      <xdr:row>127</xdr:row>
      <xdr:rowOff>169223</xdr:rowOff>
    </xdr:from>
    <xdr:to>
      <xdr:col>26</xdr:col>
      <xdr:colOff>311668</xdr:colOff>
      <xdr:row>144</xdr:row>
      <xdr:rowOff>38591</xdr:rowOff>
    </xdr:to>
    <xdr:graphicFrame macro="">
      <xdr:nvGraphicFramePr>
        <xdr:cNvPr id="20" name="Gra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757636</xdr:colOff>
      <xdr:row>162</xdr:row>
      <xdr:rowOff>1455</xdr:rowOff>
    </xdr:from>
    <xdr:to>
      <xdr:col>26</xdr:col>
      <xdr:colOff>676229</xdr:colOff>
      <xdr:row>180</xdr:row>
      <xdr:rowOff>28348</xdr:rowOff>
    </xdr:to>
    <xdr:graphicFrame macro="">
      <xdr:nvGraphicFramePr>
        <xdr:cNvPr id="23" name="Gra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1024071</xdr:colOff>
      <xdr:row>162</xdr:row>
      <xdr:rowOff>1456</xdr:rowOff>
    </xdr:from>
    <xdr:to>
      <xdr:col>16</xdr:col>
      <xdr:colOff>381172</xdr:colOff>
      <xdr:row>180</xdr:row>
      <xdr:rowOff>28349</xdr:rowOff>
    </xdr:to>
    <xdr:graphicFrame macro="">
      <xdr:nvGraphicFramePr>
        <xdr:cNvPr id="24" name="Gra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291529</xdr:colOff>
      <xdr:row>162</xdr:row>
      <xdr:rowOff>10420</xdr:rowOff>
    </xdr:from>
    <xdr:to>
      <xdr:col>21</xdr:col>
      <xdr:colOff>820388</xdr:colOff>
      <xdr:row>180</xdr:row>
      <xdr:rowOff>37313</xdr:rowOff>
    </xdr:to>
    <xdr:graphicFrame macro="">
      <xdr:nvGraphicFramePr>
        <xdr:cNvPr id="25" name="Gra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1061095</xdr:colOff>
      <xdr:row>144</xdr:row>
      <xdr:rowOff>27709</xdr:rowOff>
    </xdr:from>
    <xdr:to>
      <xdr:col>16</xdr:col>
      <xdr:colOff>423003</xdr:colOff>
      <xdr:row>162</xdr:row>
      <xdr:rowOff>54815</xdr:rowOff>
    </xdr:to>
    <xdr:graphicFrame macro="">
      <xdr:nvGraphicFramePr>
        <xdr:cNvPr id="26" name="Gra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305615</xdr:colOff>
      <xdr:row>144</xdr:row>
      <xdr:rowOff>27709</xdr:rowOff>
    </xdr:from>
    <xdr:to>
      <xdr:col>21</xdr:col>
      <xdr:colOff>826415</xdr:colOff>
      <xdr:row>162</xdr:row>
      <xdr:rowOff>54815</xdr:rowOff>
    </xdr:to>
    <xdr:graphicFrame macro="">
      <xdr:nvGraphicFramePr>
        <xdr:cNvPr id="27" name="Gra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744884</xdr:colOff>
      <xdr:row>144</xdr:row>
      <xdr:rowOff>27709</xdr:rowOff>
    </xdr:from>
    <xdr:to>
      <xdr:col>26</xdr:col>
      <xdr:colOff>672384</xdr:colOff>
      <xdr:row>162</xdr:row>
      <xdr:rowOff>54815</xdr:rowOff>
    </xdr:to>
    <xdr:graphicFrame macro="">
      <xdr:nvGraphicFramePr>
        <xdr:cNvPr id="28" name="Gra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699247</xdr:colOff>
      <xdr:row>107</xdr:row>
      <xdr:rowOff>80682</xdr:rowOff>
    </xdr:from>
    <xdr:to>
      <xdr:col>37</xdr:col>
      <xdr:colOff>622638</xdr:colOff>
      <xdr:row>121</xdr:row>
      <xdr:rowOff>77481</xdr:rowOff>
    </xdr:to>
    <xdr:graphicFrame macro="">
      <xdr:nvGraphicFramePr>
        <xdr:cNvPr id="18" name="Gra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366269</xdr:colOff>
      <xdr:row>107</xdr:row>
      <xdr:rowOff>88367</xdr:rowOff>
    </xdr:from>
    <xdr:to>
      <xdr:col>43</xdr:col>
      <xdr:colOff>649530</xdr:colOff>
      <xdr:row>121</xdr:row>
      <xdr:rowOff>85166</xdr:rowOff>
    </xdr:to>
    <xdr:graphicFrame macro="">
      <xdr:nvGraphicFramePr>
        <xdr:cNvPr id="22" name="Gra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400" b="1"/>
            <a:t>Consumi</a:t>
          </a:r>
          <a:r>
            <a:rPr lang="it-IT" sz="1200" b="1"/>
            <a:t> specifici</a:t>
          </a:r>
          <a:r>
            <a:rPr lang="it-IT" sz="1200" b="1" baseline="0"/>
            <a:t> per la produzione elettrica</a:t>
          </a:r>
          <a:r>
            <a:rPr lang="it-IT" sz="1200" b="1"/>
            <a:t> (MJ/kWh)</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200" b="1"/>
            <a:t>Mcal/kWh</a:t>
          </a:r>
        </a:p>
      </cdr:txBody>
    </cdr:sp>
  </cdr:relSizeAnchor>
</c:userShapes>
</file>

<file path=xl/drawings/drawing36.xml><?xml version="1.0" encoding="utf-8"?>
<xdr:wsDr xmlns:xdr="http://schemas.openxmlformats.org/drawingml/2006/spreadsheetDrawing" xmlns:a="http://schemas.openxmlformats.org/drawingml/2006/main">
  <xdr:twoCellAnchor>
    <xdr:from>
      <xdr:col>36</xdr:col>
      <xdr:colOff>181938</xdr:colOff>
      <xdr:row>22</xdr:row>
      <xdr:rowOff>159682</xdr:rowOff>
    </xdr:from>
    <xdr:to>
      <xdr:col>46</xdr:col>
      <xdr:colOff>528012</xdr:colOff>
      <xdr:row>44</xdr:row>
      <xdr:rowOff>139510</xdr:rowOff>
    </xdr:to>
    <xdr:graphicFrame macro="">
      <xdr:nvGraphicFramePr>
        <xdr:cNvPr id="2" name="Chart 16">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139529</xdr:colOff>
      <xdr:row>34</xdr:row>
      <xdr:rowOff>23308</xdr:rowOff>
    </xdr:from>
    <xdr:to>
      <xdr:col>50</xdr:col>
      <xdr:colOff>21899</xdr:colOff>
      <xdr:row>49</xdr:row>
      <xdr:rowOff>59167</xdr:rowOff>
    </xdr:to>
    <xdr:graphicFrame macro="">
      <xdr:nvGraphicFramePr>
        <xdr:cNvPr id="3" name="Grafico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47</xdr:col>
      <xdr:colOff>519837</xdr:colOff>
      <xdr:row>62</xdr:row>
      <xdr:rowOff>48696</xdr:rowOff>
    </xdr:from>
    <xdr:to>
      <xdr:col>66</xdr:col>
      <xdr:colOff>201590</xdr:colOff>
      <xdr:row>85</xdr:row>
      <xdr:rowOff>34664</xdr:rowOff>
    </xdr:to>
    <xdr:grpSp>
      <xdr:nvGrpSpPr>
        <xdr:cNvPr id="12" name="Gruppo 11">
          <a:extLst>
            <a:ext uri="{FF2B5EF4-FFF2-40B4-BE49-F238E27FC236}">
              <a16:creationId xmlns:a16="http://schemas.microsoft.com/office/drawing/2014/main" id="{00000000-0008-0000-1F00-00000C000000}"/>
            </a:ext>
          </a:extLst>
        </xdr:cNvPr>
        <xdr:cNvGrpSpPr/>
      </xdr:nvGrpSpPr>
      <xdr:grpSpPr>
        <a:xfrm>
          <a:off x="23544190" y="11784990"/>
          <a:ext cx="11320929" cy="4289027"/>
          <a:chOff x="17263900" y="3989961"/>
          <a:chExt cx="10442730" cy="3774770"/>
        </a:xfrm>
      </xdr:grpSpPr>
      <xdr:graphicFrame macro="">
        <xdr:nvGraphicFramePr>
          <xdr:cNvPr id="10" name="Grafico 9">
            <a:extLst>
              <a:ext uri="{FF2B5EF4-FFF2-40B4-BE49-F238E27FC236}">
                <a16:creationId xmlns:a16="http://schemas.microsoft.com/office/drawing/2014/main" id="{00000000-0008-0000-1F00-00000A000000}"/>
              </a:ext>
            </a:extLst>
          </xdr:cNvPr>
          <xdr:cNvGraphicFramePr/>
        </xdr:nvGraphicFramePr>
        <xdr:xfrm>
          <a:off x="17263900" y="3989961"/>
          <a:ext cx="5459184" cy="376643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Grafico 10">
            <a:extLst>
              <a:ext uri="{FF2B5EF4-FFF2-40B4-BE49-F238E27FC236}">
                <a16:creationId xmlns:a16="http://schemas.microsoft.com/office/drawing/2014/main" id="{00000000-0008-0000-1F00-00000B000000}"/>
              </a:ext>
            </a:extLst>
          </xdr:cNvPr>
          <xdr:cNvGraphicFramePr/>
        </xdr:nvGraphicFramePr>
        <xdr:xfrm>
          <a:off x="22247446" y="3998298"/>
          <a:ext cx="5459184" cy="376643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42</xdr:col>
      <xdr:colOff>425631</xdr:colOff>
      <xdr:row>32</xdr:row>
      <xdr:rowOff>99252</xdr:rowOff>
    </xdr:from>
    <xdr:to>
      <xdr:col>49</xdr:col>
      <xdr:colOff>315299</xdr:colOff>
      <xdr:row>47</xdr:row>
      <xdr:rowOff>48665</xdr:rowOff>
    </xdr:to>
    <xdr:graphicFrame macro="">
      <xdr:nvGraphicFramePr>
        <xdr:cNvPr id="23" name="Grafico 22">
          <a:extLst>
            <a:ext uri="{FF2B5EF4-FFF2-40B4-BE49-F238E27FC236}">
              <a16:creationId xmlns:a16="http://schemas.microsoft.com/office/drawing/2014/main" id="{00000000-0008-0000-1F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470354</xdr:colOff>
      <xdr:row>2</xdr:row>
      <xdr:rowOff>176439</xdr:rowOff>
    </xdr:from>
    <xdr:to>
      <xdr:col>49</xdr:col>
      <xdr:colOff>484869</xdr:colOff>
      <xdr:row>16</xdr:row>
      <xdr:rowOff>165553</xdr:rowOff>
    </xdr:to>
    <xdr:graphicFrame macro="">
      <xdr:nvGraphicFramePr>
        <xdr:cNvPr id="17" name="Grafico 16">
          <a:extLst>
            <a:ext uri="{FF2B5EF4-FFF2-40B4-BE49-F238E27FC236}">
              <a16:creationId xmlns:a16="http://schemas.microsoft.com/office/drawing/2014/main" id="{00000000-0008-0000-1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135829</xdr:colOff>
      <xdr:row>152</xdr:row>
      <xdr:rowOff>70990</xdr:rowOff>
    </xdr:from>
    <xdr:to>
      <xdr:col>47</xdr:col>
      <xdr:colOff>427488</xdr:colOff>
      <xdr:row>168</xdr:row>
      <xdr:rowOff>136798</xdr:rowOff>
    </xdr:to>
    <xdr:grpSp>
      <xdr:nvGrpSpPr>
        <xdr:cNvPr id="25" name="Gruppo 24">
          <a:extLst>
            <a:ext uri="{FF2B5EF4-FFF2-40B4-BE49-F238E27FC236}">
              <a16:creationId xmlns:a16="http://schemas.microsoft.com/office/drawing/2014/main" id="{00000000-0008-0000-1F00-000019000000}"/>
            </a:ext>
          </a:extLst>
        </xdr:cNvPr>
        <xdr:cNvGrpSpPr/>
      </xdr:nvGrpSpPr>
      <xdr:grpSpPr>
        <a:xfrm>
          <a:off x="15913711" y="28623578"/>
          <a:ext cx="7538130" cy="3054044"/>
          <a:chOff x="4102106" y="29127450"/>
          <a:chExt cx="10064744" cy="3016250"/>
        </a:xfrm>
      </xdr:grpSpPr>
      <xdr:graphicFrame macro="">
        <xdr:nvGraphicFramePr>
          <xdr:cNvPr id="24" name="Grafico 23">
            <a:extLst>
              <a:ext uri="{FF2B5EF4-FFF2-40B4-BE49-F238E27FC236}">
                <a16:creationId xmlns:a16="http://schemas.microsoft.com/office/drawing/2014/main" id="{00000000-0008-0000-1F00-000018000000}"/>
              </a:ext>
            </a:extLst>
          </xdr:cNvPr>
          <xdr:cNvGraphicFramePr/>
        </xdr:nvGraphicFramePr>
        <xdr:xfrm>
          <a:off x="9594850" y="29216350"/>
          <a:ext cx="4572000"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8" name="Grafico 17">
            <a:extLst>
              <a:ext uri="{FF2B5EF4-FFF2-40B4-BE49-F238E27FC236}">
                <a16:creationId xmlns:a16="http://schemas.microsoft.com/office/drawing/2014/main" id="{00000000-0008-0000-1F00-000012000000}"/>
              </a:ext>
            </a:extLst>
          </xdr:cNvPr>
          <xdr:cNvGraphicFramePr/>
        </xdr:nvGraphicFramePr>
        <xdr:xfrm>
          <a:off x="4102106" y="29127450"/>
          <a:ext cx="5689594" cy="301625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42</xdr:col>
      <xdr:colOff>435428</xdr:colOff>
      <xdr:row>17</xdr:row>
      <xdr:rowOff>87085</xdr:rowOff>
    </xdr:from>
    <xdr:to>
      <xdr:col>49</xdr:col>
      <xdr:colOff>325096</xdr:colOff>
      <xdr:row>32</xdr:row>
      <xdr:rowOff>14727</xdr:rowOff>
    </xdr:to>
    <xdr:graphicFrame macro="">
      <xdr:nvGraphicFramePr>
        <xdr:cNvPr id="9" name="Grafico 8">
          <a:extLst>
            <a:ext uri="{FF2B5EF4-FFF2-40B4-BE49-F238E27FC236}">
              <a16:creationId xmlns:a16="http://schemas.microsoft.com/office/drawing/2014/main" id="{EFA6FD37-5106-4E27-89AA-270998B8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215152</xdr:colOff>
      <xdr:row>92</xdr:row>
      <xdr:rowOff>17929</xdr:rowOff>
    </xdr:from>
    <xdr:to>
      <xdr:col>40</xdr:col>
      <xdr:colOff>167434</xdr:colOff>
      <xdr:row>107</xdr:row>
      <xdr:rowOff>28517</xdr:rowOff>
    </xdr:to>
    <xdr:grpSp>
      <xdr:nvGrpSpPr>
        <xdr:cNvPr id="31" name="Gruppo 30">
          <a:extLst>
            <a:ext uri="{FF2B5EF4-FFF2-40B4-BE49-F238E27FC236}">
              <a16:creationId xmlns:a16="http://schemas.microsoft.com/office/drawing/2014/main" id="{B70E7DB6-C82E-5F8B-B16A-56B7EECCBD17}"/>
            </a:ext>
          </a:extLst>
        </xdr:cNvPr>
        <xdr:cNvGrpSpPr/>
      </xdr:nvGrpSpPr>
      <xdr:grpSpPr>
        <a:xfrm>
          <a:off x="12444505" y="17364635"/>
          <a:ext cx="6190223" cy="2812058"/>
          <a:chOff x="12272681" y="16898470"/>
          <a:chExt cx="10119939" cy="4127511"/>
        </a:xfrm>
      </xdr:grpSpPr>
      <xdr:graphicFrame macro="">
        <xdr:nvGraphicFramePr>
          <xdr:cNvPr id="30" name="Grafico 29">
            <a:extLst>
              <a:ext uri="{FF2B5EF4-FFF2-40B4-BE49-F238E27FC236}">
                <a16:creationId xmlns:a16="http://schemas.microsoft.com/office/drawing/2014/main" id="{6C13CE64-C62B-4C60-80A0-C035BA710A7C}"/>
              </a:ext>
            </a:extLst>
          </xdr:cNvPr>
          <xdr:cNvGraphicFramePr>
            <a:graphicFrameLocks/>
          </xdr:cNvGraphicFramePr>
        </xdr:nvGraphicFramePr>
        <xdr:xfrm>
          <a:off x="16504018" y="16907435"/>
          <a:ext cx="5888602" cy="411854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27" name="Grafico 26">
            <a:extLst>
              <a:ext uri="{FF2B5EF4-FFF2-40B4-BE49-F238E27FC236}">
                <a16:creationId xmlns:a16="http://schemas.microsoft.com/office/drawing/2014/main" id="{3AADF9E9-D147-85A0-3660-55CCB4E0A2A4}"/>
              </a:ext>
            </a:extLst>
          </xdr:cNvPr>
          <xdr:cNvGraphicFramePr/>
        </xdr:nvGraphicFramePr>
        <xdr:xfrm>
          <a:off x="12272681" y="16898470"/>
          <a:ext cx="5888602" cy="4118546"/>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88816</xdr:colOff>
      <xdr:row>44</xdr:row>
      <xdr:rowOff>105241</xdr:rowOff>
    </xdr:from>
    <xdr:to>
      <xdr:col>18</xdr:col>
      <xdr:colOff>586805</xdr:colOff>
      <xdr:row>58</xdr:row>
      <xdr:rowOff>179072</xdr:rowOff>
    </xdr:to>
    <xdr:graphicFrame macro="">
      <xdr:nvGraphicFramePr>
        <xdr:cNvPr id="2" name="Gra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439911</xdr:colOff>
      <xdr:row>45</xdr:row>
      <xdr:rowOff>80681</xdr:rowOff>
    </xdr:from>
    <xdr:to>
      <xdr:col>7</xdr:col>
      <xdr:colOff>598842</xdr:colOff>
      <xdr:row>49</xdr:row>
      <xdr:rowOff>80553</xdr:rowOff>
    </xdr:to>
    <xdr:sp macro="" textlink="">
      <xdr:nvSpPr>
        <xdr:cNvPr id="3" name="CasellaDiTesto 2">
          <a:extLst>
            <a:ext uri="{FF2B5EF4-FFF2-40B4-BE49-F238E27FC236}">
              <a16:creationId xmlns:a16="http://schemas.microsoft.com/office/drawing/2014/main" id="{00000000-0008-0000-2000-000003000000}"/>
            </a:ext>
          </a:extLst>
        </xdr:cNvPr>
        <xdr:cNvSpPr txBox="1"/>
      </xdr:nvSpPr>
      <xdr:spPr>
        <a:xfrm>
          <a:off x="2985887" y="4455457"/>
          <a:ext cx="4282696" cy="788767"/>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Mean Absolute Percentage Error (MAPE): average of the absolute percentage differences between predicted and actual values.</a:t>
          </a:r>
        </a:p>
        <a:p>
          <a:endParaRPr lang="en-GB" sz="1400"/>
        </a:p>
      </xdr:txBody>
    </xdr:sp>
    <xdr:clientData/>
  </xdr:twoCellAnchor>
  <xdr:twoCellAnchor>
    <xdr:from>
      <xdr:col>19</xdr:col>
      <xdr:colOff>71718</xdr:colOff>
      <xdr:row>44</xdr:row>
      <xdr:rowOff>116541</xdr:rowOff>
    </xdr:from>
    <xdr:to>
      <xdr:col>25</xdr:col>
      <xdr:colOff>569707</xdr:colOff>
      <xdr:row>59</xdr:row>
      <xdr:rowOff>9798</xdr:rowOff>
    </xdr:to>
    <xdr:graphicFrame macro="">
      <xdr:nvGraphicFramePr>
        <xdr:cNvPr id="4" name="Gra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82604</xdr:colOff>
      <xdr:row>44</xdr:row>
      <xdr:rowOff>116541</xdr:rowOff>
    </xdr:from>
    <xdr:to>
      <xdr:col>32</xdr:col>
      <xdr:colOff>580593</xdr:colOff>
      <xdr:row>59</xdr:row>
      <xdr:rowOff>9798</xdr:rowOff>
    </xdr:to>
    <xdr:graphicFrame macro="">
      <xdr:nvGraphicFramePr>
        <xdr:cNvPr id="5" name="Grafico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71718</xdr:colOff>
      <xdr:row>44</xdr:row>
      <xdr:rowOff>116541</xdr:rowOff>
    </xdr:from>
    <xdr:to>
      <xdr:col>39</xdr:col>
      <xdr:colOff>569707</xdr:colOff>
      <xdr:row>59</xdr:row>
      <xdr:rowOff>9798</xdr:rowOff>
    </xdr:to>
    <xdr:graphicFrame macro="">
      <xdr:nvGraphicFramePr>
        <xdr:cNvPr id="6" name="Grafico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71718</xdr:colOff>
      <xdr:row>44</xdr:row>
      <xdr:rowOff>116541</xdr:rowOff>
    </xdr:from>
    <xdr:to>
      <xdr:col>46</xdr:col>
      <xdr:colOff>569707</xdr:colOff>
      <xdr:row>59</xdr:row>
      <xdr:rowOff>9798</xdr:rowOff>
    </xdr:to>
    <xdr:graphicFrame macro="">
      <xdr:nvGraphicFramePr>
        <xdr:cNvPr id="7" name="Grafico 6">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71718</xdr:colOff>
      <xdr:row>44</xdr:row>
      <xdr:rowOff>116541</xdr:rowOff>
    </xdr:from>
    <xdr:to>
      <xdr:col>60</xdr:col>
      <xdr:colOff>569707</xdr:colOff>
      <xdr:row>59</xdr:row>
      <xdr:rowOff>9798</xdr:rowOff>
    </xdr:to>
    <xdr:graphicFrame macro="">
      <xdr:nvGraphicFramePr>
        <xdr:cNvPr id="8" name="Grafico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71718</xdr:colOff>
      <xdr:row>44</xdr:row>
      <xdr:rowOff>116541</xdr:rowOff>
    </xdr:from>
    <xdr:to>
      <xdr:col>53</xdr:col>
      <xdr:colOff>569707</xdr:colOff>
      <xdr:row>59</xdr:row>
      <xdr:rowOff>9798</xdr:rowOff>
    </xdr:to>
    <xdr:graphicFrame macro="">
      <xdr:nvGraphicFramePr>
        <xdr:cNvPr id="9" name="Grafico 8">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63</xdr:col>
      <xdr:colOff>0</xdr:colOff>
      <xdr:row>44</xdr:row>
      <xdr:rowOff>0</xdr:rowOff>
    </xdr:from>
    <xdr:to>
      <xdr:col>69</xdr:col>
      <xdr:colOff>497989</xdr:colOff>
      <xdr:row>58</xdr:row>
      <xdr:rowOff>72551</xdr:rowOff>
    </xdr:to>
    <xdr:graphicFrame macro="">
      <xdr:nvGraphicFramePr>
        <xdr:cNvPr id="10" name="Grafico 9">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72</xdr:col>
      <xdr:colOff>0</xdr:colOff>
      <xdr:row>44</xdr:row>
      <xdr:rowOff>0</xdr:rowOff>
    </xdr:from>
    <xdr:to>
      <xdr:col>78</xdr:col>
      <xdr:colOff>497989</xdr:colOff>
      <xdr:row>58</xdr:row>
      <xdr:rowOff>72551</xdr:rowOff>
    </xdr:to>
    <xdr:graphicFrame macro="">
      <xdr:nvGraphicFramePr>
        <xdr:cNvPr id="11" name="Grafico 10">
          <a:extLst>
            <a:ext uri="{FF2B5EF4-FFF2-40B4-BE49-F238E27FC236}">
              <a16:creationId xmlns:a16="http://schemas.microsoft.com/office/drawing/2014/main" id="{00000000-0008-0000-2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31</xdr:col>
      <xdr:colOff>139290</xdr:colOff>
      <xdr:row>0</xdr:row>
      <xdr:rowOff>15240</xdr:rowOff>
    </xdr:from>
    <xdr:to>
      <xdr:col>40</xdr:col>
      <xdr:colOff>90433</xdr:colOff>
      <xdr:row>41</xdr:row>
      <xdr:rowOff>81608</xdr:rowOff>
    </xdr:to>
    <xdr:grpSp>
      <xdr:nvGrpSpPr>
        <xdr:cNvPr id="5" name="Gruppo 4">
          <a:extLst>
            <a:ext uri="{FF2B5EF4-FFF2-40B4-BE49-F238E27FC236}">
              <a16:creationId xmlns:a16="http://schemas.microsoft.com/office/drawing/2014/main" id="{00000000-0008-0000-2100-000005000000}"/>
            </a:ext>
          </a:extLst>
        </xdr:cNvPr>
        <xdr:cNvGrpSpPr/>
      </xdr:nvGrpSpPr>
      <xdr:grpSpPr>
        <a:xfrm>
          <a:off x="14128340" y="15240"/>
          <a:ext cx="5437543" cy="7686368"/>
          <a:chOff x="13466670" y="0"/>
          <a:chExt cx="5437543" cy="7648268"/>
        </a:xfrm>
      </xdr:grpSpPr>
      <xdr:graphicFrame macro="">
        <xdr:nvGraphicFramePr>
          <xdr:cNvPr id="2" name="Grafico 1">
            <a:extLst>
              <a:ext uri="{FF2B5EF4-FFF2-40B4-BE49-F238E27FC236}">
                <a16:creationId xmlns:a16="http://schemas.microsoft.com/office/drawing/2014/main" id="{00000000-0008-0000-2100-000002000000}"/>
              </a:ext>
            </a:extLst>
          </xdr:cNvPr>
          <xdr:cNvGraphicFramePr>
            <a:graphicFrameLocks/>
          </xdr:cNvGraphicFramePr>
        </xdr:nvGraphicFramePr>
        <xdr:xfrm>
          <a:off x="13473843" y="3693712"/>
          <a:ext cx="5430370" cy="395455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afico 2">
            <a:extLst>
              <a:ext uri="{FF2B5EF4-FFF2-40B4-BE49-F238E27FC236}">
                <a16:creationId xmlns:a16="http://schemas.microsoft.com/office/drawing/2014/main" id="{00000000-0008-0000-2100-000003000000}"/>
              </a:ext>
            </a:extLst>
          </xdr:cNvPr>
          <xdr:cNvGraphicFramePr>
            <a:graphicFrameLocks/>
          </xdr:cNvGraphicFramePr>
        </xdr:nvGraphicFramePr>
        <xdr:xfrm>
          <a:off x="13466670" y="0"/>
          <a:ext cx="5430370" cy="369480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30</xdr:col>
      <xdr:colOff>223558</xdr:colOff>
      <xdr:row>42</xdr:row>
      <xdr:rowOff>25772</xdr:rowOff>
    </xdr:from>
    <xdr:to>
      <xdr:col>39</xdr:col>
      <xdr:colOff>172010</xdr:colOff>
      <xdr:row>60</xdr:row>
      <xdr:rowOff>163604</xdr:rowOff>
    </xdr:to>
    <xdr:graphicFrame macro="">
      <xdr:nvGraphicFramePr>
        <xdr:cNvPr id="4" name="Gra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9267825" cy="6086475"/>
    <xdr:graphicFrame macro="">
      <xdr:nvGraphicFramePr>
        <xdr:cNvPr id="2" name="Grafico 1">
          <a:extLst>
            <a:ext uri="{FF2B5EF4-FFF2-40B4-BE49-F238E27FC236}">
              <a16:creationId xmlns:a16="http://schemas.microsoft.com/office/drawing/2014/main" id="{FCDDE2A4-F2B4-E731-027E-31FFC04E0B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1.8415E-7</cdr:x>
      <cdr:y>0.02907</cdr:y>
    </cdr:from>
    <cdr:to>
      <cdr:x>0.04983</cdr:x>
      <cdr:y>0.81395</cdr:y>
    </cdr:to>
    <cdr:sp macro="" textlink="">
      <cdr:nvSpPr>
        <cdr:cNvPr id="2" name="CasellaDiTesto 1"/>
        <cdr:cNvSpPr txBox="1"/>
      </cdr:nvSpPr>
      <cdr:spPr>
        <a:xfrm xmlns:a="http://schemas.openxmlformats.org/drawingml/2006/main" rot="16200000">
          <a:off x="-1274577" y="1379014"/>
          <a:ext cx="2819778" cy="2706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0.93573</cdr:x>
      <cdr:y>0.03778</cdr:y>
    </cdr:from>
    <cdr:to>
      <cdr:x>1</cdr:x>
      <cdr:y>0.82267</cdr:y>
    </cdr:to>
    <cdr:sp macro="" textlink="">
      <cdr:nvSpPr>
        <cdr:cNvPr id="3" name="CasellaDiTesto 1"/>
        <cdr:cNvSpPr txBox="1"/>
      </cdr:nvSpPr>
      <cdr:spPr>
        <a:xfrm xmlns:a="http://schemas.openxmlformats.org/drawingml/2006/main" rot="5400000">
          <a:off x="3915915" y="1371121"/>
          <a:ext cx="2819779" cy="3490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0.02907</cdr:y>
    </cdr:from>
    <cdr:to>
      <cdr:x>0.05788</cdr:x>
      <cdr:y>0.81395</cdr:y>
    </cdr:to>
    <cdr:sp macro="" textlink="">
      <cdr:nvSpPr>
        <cdr:cNvPr id="2" name="CasellaDiTesto 1"/>
        <cdr:cNvSpPr txBox="1"/>
      </cdr:nvSpPr>
      <cdr:spPr>
        <a:xfrm xmlns:a="http://schemas.openxmlformats.org/drawingml/2006/main" rot="16200000">
          <a:off x="-1252719" y="1357156"/>
          <a:ext cx="2819765" cy="3143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0.93572</cdr:x>
      <cdr:y>0.04044</cdr:y>
    </cdr:from>
    <cdr:to>
      <cdr:x>1</cdr:x>
      <cdr:y>0.82532</cdr:y>
    </cdr:to>
    <cdr:sp macro="" textlink="">
      <cdr:nvSpPr>
        <cdr:cNvPr id="3" name="CasellaDiTesto 1"/>
        <cdr:cNvSpPr txBox="1"/>
      </cdr:nvSpPr>
      <cdr:spPr>
        <a:xfrm xmlns:a="http://schemas.openxmlformats.org/drawingml/2006/main" rot="5400000">
          <a:off x="3944496" y="1380637"/>
          <a:ext cx="2819765" cy="3490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42.xml><?xml version="1.0" encoding="utf-8"?>
<c:userShapes xmlns:c="http://schemas.openxmlformats.org/drawingml/2006/chart">
  <cdr:relSizeAnchor xmlns:cdr="http://schemas.openxmlformats.org/drawingml/2006/chartDrawing">
    <cdr:from>
      <cdr:x>1.8415E-7</cdr:x>
      <cdr:y>0</cdr:y>
    </cdr:from>
    <cdr:to>
      <cdr:x>0.05788</cdr:x>
      <cdr:y>0.78488</cdr:y>
    </cdr:to>
    <cdr:sp macro="" textlink="">
      <cdr:nvSpPr>
        <cdr:cNvPr id="2" name="CasellaDiTesto 1"/>
        <cdr:cNvSpPr txBox="1"/>
      </cdr:nvSpPr>
      <cdr:spPr>
        <a:xfrm xmlns:a="http://schemas.openxmlformats.org/drawingml/2006/main" rot="16200000">
          <a:off x="-1222075" y="1222076"/>
          <a:ext cx="2758461" cy="314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Ore di funzionamento annuo</a:t>
          </a:r>
        </a:p>
      </cdr:txBody>
    </cdr:sp>
  </cdr:relSizeAnchor>
</c:userShapes>
</file>

<file path=xl/drawings/drawing5.xml><?xml version="1.0" encoding="utf-8"?>
<xdr:wsDr xmlns:xdr="http://schemas.openxmlformats.org/drawingml/2006/spreadsheetDrawing" xmlns:a="http://schemas.openxmlformats.org/drawingml/2006/main">
  <xdr:twoCellAnchor>
    <xdr:from>
      <xdr:col>37</xdr:col>
      <xdr:colOff>594361</xdr:colOff>
      <xdr:row>21</xdr:row>
      <xdr:rowOff>7620</xdr:rowOff>
    </xdr:from>
    <xdr:to>
      <xdr:col>46</xdr:col>
      <xdr:colOff>60960</xdr:colOff>
      <xdr:row>36</xdr:row>
      <xdr:rowOff>64072</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0.0302</cdr:y>
    </cdr:from>
    <cdr:to>
      <cdr:x>0.09025</cdr:x>
      <cdr:y>0.76747</cdr:y>
    </cdr:to>
    <cdr:sp macro="" textlink="">
      <cdr:nvSpPr>
        <cdr:cNvPr id="2" name="CasellaDiTesto 1"/>
        <cdr:cNvSpPr txBox="1"/>
      </cdr:nvSpPr>
      <cdr:spPr>
        <a:xfrm xmlns:a="http://schemas.openxmlformats.org/drawingml/2006/main" rot="16200000">
          <a:off x="-880110" y="971549"/>
          <a:ext cx="2232659" cy="47243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600" b="1"/>
            <a:t>Fattore di conversione</a:t>
          </a:r>
        </a:p>
      </cdr:txBody>
    </cdr:sp>
  </cdr:relSizeAnchor>
</c:userShapes>
</file>

<file path=xl/drawings/drawing7.xml><?xml version="1.0" encoding="utf-8"?>
<xdr:wsDr xmlns:xdr="http://schemas.openxmlformats.org/drawingml/2006/spreadsheetDrawing" xmlns:a="http://schemas.openxmlformats.org/drawingml/2006/main">
  <xdr:twoCellAnchor>
    <xdr:from>
      <xdr:col>52</xdr:col>
      <xdr:colOff>636493</xdr:colOff>
      <xdr:row>36</xdr:row>
      <xdr:rowOff>26894</xdr:rowOff>
    </xdr:from>
    <xdr:to>
      <xdr:col>57</xdr:col>
      <xdr:colOff>224117</xdr:colOff>
      <xdr:row>42</xdr:row>
      <xdr:rowOff>1</xdr:rowOff>
    </xdr:to>
    <xdr:sp macro="" textlink="">
      <xdr:nvSpPr>
        <xdr:cNvPr id="2" name="CasellaDiTesto 1">
          <a:extLst>
            <a:ext uri="{FF2B5EF4-FFF2-40B4-BE49-F238E27FC236}">
              <a16:creationId xmlns:a16="http://schemas.microsoft.com/office/drawing/2014/main" id="{00000000-0008-0000-0600-000002000000}"/>
            </a:ext>
          </a:extLst>
        </xdr:cNvPr>
        <xdr:cNvSpPr txBox="1"/>
      </xdr:nvSpPr>
      <xdr:spPr>
        <a:xfrm>
          <a:off x="23541317" y="7171765"/>
          <a:ext cx="3639671" cy="1165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Per il</a:t>
          </a:r>
          <a:r>
            <a:rPr lang="en-GB" sz="1100" baseline="0"/>
            <a:t> calcolo della CO2 da </a:t>
          </a:r>
          <a:r>
            <a:rPr lang="en-GB" sz="1100"/>
            <a:t>autoconsumo non sono considerate le perdite di rete, così come per l'immesso in rete e il richiesto dalla rete del </a:t>
          </a:r>
          <a:r>
            <a:rPr lang="en-GB" sz="1100">
              <a:solidFill>
                <a:schemeClr val="dk1"/>
              </a:solidFill>
              <a:effectLst/>
              <a:latin typeface="+mn-lt"/>
              <a:ea typeface="+mn-ea"/>
              <a:cs typeface="+mn-cs"/>
            </a:rPr>
            <a:t>mix residuale (applicate le perdite invece se considero</a:t>
          </a:r>
          <a:r>
            <a:rPr lang="en-GB" sz="1100" baseline="0">
              <a:solidFill>
                <a:schemeClr val="dk1"/>
              </a:solidFill>
              <a:effectLst/>
              <a:latin typeface="+mn-lt"/>
              <a:ea typeface="+mn-ea"/>
              <a:cs typeface="+mn-cs"/>
            </a:rPr>
            <a:t> i consumi)</a:t>
          </a:r>
          <a:r>
            <a:rPr lang="en-GB" sz="1100">
              <a:solidFill>
                <a:schemeClr val="dk1"/>
              </a:solidFill>
              <a:effectLst/>
              <a:latin typeface="+mn-lt"/>
              <a:ea typeface="+mn-ea"/>
              <a:cs typeface="+mn-cs"/>
            </a:rPr>
            <a:t>. Solo</a:t>
          </a:r>
          <a:r>
            <a:rPr lang="en-GB" sz="1100"/>
            <a:t> per il venduto dall'operatore si considera</a:t>
          </a:r>
          <a:r>
            <a:rPr lang="en-GB" sz="1100" baseline="0"/>
            <a:t> l'energia prodotta anche per t</a:t>
          </a:r>
          <a:r>
            <a:rPr lang="en-GB" sz="1100"/>
            <a:t>enere conto delle perdite di rete.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299420</xdr:colOff>
      <xdr:row>0</xdr:row>
      <xdr:rowOff>81170</xdr:rowOff>
    </xdr:from>
    <xdr:to>
      <xdr:col>16</xdr:col>
      <xdr:colOff>448356</xdr:colOff>
      <xdr:row>38</xdr:row>
      <xdr:rowOff>0</xdr:rowOff>
    </xdr:to>
    <xdr:sp macro="" textlink="">
      <xdr:nvSpPr>
        <xdr:cNvPr id="2" name="CasellaDiTesto 1">
          <a:extLst>
            <a:ext uri="{FF2B5EF4-FFF2-40B4-BE49-F238E27FC236}">
              <a16:creationId xmlns:a16="http://schemas.microsoft.com/office/drawing/2014/main" id="{00000000-0008-0000-0800-000002000000}"/>
            </a:ext>
          </a:extLst>
        </xdr:cNvPr>
        <xdr:cNvSpPr txBox="1"/>
      </xdr:nvSpPr>
      <xdr:spPr>
        <a:xfrm>
          <a:off x="7835600" y="81170"/>
          <a:ext cx="7022176" cy="7714090"/>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per</a:t>
          </a:r>
          <a:r>
            <a:rPr lang="en-GB" sz="1400" b="1">
              <a:solidFill>
                <a:schemeClr val="dk1"/>
              </a:solidFill>
              <a:latin typeface="+mn-lt"/>
              <a:ea typeface="+mn-ea"/>
              <a:cs typeface="+mn-cs"/>
            </a:rPr>
            <a:t> art. 8, commi 1 e 4, del DM MASE n. 224 del 14 luglio 2023</a:t>
          </a:r>
        </a:p>
        <a:p>
          <a:endParaRPr lang="en-GB" sz="1400"/>
        </a:p>
        <a:p>
          <a:r>
            <a:rPr lang="en-GB" sz="1400"/>
            <a:t>Secondo quanto richiesto dal comma 1 "</a:t>
          </a:r>
          <a:r>
            <a:rPr lang="en-GB" sz="1400" i="1"/>
            <a:t>le società di vendita di energia elettrica forniscono ai clienti finali informazioni in relazione a: </a:t>
          </a:r>
        </a:p>
        <a:p>
          <a:r>
            <a:rPr lang="en-GB" sz="1400" i="1"/>
            <a:t>a) composizione del mix di fonti energetiche primarie utilizzate per la produzione dell'energia elettrica fornita nell’anno precedente, anche con riferimento a ciascun contratto, in modo comprensibile e facilmente confrontabile; </a:t>
          </a:r>
        </a:p>
        <a:p>
          <a:r>
            <a:rPr lang="en-GB" sz="1400" i="1"/>
            <a:t>b) impatto ambientale, almeno in termini di emissioni di CO</a:t>
          </a:r>
          <a:r>
            <a:rPr lang="en-GB" sz="1400" i="1" baseline="-25000"/>
            <a:t>2</a:t>
          </a:r>
          <a:r>
            <a:rPr lang="en-GB" sz="1400" i="1"/>
            <a:t> e di scorie radioattive risultanti dalla produzione di energia elettrica prodotta mediante il mix energetico complessivo utilizzato dal fornitore nell'anno precedente.</a:t>
          </a:r>
          <a:r>
            <a:rPr lang="en-GB" sz="1400"/>
            <a:t>"</a:t>
          </a:r>
        </a:p>
        <a:p>
          <a:endParaRPr lang="en-GB" sz="1400"/>
        </a:p>
        <a:p>
          <a:r>
            <a:rPr lang="en-GB" sz="1400"/>
            <a:t>Il comma 4 prescrive che: "</a:t>
          </a:r>
          <a:r>
            <a:rPr lang="en-GB" sz="1400" i="1"/>
            <a:t>Entro il 30 giugno di ogni anno, l’Istituto superiore per la protezione e la ricerca ambientale (ISPRA), in collaborazione con il GSE, elabora e trasmette al Ministero dell’ambiente e della sicurezza energetica uno studio che valuta l’impatto ambientale della produzione di energia elettrica dell’anno precedente. Per le finalità di cui al comma 1, lettera b) del presente articolo, le società di vendita fanno riferimento a tali studi.</a:t>
          </a:r>
          <a:r>
            <a:rPr lang="en-GB" sz="1400"/>
            <a:t>"</a:t>
          </a:r>
        </a:p>
        <a:p>
          <a:endParaRPr lang="en-GB" sz="1400"/>
        </a:p>
        <a:p>
          <a:r>
            <a:rPr lang="en-GB" sz="1400"/>
            <a:t>I</a:t>
          </a:r>
          <a:r>
            <a:rPr lang="en-GB" sz="1400" baseline="0"/>
            <a:t>n ottemperanza a quanto previsto dalla suddetta normativa, in questa tabella</a:t>
          </a:r>
          <a:r>
            <a:rPr lang="en-GB" sz="1400"/>
            <a:t> sono riportati i fattori di </a:t>
          </a:r>
          <a:r>
            <a:rPr lang="en-GB" sz="1400">
              <a:solidFill>
                <a:schemeClr val="dk1"/>
              </a:solidFill>
              <a:latin typeface="+mn-lt"/>
              <a:ea typeface="+mn-ea"/>
              <a:cs typeface="+mn-cs"/>
            </a:rPr>
            <a:t>emissione di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a:t>
          </a:r>
          <a:r>
            <a:rPr lang="en-GB" sz="1400"/>
            <a:t>per contenuto di energia primaria dei combustibili utilizzati sul territorio nazionale per la produzione elettrica.</a:t>
          </a:r>
          <a:r>
            <a:rPr lang="en-GB" sz="1400" baseline="0"/>
            <a:t> La CO</a:t>
          </a:r>
          <a:r>
            <a:rPr lang="en-GB" sz="1400" baseline="-25000"/>
            <a:t>2</a:t>
          </a:r>
          <a:r>
            <a:rPr lang="en-GB" sz="1400" baseline="0"/>
            <a:t> emessa per la generazione elettrica è il risultato del prodotto di energia primaria utilizzata per il rispettivo fattore di emissione. Per il gas naturale si considera il pci = 8190 kcal/m3.</a:t>
          </a:r>
          <a:endParaRPr lang="en-GB" sz="1400"/>
        </a:p>
        <a:p>
          <a:endParaRPr lang="en-GB" sz="1400"/>
        </a:p>
        <a:p>
          <a:r>
            <a:rPr lang="en-GB" sz="1400"/>
            <a:t>In tabella 9 sono riportati i fattori di emissione di</a:t>
          </a:r>
          <a:r>
            <a:rPr lang="en-GB" sz="1400" baseline="0"/>
            <a:t> CO</a:t>
          </a:r>
          <a:r>
            <a:rPr lang="en-GB" sz="1400" baseline="-25000"/>
            <a:t>2</a:t>
          </a:r>
          <a:r>
            <a:rPr lang="en-GB" sz="1400" baseline="0"/>
            <a:t> </a:t>
          </a:r>
          <a:r>
            <a:rPr lang="en-GB" sz="1400"/>
            <a:t>del mix medio nazionale di</a:t>
          </a:r>
          <a:r>
            <a:rPr lang="en-GB" sz="1400" baseline="0"/>
            <a:t> fonti energetiche, per la generazione elettrica e per i consumi elettrici, a valle delle perdite di rete e del contributo del netto import-export</a:t>
          </a:r>
          <a:r>
            <a:rPr lang="en-GB" sz="1400"/>
            <a:t>. In tabella 10 sono</a:t>
          </a:r>
          <a:r>
            <a:rPr lang="en-GB" sz="1400" baseline="0"/>
            <a:t> inoltre riportati fattori di CH</a:t>
          </a:r>
          <a:r>
            <a:rPr lang="en-GB" sz="1400" baseline="-25000"/>
            <a:t>4</a:t>
          </a:r>
          <a:r>
            <a:rPr lang="en-GB" sz="1400" baseline="0"/>
            <a:t> e N</a:t>
          </a:r>
          <a:r>
            <a:rPr lang="en-GB" sz="1400" baseline="-25000"/>
            <a:t>2</a:t>
          </a:r>
          <a:r>
            <a:rPr lang="en-GB" sz="1400" baseline="0"/>
            <a:t>O e altri inquinanti atmosferici.</a:t>
          </a:r>
        </a:p>
        <a:p>
          <a:endParaRPr lang="en-GB" sz="1400" baseline="0"/>
        </a:p>
        <a:p>
          <a:r>
            <a:rPr lang="en-GB" sz="1400" b="1" baseline="0">
              <a:solidFill>
                <a:sysClr val="windowText" lastClr="000000"/>
              </a:solidFill>
            </a:rPr>
            <a:t>NB</a:t>
          </a:r>
          <a:r>
            <a:rPr lang="en-GB" sz="1400" b="1" baseline="0">
              <a:solidFill>
                <a:srgbClr val="FF0000"/>
              </a:solidFill>
            </a:rPr>
            <a:t> </a:t>
          </a:r>
          <a:r>
            <a:rPr lang="en-GB" sz="1400" baseline="0"/>
            <a:t>- Le stime dei fattori di emissione per la produzione elettrica riferite all'anno precedente (sia t l'anno in corso, t-1 è l'anno precedente), come stabilito dalla normativa, riportate nei seguenti fogli si basano su dati preliminari e fattori di emissione per enegia primaria riferiti all'anno t-2. Le stime sono quindi caratterizzate dall'incertezza che dipende dai dati di origine. La stima delle emissioni si basa sui fattori di emissione specifici dell'ultimo anno consuntivo (t-2). Le stime preliminari saranno ricalcolate con i dati definitivi.</a:t>
          </a:r>
        </a:p>
        <a:p>
          <a:endParaRPr lang="en-GB" sz="1400"/>
        </a:p>
        <a:p>
          <a:br>
            <a:rPr lang="en-GB" sz="1400"/>
          </a:br>
          <a:endParaRPr lang="en-GB" sz="1400" baseline="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537882</xdr:colOff>
      <xdr:row>2</xdr:row>
      <xdr:rowOff>17930</xdr:rowOff>
    </xdr:from>
    <xdr:to>
      <xdr:col>22</xdr:col>
      <xdr:colOff>53787</xdr:colOff>
      <xdr:row>49</xdr:row>
      <xdr:rowOff>170328</xdr:rowOff>
    </xdr:to>
    <xdr:sp macro="" textlink="">
      <xdr:nvSpPr>
        <xdr:cNvPr id="3" name="CasellaDiTesto 2">
          <a:extLst>
            <a:ext uri="{FF2B5EF4-FFF2-40B4-BE49-F238E27FC236}">
              <a16:creationId xmlns:a16="http://schemas.microsoft.com/office/drawing/2014/main" id="{00000000-0008-0000-0C00-000003000000}"/>
            </a:ext>
          </a:extLst>
        </xdr:cNvPr>
        <xdr:cNvSpPr txBox="1"/>
      </xdr:nvSpPr>
      <xdr:spPr>
        <a:xfrm>
          <a:off x="10381129" y="412377"/>
          <a:ext cx="7037293" cy="103452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metodologica per il calcolo dei fattori di emissione</a:t>
          </a:r>
        </a:p>
        <a:p>
          <a:endParaRPr lang="en-GB" sz="1400"/>
        </a:p>
        <a:p>
          <a:r>
            <a:rPr lang="en-GB" sz="1400"/>
            <a:t>Le emissioni di CO</a:t>
          </a:r>
          <a:r>
            <a:rPr lang="en-GB" sz="1400" baseline="-25000"/>
            <a:t>2</a:t>
          </a:r>
          <a:r>
            <a:rPr lang="en-GB" sz="1400"/>
            <a:t> sono stimate secondo l'approccio richiesto da UNFCCC per la compilazione degli Inventari Nazionali</a:t>
          </a:r>
          <a:r>
            <a:rPr lang="en-GB" sz="1400" baseline="0"/>
            <a:t> delle emissioni di gas serra. In base a tale approccio sono conteggiati solo i gas serra rilasciati sul territorio nazionale. Le emissioni dovute alla produzione di elettricità importata sono a carico del Paese produttore. Per la produzione elettrica nazionale sono considerate esclusivamente le emissioni da combustione dei combustibili fossili e della componente fossile dei rifiuti. In merito alle bioenergie (biogas, biomasse liquide e solide, quota rinnovabile dei rifiuti) le emissioni nette di CO</a:t>
          </a:r>
          <a:r>
            <a:rPr lang="en-GB" sz="1400" baseline="-25000"/>
            <a:t>2</a:t>
          </a:r>
          <a:r>
            <a:rPr lang="en-GB" sz="1400" baseline="0"/>
            <a:t> per la combustione sono considerate zero, perché pari alla CO</a:t>
          </a:r>
          <a:r>
            <a:rPr lang="en-GB" sz="1400" baseline="-25000"/>
            <a:t>2</a:t>
          </a:r>
          <a:r>
            <a:rPr lang="en-GB" sz="1400" baseline="0"/>
            <a:t> immagazzinata durante la formazione della bioenergia. A differenza della CO</a:t>
          </a:r>
          <a:r>
            <a:rPr lang="en-GB" sz="1400" baseline="-25000"/>
            <a:t>2</a:t>
          </a:r>
          <a:r>
            <a:rPr lang="en-GB" sz="1400" baseline="0"/>
            <a:t>, sono stimate le emissioni di CH</a:t>
          </a:r>
          <a:r>
            <a:rPr lang="en-GB" sz="1400" baseline="-25000"/>
            <a:t>4</a:t>
          </a:r>
          <a:r>
            <a:rPr lang="en-GB" sz="1400" baseline="0"/>
            <a:t> e N</a:t>
          </a:r>
          <a:r>
            <a:rPr lang="en-GB" sz="1400" baseline="-25000"/>
            <a:t>2</a:t>
          </a:r>
          <a:r>
            <a:rPr lang="en-GB" sz="1400" baseline="0"/>
            <a:t>O da combustione delle bioenergie (riportate nel foglio 10). </a:t>
          </a:r>
        </a:p>
        <a:p>
          <a:r>
            <a:rPr lang="en-GB" sz="1400" baseline="0"/>
            <a:t>Secondo la metodologia adottata sono da considerarsi nulle le emissioni da altre fonti rinnovabili: idroelettrico, geotermia, fotovoltaico, eolico. </a:t>
          </a:r>
        </a:p>
        <a:p>
          <a:r>
            <a:rPr lang="en-GB" sz="1400" baseline="0"/>
            <a:t>Sebbene la fonte nucleare non sia presente nel mix energetico nazionale, si sottolinea che secondo le convenzioni internazionali sono considerate nulle le emissioni di gas serra per la produzione elettrica da tale fonte.</a:t>
          </a:r>
        </a:p>
        <a:p>
          <a:r>
            <a:rPr lang="en-GB" sz="1400" baseline="0"/>
            <a:t>Le emissioni per la produzione elettrica sono calcolate moltiplicando i fattori di emissione nazionali per energia primaria dei singoli combustibili (Annex 6 del National Inventory Document; foglio 5) per il rispettivo consumo in termini energetici. </a:t>
          </a:r>
        </a:p>
        <a:p>
          <a:r>
            <a:rPr lang="en-GB" sz="1400" baseline="0"/>
            <a:t>Il fattore di emissione per la produzione elettrica è quindi il rapporto tra le emissioni da combustione e energia elettrica prodotta. </a:t>
          </a:r>
        </a:p>
        <a:p>
          <a:r>
            <a:rPr lang="en-GB" sz="1400" baseline="0"/>
            <a:t>Il fattore di emissione per i consumi elettrici considera l'energia elettrica consumata a valle dei consumi ausiliari e delle perdite di rete. Considera inoltre l'apporto della quota di elettricità importata. Alla produzione nazionale di energia elettrica lorda sono sottratti i consumi ausiliari, è sommata la quota importata e sono sottratte l'energia destinata ai pompaggi e le perdite di rete.</a:t>
          </a:r>
        </a:p>
        <a:p>
          <a:r>
            <a:rPr lang="en-GB" sz="1400" baseline="0"/>
            <a:t>Il fattore di emissione per le perdite di rete rappresenta le emissioni di CO</a:t>
          </a:r>
          <a:r>
            <a:rPr lang="en-GB" sz="1400" baseline="-25000"/>
            <a:t>2</a:t>
          </a:r>
          <a:r>
            <a:rPr lang="en-GB" sz="1400" baseline="0"/>
            <a:t> per unità di energia elettrica perduta dalla rete; è considerata solo la quota di CO</a:t>
          </a:r>
          <a:r>
            <a:rPr lang="en-GB" sz="1400" baseline="-25000"/>
            <a:t>2</a:t>
          </a:r>
          <a:r>
            <a:rPr lang="en-GB" sz="1400" baseline="0"/>
            <a:t> dovuta all'elettricità prodotta a livello nazionale, la quota di elettricità importata ha emissioni nulle.</a:t>
          </a:r>
        </a:p>
        <a:p>
          <a:r>
            <a:rPr lang="en-GB" sz="1400" baseline="0"/>
            <a:t>Il calore considerato per il calcolo del relativo fattore di emissione è esclusivamente il calore cogenerato insieme alla produzione elettrica, come dichiarato da TERNA.</a:t>
          </a:r>
        </a:p>
        <a:p>
          <a:endParaRPr lang="en-GB" sz="1400" baseline="0"/>
        </a:p>
        <a:p>
          <a:r>
            <a:rPr lang="en-GB" sz="1400" baseline="0"/>
            <a:t>Nel foglio 7 sono forniti i fattori di emissione per la produzione elettrica lorda per macrocategoria di combustibile, mentre nel foglio 8 è fornito il dettaglio dei fattori di emissione per la produzione elettrica per combustibili.</a:t>
          </a:r>
        </a:p>
        <a:p>
          <a:endParaRPr lang="en-GB" sz="1400" baseline="0"/>
        </a:p>
        <a:p>
          <a:r>
            <a:rPr lang="en-GB" sz="1400" baseline="0">
              <a:solidFill>
                <a:sysClr val="windowText" lastClr="000000"/>
              </a:solidFill>
            </a:rPr>
            <a:t>Il foglio Modulo elabora la stima delle emissioni di CO2 per la produzione di energia elettrica a partire dal mix di fonti di energia elettrica consumata. L'utente deve selezionare l'anno di riferimento, inserire il mix energetico distribuito e la quantità di energia elettrica venduta. Sono applicati i fattori specifici medi nazionali dell'anno selezionato per calcolare la produzione di energia elettrica e l'impatto in termini di </a:t>
          </a:r>
          <a:r>
            <a:rPr lang="en-GB" sz="1400" baseline="0">
              <a:solidFill>
                <a:schemeClr val="dk1"/>
              </a:solidFill>
              <a:effectLst/>
              <a:latin typeface="+mn-lt"/>
              <a:ea typeface="+mn-ea"/>
              <a:cs typeface="+mn-cs"/>
            </a:rPr>
            <a:t>emissioni di CO2</a:t>
          </a:r>
          <a:r>
            <a:rPr lang="en-GB" sz="1400" baseline="0">
              <a:solidFill>
                <a:sysClr val="windowText" lastClr="000000"/>
              </a:solidFill>
            </a:rPr>
            <a:t>.</a:t>
          </a:r>
        </a:p>
        <a:p>
          <a:endParaRPr lang="en-GB" sz="1400" baseline="0">
            <a:solidFill>
              <a:sysClr val="windowText" lastClr="000000"/>
            </a:solidFill>
          </a:endParaRPr>
        </a:p>
        <a:p>
          <a:r>
            <a:rPr lang="en-GB" sz="1400" baseline="0">
              <a:solidFill>
                <a:schemeClr val="dk1"/>
              </a:solidFill>
              <a:effectLst/>
              <a:latin typeface="+mn-lt"/>
              <a:ea typeface="+mn-ea"/>
              <a:cs typeface="+mn-cs"/>
            </a:rPr>
            <a:t>Informazioni relative al calcolo delle emissioni con approccio LC (life cycle), quindi comprensivo delle emissioni up stream, sono disponibili nel sito JRC ai seguenti indirizzi:</a:t>
          </a:r>
          <a:endParaRPr lang="en-GB" sz="1400">
            <a:effectLst/>
          </a:endParaRPr>
        </a:p>
        <a:p>
          <a:r>
            <a:rPr lang="en-GB" sz="1400" b="0" i="0">
              <a:solidFill>
                <a:schemeClr val="dk1"/>
              </a:solidFill>
              <a:effectLst/>
              <a:latin typeface="+mn-lt"/>
              <a:ea typeface="+mn-ea"/>
              <a:cs typeface="+mn-cs"/>
            </a:rPr>
            <a:t>https://data.jrc.ec.europa.eu/dataset/72fac2b2-aa63-4dc1-ade3-4e56b37e4b7c</a:t>
          </a:r>
          <a:endParaRPr lang="en-GB" sz="1400">
            <a:effectLst/>
          </a:endParaRPr>
        </a:p>
        <a:p>
          <a:r>
            <a:rPr lang="en-GB" sz="1400" b="0" i="0">
              <a:solidFill>
                <a:schemeClr val="dk1"/>
              </a:solidFill>
              <a:effectLst/>
              <a:latin typeface="+mn-lt"/>
              <a:ea typeface="+mn-ea"/>
              <a:cs typeface="+mn-cs"/>
            </a:rPr>
            <a:t>https://data.jrc.ec.europa.eu/dataset/0681adfd-9291-4b58-838a-67664b6d210f</a:t>
          </a:r>
          <a:endParaRPr lang="en-GB" sz="1400" baseline="0">
            <a:solidFill>
              <a:sysClr val="windowText" lastClr="00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quinozio">
    <a:dk1>
      <a:sysClr val="windowText" lastClr="000000"/>
    </a:dk1>
    <a:lt1>
      <a:sysClr val="window" lastClr="FFFFFF"/>
    </a:lt1>
    <a:dk2>
      <a:srgbClr val="04617B"/>
    </a:dk2>
    <a:lt2>
      <a:srgbClr val="DBF5F9"/>
    </a:lt2>
    <a:accent1>
      <a:srgbClr val="0F6FC6"/>
    </a:accent1>
    <a:accent2>
      <a:srgbClr val="009DD9"/>
    </a:accent2>
    <a:accent3>
      <a:srgbClr val="0BD0D9"/>
    </a:accent3>
    <a:accent4>
      <a:srgbClr val="10CF9B"/>
    </a:accent4>
    <a:accent5>
      <a:srgbClr val="7CCA62"/>
    </a:accent5>
    <a:accent6>
      <a:srgbClr val="A5C249"/>
    </a:accent6>
    <a:hlink>
      <a:srgbClr val="E2D700"/>
    </a:hlink>
    <a:folHlink>
      <a:srgbClr val="85DFD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missioni.sina.isprambiente.i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antonio.caputo@isprambiente.it"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2.emf"/></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7.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hyperlink" Target="https://www.gse.it/servizi-per-te/fonti-rinnovabili/fuel-mix/documenti" TargetMode="Externa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D44D-866A-4422-8021-EF0B160560FD}">
  <sheetPr codeName="Foglio5"/>
  <dimension ref="B1:B27"/>
  <sheetViews>
    <sheetView tabSelected="1" topLeftCell="A14" zoomScale="70" zoomScaleNormal="70" workbookViewId="0">
      <selection activeCell="B23" sqref="B23"/>
    </sheetView>
  </sheetViews>
  <sheetFormatPr defaultColWidth="9.1796875" defaultRowHeight="14"/>
  <cols>
    <col min="1" max="1" width="22" style="697" customWidth="1"/>
    <col min="2" max="2" width="138.81640625" style="697" customWidth="1"/>
    <col min="3" max="16384" width="9.1796875" style="697"/>
  </cols>
  <sheetData>
    <row r="1" spans="2:2" s="695" customFormat="1"/>
    <row r="2" spans="2:2" s="695" customFormat="1"/>
    <row r="3" spans="2:2" s="695" customFormat="1"/>
    <row r="4" spans="2:2" s="695" customFormat="1"/>
    <row r="5" spans="2:2" s="695" customFormat="1"/>
    <row r="6" spans="2:2" s="695" customFormat="1"/>
    <row r="7" spans="2:2" s="695" customFormat="1" ht="8.15" customHeight="1"/>
    <row r="10" spans="2:2">
      <c r="B10" s="696" t="s">
        <v>536</v>
      </c>
    </row>
    <row r="11" spans="2:2" ht="63" customHeight="1">
      <c r="B11" s="698" t="s">
        <v>537</v>
      </c>
    </row>
    <row r="12" spans="2:2" ht="19" customHeight="1">
      <c r="B12" s="699"/>
    </row>
    <row r="13" spans="2:2">
      <c r="B13" s="696" t="s">
        <v>538</v>
      </c>
    </row>
    <row r="14" spans="2:2" ht="22.5">
      <c r="B14" s="700" t="s">
        <v>697</v>
      </c>
    </row>
    <row r="16" spans="2:2">
      <c r="B16" s="696" t="s">
        <v>539</v>
      </c>
    </row>
    <row r="17" spans="2:2" ht="93" customHeight="1">
      <c r="B17" s="701" t="s">
        <v>814</v>
      </c>
    </row>
    <row r="18" spans="2:2" ht="15" customHeight="1"/>
    <row r="19" spans="2:2">
      <c r="B19" s="696" t="s">
        <v>540</v>
      </c>
    </row>
    <row r="20" spans="2:2" ht="17.5">
      <c r="B20" s="702" t="s">
        <v>541</v>
      </c>
    </row>
    <row r="22" spans="2:2">
      <c r="B22" s="696" t="s">
        <v>542</v>
      </c>
    </row>
    <row r="23" spans="2:2" ht="17.5">
      <c r="B23" s="702" t="s">
        <v>855</v>
      </c>
    </row>
    <row r="25" spans="2:2">
      <c r="B25" s="696" t="s">
        <v>543</v>
      </c>
    </row>
    <row r="26" spans="2:2" ht="17.5">
      <c r="B26" s="703" t="s">
        <v>544</v>
      </c>
    </row>
    <row r="27" spans="2:2" ht="17.5">
      <c r="B27" s="702"/>
    </row>
  </sheetData>
  <sheetProtection algorithmName="SHA-512" hashValue="Wx/Gsdx/qAXOW7LBklSCv9PsxDCSIOy+e2IBIsXBTqZhKbUIoU8FHVtICtYZslTHUbEMxeyzogr379D72Hl4mA==" saltValue="9fdNuGCnlcXf2DAxCseBPQ==" spinCount="100000" sheet="1" objects="1" scenarios="1"/>
  <hyperlinks>
    <hyperlink ref="B26" r:id="rId1" xr:uid="{C6CB2024-FCCC-4B18-BA55-A85944B1718D}"/>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3"/>
  <dimension ref="A1:AQ57"/>
  <sheetViews>
    <sheetView showGridLines="0" zoomScaleNormal="100" workbookViewId="0"/>
  </sheetViews>
  <sheetFormatPr defaultColWidth="9.1796875" defaultRowHeight="14"/>
  <cols>
    <col min="1" max="1" width="30.08984375" style="44" customWidth="1"/>
    <col min="2" max="2" width="7.453125" style="44" bestFit="1" customWidth="1"/>
    <col min="3" max="6" width="8.984375E-2" style="44" customWidth="1"/>
    <col min="7" max="7" width="6.90625" style="44" bestFit="1" customWidth="1"/>
    <col min="8" max="11" width="8.984375E-2" style="44" customWidth="1"/>
    <col min="12" max="12" width="6.90625" style="44" bestFit="1" customWidth="1"/>
    <col min="13" max="16" width="8.984375E-2" style="44" customWidth="1"/>
    <col min="17" max="17" width="6.90625" style="44" bestFit="1" customWidth="1"/>
    <col min="18" max="21" width="8.984375E-2" style="44" customWidth="1"/>
    <col min="22" max="22" width="6.90625" style="44" bestFit="1" customWidth="1"/>
    <col min="23" max="26" width="8.984375E-2" style="44" customWidth="1"/>
    <col min="27" max="27" width="8.1796875" style="44" customWidth="1"/>
    <col min="28" max="31" width="8.984375E-2" style="44" customWidth="1"/>
    <col min="32" max="33" width="8.1796875" style="44" customWidth="1"/>
    <col min="34" max="36" width="7.36328125" style="44" customWidth="1"/>
    <col min="37" max="37" width="8.1796875" style="44" customWidth="1"/>
    <col min="38" max="16384" width="9.1796875" style="44"/>
  </cols>
  <sheetData>
    <row r="1" spans="1:40" ht="15.5">
      <c r="A1" s="108" t="s">
        <v>694</v>
      </c>
      <c r="B1" s="546"/>
    </row>
    <row r="2" spans="1:40">
      <c r="AG2" s="279"/>
      <c r="AH2" s="279"/>
      <c r="AI2" s="279"/>
      <c r="AJ2" s="279"/>
    </row>
    <row r="3" spans="1:40" s="70" customFormat="1" ht="17.5">
      <c r="A3" s="47" t="s">
        <v>787</v>
      </c>
    </row>
    <row r="4" spans="1:40" s="70" customFormat="1">
      <c r="A4" s="1085" t="s">
        <v>10</v>
      </c>
      <c r="B4" s="720">
        <v>1990</v>
      </c>
      <c r="C4" s="720">
        <v>1991</v>
      </c>
      <c r="D4" s="720">
        <v>1992</v>
      </c>
      <c r="E4" s="720">
        <v>1993</v>
      </c>
      <c r="F4" s="720">
        <v>1994</v>
      </c>
      <c r="G4" s="720">
        <v>1995</v>
      </c>
      <c r="H4" s="720">
        <v>1996</v>
      </c>
      <c r="I4" s="720">
        <v>1997</v>
      </c>
      <c r="J4" s="720">
        <v>1998</v>
      </c>
      <c r="K4" s="720">
        <v>1999</v>
      </c>
      <c r="L4" s="720">
        <v>2000</v>
      </c>
      <c r="M4" s="720">
        <v>2001</v>
      </c>
      <c r="N4" s="720">
        <v>2002</v>
      </c>
      <c r="O4" s="720">
        <v>2003</v>
      </c>
      <c r="P4" s="720">
        <v>2004</v>
      </c>
      <c r="Q4" s="720">
        <v>2005</v>
      </c>
      <c r="R4" s="720">
        <v>2006</v>
      </c>
      <c r="S4" s="720">
        <v>2007</v>
      </c>
      <c r="T4" s="720">
        <v>2008</v>
      </c>
      <c r="U4" s="720">
        <v>2009</v>
      </c>
      <c r="V4" s="720">
        <v>2010</v>
      </c>
      <c r="W4" s="720">
        <v>2011</v>
      </c>
      <c r="X4" s="720">
        <v>2012</v>
      </c>
      <c r="Y4" s="720">
        <v>2013</v>
      </c>
      <c r="Z4" s="721">
        <v>2014</v>
      </c>
      <c r="AA4" s="721">
        <v>2015</v>
      </c>
      <c r="AB4" s="721">
        <v>2016</v>
      </c>
      <c r="AC4" s="721">
        <v>2017</v>
      </c>
      <c r="AD4" s="721">
        <v>2018</v>
      </c>
      <c r="AE4" s="721">
        <v>2019</v>
      </c>
      <c r="AF4" s="721">
        <v>2020</v>
      </c>
      <c r="AG4" s="721">
        <v>2021</v>
      </c>
      <c r="AH4" s="721">
        <v>2022</v>
      </c>
      <c r="AI4" s="721">
        <f>+AH4+1</f>
        <v>2023</v>
      </c>
      <c r="AJ4" s="721">
        <f>+AI4+1</f>
        <v>2024</v>
      </c>
      <c r="AK4" s="722" t="s">
        <v>584</v>
      </c>
    </row>
    <row r="5" spans="1:40" s="70" customFormat="1" ht="16">
      <c r="A5" s="1086"/>
      <c r="B5" s="77" t="s">
        <v>82</v>
      </c>
      <c r="C5" s="78"/>
      <c r="D5" s="78"/>
      <c r="E5" s="78"/>
      <c r="F5" s="78"/>
      <c r="G5" s="78"/>
      <c r="H5" s="78"/>
      <c r="I5" s="78"/>
      <c r="J5" s="78"/>
      <c r="K5" s="78"/>
      <c r="L5" s="78"/>
      <c r="M5" s="78"/>
      <c r="N5" s="78"/>
      <c r="O5" s="78"/>
      <c r="P5" s="78"/>
      <c r="Q5" s="78"/>
      <c r="R5" s="78"/>
      <c r="S5" s="78"/>
      <c r="T5" s="78"/>
      <c r="U5" s="78"/>
      <c r="V5" s="78"/>
      <c r="W5" s="78"/>
      <c r="X5" s="78"/>
      <c r="Y5" s="78"/>
      <c r="Z5" s="127"/>
      <c r="AA5" s="127"/>
      <c r="AB5" s="127"/>
      <c r="AC5" s="127"/>
      <c r="AD5" s="127"/>
      <c r="AE5" s="127"/>
      <c r="AF5" s="127"/>
      <c r="AG5" s="127"/>
      <c r="AH5" s="127"/>
      <c r="AI5" s="127"/>
      <c r="AJ5" s="127"/>
      <c r="AK5" s="262"/>
    </row>
    <row r="6" spans="1:40" s="70" customFormat="1" ht="15.5">
      <c r="A6" s="79" t="s">
        <v>5</v>
      </c>
      <c r="B6" s="155">
        <v>27.907655103317044</v>
      </c>
      <c r="C6" s="155">
        <v>24.941599718075899</v>
      </c>
      <c r="D6" s="155">
        <v>18.709273722226111</v>
      </c>
      <c r="E6" s="155">
        <v>14.400042694149008</v>
      </c>
      <c r="F6" s="155">
        <v>17.178326234500908</v>
      </c>
      <c r="G6" s="155">
        <v>20.672758552185307</v>
      </c>
      <c r="H6" s="155">
        <v>18.945627276373873</v>
      </c>
      <c r="I6" s="155">
        <v>17.667951650954752</v>
      </c>
      <c r="J6" s="155">
        <v>20.152938221544645</v>
      </c>
      <c r="K6" s="155">
        <v>20.34211503545248</v>
      </c>
      <c r="L6" s="155">
        <v>22.221790453194615</v>
      </c>
      <c r="M6" s="155">
        <v>27.973064547126175</v>
      </c>
      <c r="N6" s="155">
        <v>31.9246603348628</v>
      </c>
      <c r="O6" s="155">
        <v>35.025907925704431</v>
      </c>
      <c r="P6" s="155">
        <v>42.172767001528385</v>
      </c>
      <c r="Q6" s="155">
        <v>40.111822390422297</v>
      </c>
      <c r="R6" s="155">
        <v>39.723700330551623</v>
      </c>
      <c r="S6" s="155">
        <v>40.653922288290268</v>
      </c>
      <c r="T6" s="155">
        <v>40.26483755379062</v>
      </c>
      <c r="U6" s="155">
        <v>36.184012666269503</v>
      </c>
      <c r="V6" s="155">
        <v>35.34256446266604</v>
      </c>
      <c r="W6" s="155">
        <v>39.076869184355623</v>
      </c>
      <c r="X6" s="155">
        <v>42.382151636804494</v>
      </c>
      <c r="Y6" s="155">
        <v>39.586028317251653</v>
      </c>
      <c r="Z6" s="155">
        <v>38.085186269103723</v>
      </c>
      <c r="AA6" s="155">
        <v>38.871398651161101</v>
      </c>
      <c r="AB6" s="155">
        <v>31.884163036552653</v>
      </c>
      <c r="AC6" s="155">
        <v>28.38714555801495</v>
      </c>
      <c r="AD6" s="155">
        <v>25.1803201936617</v>
      </c>
      <c r="AE6" s="155">
        <v>17.122744226919842</v>
      </c>
      <c r="AF6" s="155">
        <v>12.405216282696305</v>
      </c>
      <c r="AG6" s="155">
        <v>13.10731286870373</v>
      </c>
      <c r="AH6" s="155">
        <v>21.07648523858181</v>
      </c>
      <c r="AI6" s="155">
        <v>12.1242417899877</v>
      </c>
      <c r="AJ6" s="155">
        <v>3.4051774739013259</v>
      </c>
      <c r="AK6" s="263">
        <v>2.8955229037108787</v>
      </c>
      <c r="AL6" s="383"/>
    </row>
    <row r="7" spans="1:40" s="70" customFormat="1" ht="15.5">
      <c r="A7" s="79" t="s">
        <v>571</v>
      </c>
      <c r="B7" s="155">
        <v>16.920999513015818</v>
      </c>
      <c r="C7" s="155">
        <v>15.613262820460355</v>
      </c>
      <c r="D7" s="155">
        <v>15.074379880645651</v>
      </c>
      <c r="E7" s="155">
        <v>16.92545357945799</v>
      </c>
      <c r="F7" s="155">
        <v>16.892390095151118</v>
      </c>
      <c r="G7" s="155">
        <v>19.619494346738364</v>
      </c>
      <c r="H7" s="155">
        <v>20.619119196350052</v>
      </c>
      <c r="I7" s="155">
        <v>24.459768683029296</v>
      </c>
      <c r="J7" s="155">
        <v>28.596309963927741</v>
      </c>
      <c r="K7" s="155">
        <v>34.757202116242539</v>
      </c>
      <c r="L7" s="155">
        <v>39.24669821843699</v>
      </c>
      <c r="M7" s="155">
        <v>38.22639337271476</v>
      </c>
      <c r="N7" s="155">
        <v>38.931878496503153</v>
      </c>
      <c r="O7" s="155">
        <v>39.967270766664868</v>
      </c>
      <c r="P7" s="155">
        <v>52.878355207861127</v>
      </c>
      <c r="Q7" s="155">
        <v>59.783480941253956</v>
      </c>
      <c r="R7" s="155">
        <v>61.615994999947432</v>
      </c>
      <c r="S7" s="155">
        <v>66.859691623109114</v>
      </c>
      <c r="T7" s="155">
        <v>67.608881163997097</v>
      </c>
      <c r="U7" s="155">
        <v>57.633861722086223</v>
      </c>
      <c r="V7" s="155">
        <v>59.724873040131122</v>
      </c>
      <c r="W7" s="155">
        <v>55.555410572769297</v>
      </c>
      <c r="X7" s="155">
        <v>50.047231117097439</v>
      </c>
      <c r="Y7" s="155">
        <v>40.587279958081027</v>
      </c>
      <c r="Z7" s="155">
        <v>35.25052820230259</v>
      </c>
      <c r="AA7" s="155">
        <v>40.742905626331918</v>
      </c>
      <c r="AB7" s="155">
        <v>46.717010803993418</v>
      </c>
      <c r="AC7" s="155">
        <v>52.032323664057976</v>
      </c>
      <c r="AD7" s="155">
        <v>47.472523721374301</v>
      </c>
      <c r="AE7" s="155">
        <v>52.34922470641952</v>
      </c>
      <c r="AF7" s="155">
        <v>49.686258773904321</v>
      </c>
      <c r="AG7" s="155">
        <v>53.657231102873723</v>
      </c>
      <c r="AH7" s="155">
        <v>52.278182892680015</v>
      </c>
      <c r="AI7" s="155">
        <v>44.249775150636637</v>
      </c>
      <c r="AJ7" s="155">
        <v>43.931114082054364</v>
      </c>
      <c r="AK7" s="263">
        <v>47.009068333626054</v>
      </c>
      <c r="AL7" s="1032"/>
    </row>
    <row r="8" spans="1:40" s="70" customFormat="1" ht="15.5">
      <c r="A8" s="79" t="s">
        <v>7</v>
      </c>
      <c r="B8" s="155">
        <v>6.5980741629012885</v>
      </c>
      <c r="C8" s="155">
        <v>6.3766008998527184</v>
      </c>
      <c r="D8" s="155">
        <v>6.0796680125780522</v>
      </c>
      <c r="E8" s="155">
        <v>5.7780847581300048</v>
      </c>
      <c r="F8" s="155">
        <v>5.2851439233615265</v>
      </c>
      <c r="G8" s="155">
        <v>6.26057604194677</v>
      </c>
      <c r="H8" s="155">
        <v>5.954454646171647</v>
      </c>
      <c r="I8" s="155">
        <v>6.9649086131005316</v>
      </c>
      <c r="J8" s="155">
        <v>8.1178695180617577</v>
      </c>
      <c r="K8" s="155">
        <v>6.9515076065680113</v>
      </c>
      <c r="L8" s="155">
        <v>6.223137174151427</v>
      </c>
      <c r="M8" s="155">
        <v>6.7913691054634917</v>
      </c>
      <c r="N8" s="155">
        <v>6.8265522474945994</v>
      </c>
      <c r="O8" s="155">
        <v>6.5950844966740982</v>
      </c>
      <c r="P8" s="155">
        <v>9.8076890291039991</v>
      </c>
      <c r="Q8" s="155">
        <v>11.081617918938958</v>
      </c>
      <c r="R8" s="155">
        <v>11.630296792419553</v>
      </c>
      <c r="S8" s="155">
        <v>10.091444575946202</v>
      </c>
      <c r="T8" s="155">
        <v>9.3271714038303521</v>
      </c>
      <c r="U8" s="155">
        <v>5.9474765076595615</v>
      </c>
      <c r="V8" s="155">
        <v>7.8242134788818545</v>
      </c>
      <c r="W8" s="155">
        <v>8.8231004431216782</v>
      </c>
      <c r="X8" s="155">
        <v>7.4342093892077674</v>
      </c>
      <c r="Y8" s="155">
        <v>5.4444082832928791</v>
      </c>
      <c r="Z8" s="155">
        <v>5.5066465035843608</v>
      </c>
      <c r="AA8" s="155">
        <v>3.55397082224912</v>
      </c>
      <c r="AB8" s="155">
        <v>4.5852635081309767</v>
      </c>
      <c r="AC8" s="155">
        <v>3.6990794078189819</v>
      </c>
      <c r="AD8" s="155">
        <v>4.1045788662784517</v>
      </c>
      <c r="AE8" s="155">
        <v>3.4136235939650827</v>
      </c>
      <c r="AF8" s="155">
        <v>2.2995787937277208</v>
      </c>
      <c r="AG8" s="155">
        <v>3.3416432316865419</v>
      </c>
      <c r="AH8" s="155">
        <v>2.5479944369668792</v>
      </c>
      <c r="AI8" s="155">
        <v>1.5992005289111635</v>
      </c>
      <c r="AJ8" s="155">
        <v>1.0828342384242891</v>
      </c>
      <c r="AK8" s="263">
        <v>0.96715259821281441</v>
      </c>
    </row>
    <row r="9" spans="1:40" s="70" customFormat="1" ht="15.5">
      <c r="A9" s="79" t="s">
        <v>8</v>
      </c>
      <c r="B9" s="155">
        <v>62.898156697428902</v>
      </c>
      <c r="C9" s="155">
        <v>63.792515457970673</v>
      </c>
      <c r="D9" s="155">
        <v>70.351489350187393</v>
      </c>
      <c r="E9" s="155">
        <v>68.877285935338264</v>
      </c>
      <c r="F9" s="155">
        <v>70.192414494711372</v>
      </c>
      <c r="G9" s="155">
        <v>72.940975577454196</v>
      </c>
      <c r="H9" s="155">
        <v>70.877569113072099</v>
      </c>
      <c r="I9" s="155">
        <v>68.691883519210535</v>
      </c>
      <c r="J9" s="155">
        <v>64.89777551573917</v>
      </c>
      <c r="K9" s="155">
        <v>55.853470458520924</v>
      </c>
      <c r="L9" s="155">
        <v>54.580999366243958</v>
      </c>
      <c r="M9" s="155">
        <v>48.068741585864544</v>
      </c>
      <c r="N9" s="155">
        <v>52.914536910859766</v>
      </c>
      <c r="O9" s="155">
        <v>46.234573720317051</v>
      </c>
      <c r="P9" s="155">
        <v>40.113089116554981</v>
      </c>
      <c r="Q9" s="155">
        <v>31.814325438112569</v>
      </c>
      <c r="R9" s="155">
        <v>32.334497450509311</v>
      </c>
      <c r="S9" s="155">
        <v>25.223947422953771</v>
      </c>
      <c r="T9" s="155">
        <v>21.942440671252161</v>
      </c>
      <c r="U9" s="155">
        <v>17.296219905960523</v>
      </c>
      <c r="V9" s="155">
        <v>15.007340000056022</v>
      </c>
      <c r="W9" s="155">
        <v>12.353562039059558</v>
      </c>
      <c r="X9" s="155">
        <v>12.046696176524232</v>
      </c>
      <c r="Y9" s="155">
        <v>8.7490243325975428</v>
      </c>
      <c r="Z9" s="155">
        <v>8.2664817810035274</v>
      </c>
      <c r="AA9" s="155">
        <v>7.519529389355851</v>
      </c>
      <c r="AB9" s="155">
        <v>6.6426737487592353</v>
      </c>
      <c r="AC9" s="155">
        <v>6.3050826228085537</v>
      </c>
      <c r="AD9" s="155">
        <v>5.9909716126949828</v>
      </c>
      <c r="AE9" s="155">
        <v>5.4343841403173601</v>
      </c>
      <c r="AF9" s="155">
        <v>5.1918742296200167</v>
      </c>
      <c r="AG9" s="155">
        <v>4.0385679836384512</v>
      </c>
      <c r="AH9" s="155">
        <v>6.9016956233217082</v>
      </c>
      <c r="AI9" s="155">
        <v>5.4827105799392024</v>
      </c>
      <c r="AJ9" s="155">
        <v>4.2638469526901908</v>
      </c>
      <c r="AK9" s="263">
        <v>3.8579253206684525</v>
      </c>
    </row>
    <row r="10" spans="1:40" s="70" customFormat="1" ht="15.5">
      <c r="A10" s="79" t="s">
        <v>751</v>
      </c>
      <c r="B10" s="155">
        <v>9.4415124283731056E-2</v>
      </c>
      <c r="C10" s="155">
        <v>0.11425735869396239</v>
      </c>
      <c r="D10" s="155">
        <v>9.0445909022911011E-2</v>
      </c>
      <c r="E10" s="155">
        <v>9.1008802706103051E-2</v>
      </c>
      <c r="F10" s="155">
        <v>0.11211856418786251</v>
      </c>
      <c r="G10" s="155">
        <v>0.16229461332530365</v>
      </c>
      <c r="H10" s="155">
        <v>0.19710525700746012</v>
      </c>
      <c r="I10" s="155">
        <v>0.22442298820789647</v>
      </c>
      <c r="J10" s="155">
        <v>0.33194568392403989</v>
      </c>
      <c r="K10" s="155">
        <v>0.57927656648084147</v>
      </c>
      <c r="L10" s="155">
        <v>0.40263418792938993</v>
      </c>
      <c r="M10" s="155">
        <v>0.57381516598814097</v>
      </c>
      <c r="N10" s="155">
        <v>0.57401480187947163</v>
      </c>
      <c r="O10" s="155">
        <v>1.5319457487464663</v>
      </c>
      <c r="P10" s="155">
        <v>2.1215832873349223</v>
      </c>
      <c r="Q10" s="155">
        <v>1.9518796368291647</v>
      </c>
      <c r="R10" s="155">
        <v>2.1455309474146018</v>
      </c>
      <c r="S10" s="155">
        <v>3.0950498325129114</v>
      </c>
      <c r="T10" s="155">
        <v>2.7323256052716238</v>
      </c>
      <c r="U10" s="155">
        <v>2.7005285101059084</v>
      </c>
      <c r="V10" s="155">
        <v>3.8097131193962954</v>
      </c>
      <c r="W10" s="155">
        <v>3.7689923976321671</v>
      </c>
      <c r="X10" s="155">
        <v>3.8761876813037452</v>
      </c>
      <c r="Y10" s="155">
        <v>3.7708864493265053</v>
      </c>
      <c r="Z10" s="155">
        <v>3.8898391971137825</v>
      </c>
      <c r="AA10" s="155">
        <v>3.8606678149478419</v>
      </c>
      <c r="AB10" s="155">
        <v>4.0346320624740626</v>
      </c>
      <c r="AC10" s="155">
        <v>3.8834560266298932</v>
      </c>
      <c r="AD10" s="155">
        <v>3.8870903480263754</v>
      </c>
      <c r="AE10" s="155">
        <v>4.0005670575323222</v>
      </c>
      <c r="AF10" s="155">
        <v>3.8810195238266196</v>
      </c>
      <c r="AG10" s="155">
        <v>3.7965956933661826</v>
      </c>
      <c r="AH10" s="155">
        <v>3.8684774460581202</v>
      </c>
      <c r="AI10" s="155">
        <v>4.0022263368045747</v>
      </c>
      <c r="AJ10" s="155">
        <v>3.6920328811196375</v>
      </c>
      <c r="AK10" s="263">
        <v>3.8854413579612674</v>
      </c>
    </row>
    <row r="11" spans="1:40" s="71" customFormat="1" ht="15">
      <c r="A11" s="80" t="s">
        <v>49</v>
      </c>
      <c r="B11" s="156">
        <v>114.41930060094678</v>
      </c>
      <c r="C11" s="156">
        <v>110.83823625505362</v>
      </c>
      <c r="D11" s="156">
        <v>110.30525687466012</v>
      </c>
      <c r="E11" s="156">
        <v>106.07187576978136</v>
      </c>
      <c r="F11" s="156">
        <v>109.66039331191278</v>
      </c>
      <c r="G11" s="156">
        <v>119.65609913164994</v>
      </c>
      <c r="H11" s="156">
        <v>116.59387548897514</v>
      </c>
      <c r="I11" s="156">
        <v>118.008935454503</v>
      </c>
      <c r="J11" s="156">
        <v>122.09683890319735</v>
      </c>
      <c r="K11" s="156">
        <v>118.48357178326481</v>
      </c>
      <c r="L11" s="156">
        <v>122.67525939995639</v>
      </c>
      <c r="M11" s="156">
        <v>121.63338377715711</v>
      </c>
      <c r="N11" s="156">
        <v>131.17164279159979</v>
      </c>
      <c r="O11" s="156">
        <v>129.35478265810693</v>
      </c>
      <c r="P11" s="156">
        <v>147.0934836423834</v>
      </c>
      <c r="Q11" s="156">
        <v>144.74312632555694</v>
      </c>
      <c r="R11" s="156">
        <v>147.45002052084254</v>
      </c>
      <c r="S11" s="156">
        <v>145.92405574281224</v>
      </c>
      <c r="T11" s="156">
        <v>141.87565639814184</v>
      </c>
      <c r="U11" s="156">
        <v>119.76209931208173</v>
      </c>
      <c r="V11" s="156">
        <v>121.70870410113133</v>
      </c>
      <c r="W11" s="156">
        <v>119.57793463693831</v>
      </c>
      <c r="X11" s="156">
        <v>115.78647600093768</v>
      </c>
      <c r="Y11" s="156">
        <v>98.137627340549614</v>
      </c>
      <c r="Z11" s="156">
        <v>90.99868195310799</v>
      </c>
      <c r="AA11" s="156">
        <v>94.548472304045845</v>
      </c>
      <c r="AB11" s="156">
        <v>93.863743159910342</v>
      </c>
      <c r="AC11" s="156">
        <v>94.307087279330361</v>
      </c>
      <c r="AD11" s="156">
        <v>86.635484742035814</v>
      </c>
      <c r="AE11" s="156">
        <v>82.320543725154124</v>
      </c>
      <c r="AF11" s="156">
        <v>73.463947603774983</v>
      </c>
      <c r="AG11" s="156">
        <v>77.941350880268629</v>
      </c>
      <c r="AH11" s="156">
        <v>86.672835637608543</v>
      </c>
      <c r="AI11" s="156">
        <v>67.458154386279276</v>
      </c>
      <c r="AJ11" s="156">
        <v>56.375005628189804</v>
      </c>
      <c r="AK11" s="264">
        <v>58.615110514179463</v>
      </c>
      <c r="AL11" s="704"/>
      <c r="AN11" s="989"/>
    </row>
    <row r="12" spans="1:40" ht="15.5">
      <c r="A12" s="79" t="s">
        <v>841</v>
      </c>
      <c r="B12" s="980">
        <v>62.898156697428902</v>
      </c>
      <c r="C12" s="980">
        <v>63.792515457970673</v>
      </c>
      <c r="D12" s="980">
        <v>70.351489350187393</v>
      </c>
      <c r="E12" s="980">
        <v>68.877285935338264</v>
      </c>
      <c r="F12" s="980">
        <v>70.192414494711372</v>
      </c>
      <c r="G12" s="980">
        <v>72.940975577454196</v>
      </c>
      <c r="H12" s="980">
        <v>70.877569113072099</v>
      </c>
      <c r="I12" s="980">
        <v>68.691883519210535</v>
      </c>
      <c r="J12" s="980">
        <v>64.89777551573917</v>
      </c>
      <c r="K12" s="980">
        <v>55.853470458520924</v>
      </c>
      <c r="L12" s="980">
        <v>51.888256203647813</v>
      </c>
      <c r="M12" s="980">
        <v>43.130849438401341</v>
      </c>
      <c r="N12" s="980">
        <v>47.167992345721004</v>
      </c>
      <c r="O12" s="980">
        <v>40.503342427117701</v>
      </c>
      <c r="P12" s="980">
        <v>33.023939258828513</v>
      </c>
      <c r="Q12" s="980">
        <v>24.866968632754819</v>
      </c>
      <c r="R12" s="980">
        <v>23.888842373767815</v>
      </c>
      <c r="S12" s="980">
        <v>16.5410920290437</v>
      </c>
      <c r="T12" s="980">
        <v>13.694317200252685</v>
      </c>
      <c r="U12" s="980">
        <v>11.620938538107822</v>
      </c>
      <c r="V12" s="980">
        <v>6.7204867591950173</v>
      </c>
      <c r="W12" s="980">
        <v>5.6034813317513237</v>
      </c>
      <c r="X12" s="980">
        <v>5.0823807654332995</v>
      </c>
      <c r="Y12" s="980">
        <v>3.3953930128957213</v>
      </c>
      <c r="Z12" s="980">
        <v>3.2813177752492551</v>
      </c>
      <c r="AA12" s="980">
        <v>3.4677075610611303</v>
      </c>
      <c r="AB12" s="980">
        <v>2.3340531859942795</v>
      </c>
      <c r="AC12" s="980">
        <v>2.3237088238562027</v>
      </c>
      <c r="AD12" s="980">
        <v>1.7340724877511835</v>
      </c>
      <c r="AE12" s="980">
        <v>1.8052175121678822</v>
      </c>
      <c r="AF12" s="980">
        <v>1.6169540191286966</v>
      </c>
      <c r="AG12" s="980">
        <v>2.2720841153187585</v>
      </c>
      <c r="AH12" s="980">
        <v>2.8670569798821108</v>
      </c>
      <c r="AI12" s="980">
        <v>2.0061952874538203</v>
      </c>
      <c r="AJ12" s="980">
        <v>1.2043096101818982</v>
      </c>
      <c r="AK12" s="522">
        <v>1.0896583743733368</v>
      </c>
    </row>
    <row r="13" spans="1:40" ht="15.5">
      <c r="A13" s="79" t="s">
        <v>714</v>
      </c>
      <c r="B13" s="980">
        <v>9.4415124283731056E-2</v>
      </c>
      <c r="C13" s="980">
        <v>0.11425735869396239</v>
      </c>
      <c r="D13" s="980">
        <v>9.0445909022911011E-2</v>
      </c>
      <c r="E13" s="980">
        <v>9.1008802706103051E-2</v>
      </c>
      <c r="F13" s="980">
        <v>0.11211856418786251</v>
      </c>
      <c r="G13" s="980">
        <v>0.16229461332530365</v>
      </c>
      <c r="H13" s="980">
        <v>0.19710525700746012</v>
      </c>
      <c r="I13" s="980">
        <v>0.22442298820789647</v>
      </c>
      <c r="J13" s="980">
        <v>0.33194568392403989</v>
      </c>
      <c r="K13" s="980">
        <v>0.57927656648084147</v>
      </c>
      <c r="L13" s="980">
        <v>3.0953773505255371</v>
      </c>
      <c r="M13" s="980">
        <v>5.5117073134513443</v>
      </c>
      <c r="N13" s="980">
        <v>6.3205593670182374</v>
      </c>
      <c r="O13" s="980">
        <v>7.263177041945819</v>
      </c>
      <c r="P13" s="980">
        <v>9.2107331450613898</v>
      </c>
      <c r="Q13" s="980">
        <v>8.8992364421869166</v>
      </c>
      <c r="R13" s="980">
        <v>10.591186024156094</v>
      </c>
      <c r="S13" s="980">
        <v>11.777905226422982</v>
      </c>
      <c r="T13" s="980">
        <v>10.980449076271103</v>
      </c>
      <c r="U13" s="980">
        <v>8.3758098779586092</v>
      </c>
      <c r="V13" s="980">
        <v>12.096566360257302</v>
      </c>
      <c r="W13" s="980">
        <v>10.5190731049404</v>
      </c>
      <c r="X13" s="980">
        <v>10.840503092394677</v>
      </c>
      <c r="Y13" s="980">
        <v>9.1245177690283263</v>
      </c>
      <c r="Z13" s="980">
        <v>8.8750032028680543</v>
      </c>
      <c r="AA13" s="980">
        <v>7.9124896432425631</v>
      </c>
      <c r="AB13" s="980">
        <v>8.3432526252390176</v>
      </c>
      <c r="AC13" s="980">
        <v>7.8648298255822429</v>
      </c>
      <c r="AD13" s="980">
        <v>8.1439894729701745</v>
      </c>
      <c r="AE13" s="980">
        <v>7.629733685681801</v>
      </c>
      <c r="AF13" s="980">
        <v>7.4559397343179405</v>
      </c>
      <c r="AG13" s="980">
        <v>5.5630795616858748</v>
      </c>
      <c r="AH13" s="980">
        <v>7.9031160894977184</v>
      </c>
      <c r="AI13" s="980">
        <v>7.4787416292899564</v>
      </c>
      <c r="AJ13" s="980">
        <v>6.7515702236279296</v>
      </c>
      <c r="AK13" s="263">
        <v>6.6537083042563836</v>
      </c>
    </row>
    <row r="14" spans="1:40" ht="17">
      <c r="A14" s="44" t="s">
        <v>835</v>
      </c>
    </row>
    <row r="15" spans="1:40">
      <c r="A15" s="44" t="s">
        <v>572</v>
      </c>
      <c r="AN15" s="102"/>
    </row>
    <row r="16" spans="1:40">
      <c r="B16" s="1037"/>
      <c r="C16" s="501"/>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1036"/>
    </row>
    <row r="17" spans="1:43" ht="17.5">
      <c r="A17" s="47" t="s">
        <v>788</v>
      </c>
      <c r="B17" s="93"/>
      <c r="C17" s="93"/>
      <c r="D17" s="93"/>
      <c r="E17" s="93"/>
      <c r="F17" s="93"/>
      <c r="G17" s="93"/>
      <c r="H17" s="93"/>
      <c r="I17" s="93"/>
      <c r="J17" s="93"/>
      <c r="K17" s="93"/>
      <c r="L17" s="93"/>
      <c r="M17" s="93"/>
      <c r="N17" s="93"/>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row>
    <row r="18" spans="1:43">
      <c r="A18" s="1085" t="s">
        <v>10</v>
      </c>
      <c r="B18" s="720">
        <v>1990</v>
      </c>
      <c r="C18" s="720">
        <v>1991</v>
      </c>
      <c r="D18" s="720">
        <v>1992</v>
      </c>
      <c r="E18" s="720">
        <v>1993</v>
      </c>
      <c r="F18" s="720">
        <v>1994</v>
      </c>
      <c r="G18" s="720">
        <v>1995</v>
      </c>
      <c r="H18" s="720">
        <v>1996</v>
      </c>
      <c r="I18" s="720">
        <v>1997</v>
      </c>
      <c r="J18" s="720">
        <v>1998</v>
      </c>
      <c r="K18" s="720">
        <v>1999</v>
      </c>
      <c r="L18" s="720">
        <v>2000</v>
      </c>
      <c r="M18" s="720">
        <v>2001</v>
      </c>
      <c r="N18" s="720">
        <v>2002</v>
      </c>
      <c r="O18" s="720">
        <v>2003</v>
      </c>
      <c r="P18" s="720">
        <v>2004</v>
      </c>
      <c r="Q18" s="720">
        <v>2005</v>
      </c>
      <c r="R18" s="720">
        <v>2006</v>
      </c>
      <c r="S18" s="720">
        <v>2007</v>
      </c>
      <c r="T18" s="720">
        <v>2008</v>
      </c>
      <c r="U18" s="720">
        <v>2009</v>
      </c>
      <c r="V18" s="720">
        <v>2010</v>
      </c>
      <c r="W18" s="720">
        <v>2011</v>
      </c>
      <c r="X18" s="720">
        <v>2012</v>
      </c>
      <c r="Y18" s="720">
        <v>2013</v>
      </c>
      <c r="Z18" s="721">
        <v>2014</v>
      </c>
      <c r="AA18" s="721">
        <v>2015</v>
      </c>
      <c r="AB18" s="721">
        <v>2016</v>
      </c>
      <c r="AC18" s="721">
        <v>2017</v>
      </c>
      <c r="AD18" s="721">
        <v>2018</v>
      </c>
      <c r="AE18" s="721">
        <v>2019</v>
      </c>
      <c r="AF18" s="721">
        <v>2020</v>
      </c>
      <c r="AG18" s="721">
        <v>2021</v>
      </c>
      <c r="AH18" s="721">
        <v>2022</v>
      </c>
      <c r="AI18" s="721">
        <f>+AH18+1</f>
        <v>2023</v>
      </c>
      <c r="AJ18" s="721">
        <f>+AI18+1</f>
        <v>2024</v>
      </c>
      <c r="AK18" s="722" t="s">
        <v>584</v>
      </c>
    </row>
    <row r="19" spans="1:43" ht="16">
      <c r="A19" s="1086"/>
      <c r="B19" s="77" t="s">
        <v>82</v>
      </c>
      <c r="C19" s="78"/>
      <c r="D19" s="78"/>
      <c r="E19" s="78"/>
      <c r="F19" s="78"/>
      <c r="G19" s="78"/>
      <c r="H19" s="78"/>
      <c r="I19" s="78"/>
      <c r="J19" s="78"/>
      <c r="K19" s="78"/>
      <c r="L19" s="78"/>
      <c r="M19" s="78"/>
      <c r="N19" s="78"/>
      <c r="O19" s="78"/>
      <c r="P19" s="78"/>
      <c r="Q19" s="78"/>
      <c r="R19" s="78"/>
      <c r="S19" s="78"/>
      <c r="T19" s="78"/>
      <c r="U19" s="78"/>
      <c r="V19" s="78"/>
      <c r="W19" s="78"/>
      <c r="X19" s="78"/>
      <c r="Y19" s="78"/>
      <c r="Z19" s="127"/>
      <c r="AA19" s="127"/>
      <c r="AB19" s="127"/>
      <c r="AC19" s="127"/>
      <c r="AD19" s="127"/>
      <c r="AE19" s="127"/>
      <c r="AF19" s="127"/>
      <c r="AG19" s="127"/>
      <c r="AH19" s="127"/>
      <c r="AI19" s="127"/>
      <c r="AJ19" s="127"/>
      <c r="AK19" s="262"/>
    </row>
    <row r="20" spans="1:43" ht="15.5">
      <c r="A20" s="79" t="s">
        <v>5</v>
      </c>
      <c r="B20" s="155">
        <v>0.19469584444372146</v>
      </c>
      <c r="C20" s="155">
        <v>0.17434828552895709</v>
      </c>
      <c r="D20" s="155">
        <v>0.12975768740708915</v>
      </c>
      <c r="E20" s="155">
        <v>9.9658742250934296E-2</v>
      </c>
      <c r="F20" s="155">
        <v>0.12319550708713223</v>
      </c>
      <c r="G20" s="155">
        <v>0.14963508192387209</v>
      </c>
      <c r="H20" s="155">
        <v>0.13732241589469396</v>
      </c>
      <c r="I20" s="155">
        <v>0.12796749045763178</v>
      </c>
      <c r="J20" s="155">
        <v>0.14497671584668126</v>
      </c>
      <c r="K20" s="155">
        <v>0.14690478011896957</v>
      </c>
      <c r="L20" s="155">
        <v>0.1622425146678097</v>
      </c>
      <c r="M20" s="155">
        <v>0.20425239833764053</v>
      </c>
      <c r="N20" s="155">
        <v>0.23313880258870512</v>
      </c>
      <c r="O20" s="155">
        <v>0.25578653453874978</v>
      </c>
      <c r="P20" s="155">
        <v>0.30797848113209625</v>
      </c>
      <c r="Q20" s="155">
        <v>0.30797237417221623</v>
      </c>
      <c r="R20" s="155">
        <v>0.31358853669105002</v>
      </c>
      <c r="S20" s="155">
        <v>0.20600319107057175</v>
      </c>
      <c r="T20" s="155">
        <v>0.10564091088838268</v>
      </c>
      <c r="U20" s="155">
        <v>2.2396343792117079E-2</v>
      </c>
      <c r="V20" s="155">
        <v>0.13690999236926871</v>
      </c>
      <c r="W20" s="155">
        <v>0.17316929467916253</v>
      </c>
      <c r="X20" s="155">
        <v>0.13765038115165851</v>
      </c>
      <c r="Y20" s="155">
        <v>0.15329981116060765</v>
      </c>
      <c r="Z20" s="155">
        <v>0.17991254003879931</v>
      </c>
      <c r="AA20" s="155">
        <v>0.20243385951799553</v>
      </c>
      <c r="AB20" s="155">
        <v>0.20145516915328088</v>
      </c>
      <c r="AC20" s="155">
        <v>0.20320213156557898</v>
      </c>
      <c r="AD20" s="155">
        <v>0.20591314961486873</v>
      </c>
      <c r="AE20" s="155">
        <v>0.20342367392287386</v>
      </c>
      <c r="AF20" s="155">
        <v>9.8183259295941738E-2</v>
      </c>
      <c r="AG20" s="155">
        <v>0</v>
      </c>
      <c r="AH20" s="155">
        <v>0</v>
      </c>
      <c r="AI20" s="155">
        <v>0</v>
      </c>
      <c r="AJ20" s="155">
        <v>0</v>
      </c>
      <c r="AK20" s="263">
        <v>0</v>
      </c>
    </row>
    <row r="21" spans="1:43" ht="15.5">
      <c r="A21" s="79" t="s">
        <v>571</v>
      </c>
      <c r="B21" s="155">
        <v>4.3214879075772963</v>
      </c>
      <c r="C21" s="155">
        <v>3.9875024181961027</v>
      </c>
      <c r="D21" s="155">
        <v>3.8498760264325647</v>
      </c>
      <c r="E21" s="155">
        <v>4.3226254405140843</v>
      </c>
      <c r="F21" s="155">
        <v>4.3141812911300832</v>
      </c>
      <c r="G21" s="155">
        <v>5.0106619001432549</v>
      </c>
      <c r="H21" s="155">
        <v>5.2659580897322869</v>
      </c>
      <c r="I21" s="155">
        <v>6.2468292434227308</v>
      </c>
      <c r="J21" s="155">
        <v>7.3032687942215126</v>
      </c>
      <c r="K21" s="155">
        <v>8.8767113627669758</v>
      </c>
      <c r="L21" s="155">
        <v>10.023292751285126</v>
      </c>
      <c r="M21" s="155">
        <v>9.7627150561295082</v>
      </c>
      <c r="N21" s="155">
        <v>9.9428903128619552</v>
      </c>
      <c r="O21" s="155">
        <v>10.207321215519976</v>
      </c>
      <c r="P21" s="155">
        <v>13.504708893087191</v>
      </c>
      <c r="Q21" s="155">
        <v>7.5815846354963981</v>
      </c>
      <c r="R21" s="155">
        <v>7.5802067576704815</v>
      </c>
      <c r="S21" s="155">
        <v>7.7782408104164205</v>
      </c>
      <c r="T21" s="155">
        <v>7.8103956850031722</v>
      </c>
      <c r="U21" s="155">
        <v>6.9289047699137285</v>
      </c>
      <c r="V21" s="155">
        <v>8.3468434076785414</v>
      </c>
      <c r="W21" s="155">
        <v>8.2432810596564465</v>
      </c>
      <c r="X21" s="155">
        <v>8.137425290318987</v>
      </c>
      <c r="Y21" s="155">
        <v>8.3111708521078285</v>
      </c>
      <c r="Z21" s="155">
        <v>7.9652068982055368</v>
      </c>
      <c r="AA21" s="155">
        <v>8.7492198064849021</v>
      </c>
      <c r="AB21" s="155">
        <v>9.0308989773193673</v>
      </c>
      <c r="AC21" s="155">
        <v>9.0796748714022613</v>
      </c>
      <c r="AD21" s="155">
        <v>8.8888557903026282</v>
      </c>
      <c r="AE21" s="155">
        <v>8.9730984174270461</v>
      </c>
      <c r="AF21" s="155">
        <v>8.8179422126046205</v>
      </c>
      <c r="AG21" s="155">
        <v>9.4402680476391936</v>
      </c>
      <c r="AH21" s="155">
        <v>8.7925818332898587</v>
      </c>
      <c r="AI21" s="155">
        <v>8.0894039219514795</v>
      </c>
      <c r="AJ21" s="155">
        <v>8.2045725515227517</v>
      </c>
      <c r="AK21" s="263">
        <v>9.0583535226841789</v>
      </c>
      <c r="AM21" s="1035"/>
      <c r="AN21" s="1035"/>
      <c r="AO21" s="1035"/>
      <c r="AP21" s="1035"/>
      <c r="AQ21" s="1035"/>
    </row>
    <row r="22" spans="1:43" ht="15.5">
      <c r="A22" s="79" t="s">
        <v>7</v>
      </c>
      <c r="B22" s="155">
        <v>0.14973822609871146</v>
      </c>
      <c r="C22" s="155">
        <v>0.14319576514728105</v>
      </c>
      <c r="D22" s="155">
        <v>0.13397582042194678</v>
      </c>
      <c r="E22" s="155">
        <v>0.12957240586999497</v>
      </c>
      <c r="F22" s="155">
        <v>0.12011550663847359</v>
      </c>
      <c r="G22" s="155">
        <v>0.1343918940532296</v>
      </c>
      <c r="H22" s="155">
        <v>0.13459579282835321</v>
      </c>
      <c r="I22" s="155">
        <v>0.16151297189946767</v>
      </c>
      <c r="J22" s="155">
        <v>0.18323172193824355</v>
      </c>
      <c r="K22" s="155">
        <v>0.15630248043198858</v>
      </c>
      <c r="L22" s="155">
        <v>0.14752762384857299</v>
      </c>
      <c r="M22" s="155">
        <v>0.15756053253650837</v>
      </c>
      <c r="N22" s="155">
        <v>0.15733439150540018</v>
      </c>
      <c r="O22" s="155">
        <v>0.15969939132590216</v>
      </c>
      <c r="P22" s="155">
        <v>0.21739428589600074</v>
      </c>
      <c r="Q22" s="155">
        <v>0.32051322797589599</v>
      </c>
      <c r="R22" s="155">
        <v>0.1754104962477161</v>
      </c>
      <c r="S22" s="155">
        <v>0.11238939972630391</v>
      </c>
      <c r="T22" s="155">
        <v>0.15207926440268871</v>
      </c>
      <c r="U22" s="155">
        <v>0.10307728522561455</v>
      </c>
      <c r="V22" s="155">
        <v>0.16860836110662891</v>
      </c>
      <c r="W22" s="155">
        <v>0.19870752089419774</v>
      </c>
      <c r="X22" s="155">
        <v>0.73906644127998256</v>
      </c>
      <c r="Y22" s="155">
        <v>0.45630272566736441</v>
      </c>
      <c r="Z22" s="155">
        <v>0.46477232859198114</v>
      </c>
      <c r="AA22" s="155">
        <v>0.91447380954282131</v>
      </c>
      <c r="AB22" s="155">
        <v>1.1227149896692152</v>
      </c>
      <c r="AC22" s="155">
        <v>0.84574309918198276</v>
      </c>
      <c r="AD22" s="155">
        <v>0.40327751853409222</v>
      </c>
      <c r="AE22" s="155">
        <v>0.89602245008357606</v>
      </c>
      <c r="AF22" s="155">
        <v>0.57593388027593306</v>
      </c>
      <c r="AG22" s="155">
        <v>0.29055625242746874</v>
      </c>
      <c r="AH22" s="155">
        <v>0.40914933205427362</v>
      </c>
      <c r="AI22" s="155">
        <v>0.38186301869614603</v>
      </c>
      <c r="AJ22" s="155">
        <v>0.28114490023954253</v>
      </c>
      <c r="AK22" s="263">
        <v>0.25110955222161446</v>
      </c>
      <c r="AM22" s="1035"/>
      <c r="AN22" s="1035"/>
      <c r="AO22" s="1035"/>
      <c r="AP22" s="1035"/>
      <c r="AQ22" s="1035"/>
    </row>
    <row r="23" spans="1:43" ht="15.5">
      <c r="A23" s="79" t="s">
        <v>8</v>
      </c>
      <c r="B23" s="155">
        <v>7.3070168216852238</v>
      </c>
      <c r="C23" s="155">
        <v>7.4109164405458685</v>
      </c>
      <c r="D23" s="155">
        <v>8.172886823779379</v>
      </c>
      <c r="E23" s="155">
        <v>8.0016253796212027</v>
      </c>
      <c r="F23" s="155">
        <v>8.154406748910688</v>
      </c>
      <c r="G23" s="155">
        <v>8.4737131184700445</v>
      </c>
      <c r="H23" s="155">
        <v>8.2340026637146906</v>
      </c>
      <c r="I23" s="155">
        <v>7.9800867742858657</v>
      </c>
      <c r="J23" s="155">
        <v>7.5393169256872881</v>
      </c>
      <c r="K23" s="155">
        <v>6.4886201697957375</v>
      </c>
      <c r="L23" s="155">
        <v>6.6489077796101625</v>
      </c>
      <c r="M23" s="155">
        <v>6.1492625398130869</v>
      </c>
      <c r="N23" s="155">
        <v>6.8047381323734584</v>
      </c>
      <c r="O23" s="155">
        <v>6.0269599572715506</v>
      </c>
      <c r="P23" s="155">
        <v>5.4320620813454852</v>
      </c>
      <c r="Q23" s="155">
        <v>4.3832298092931197</v>
      </c>
      <c r="R23" s="155">
        <v>5.9976732609852021</v>
      </c>
      <c r="S23" s="155">
        <v>5.7910949318930243</v>
      </c>
      <c r="T23" s="155">
        <v>5.4838072577478094</v>
      </c>
      <c r="U23" s="155">
        <v>5.7691731482104025</v>
      </c>
      <c r="V23" s="155">
        <v>4.9817557569736017</v>
      </c>
      <c r="W23" s="155">
        <v>4.6745475671344678</v>
      </c>
      <c r="X23" s="155">
        <v>3.518095751933199</v>
      </c>
      <c r="Y23" s="155">
        <v>3.6009253930406402</v>
      </c>
      <c r="Z23" s="155">
        <v>2.6434520573500464</v>
      </c>
      <c r="AA23" s="155">
        <v>2.6004517227135775</v>
      </c>
      <c r="AB23" s="155">
        <v>2.528767795309764</v>
      </c>
      <c r="AC23" s="155">
        <v>2.4167127730315343</v>
      </c>
      <c r="AD23" s="155">
        <v>2.380288453129447</v>
      </c>
      <c r="AE23" s="155">
        <v>2.0784570464097136</v>
      </c>
      <c r="AF23" s="155">
        <v>2.3803991334130652</v>
      </c>
      <c r="AG23" s="155">
        <v>1.790639639963949</v>
      </c>
      <c r="AH23" s="155">
        <v>2.6883891920440304</v>
      </c>
      <c r="AI23" s="155">
        <v>2.1969202177566771</v>
      </c>
      <c r="AJ23" s="155">
        <v>2.0969483073007185</v>
      </c>
      <c r="AK23" s="263">
        <v>1.8973171552895804</v>
      </c>
      <c r="AM23" s="1035"/>
      <c r="AN23" s="1035"/>
      <c r="AO23" s="1035"/>
      <c r="AP23" s="1035"/>
      <c r="AQ23" s="1035"/>
    </row>
    <row r="24" spans="1:43" ht="15.5">
      <c r="A24" s="79" t="s">
        <v>751</v>
      </c>
      <c r="B24" s="155">
        <v>1.1133405446952432E-2</v>
      </c>
      <c r="C24" s="155">
        <v>1.6809331189983984E-2</v>
      </c>
      <c r="D24" s="155">
        <v>1.444941038241665E-2</v>
      </c>
      <c r="E24" s="155">
        <v>1.4452940051997099E-2</v>
      </c>
      <c r="F24" s="155">
        <v>1.6452128706080205E-2</v>
      </c>
      <c r="G24" s="155">
        <v>2.1250289465767069E-2</v>
      </c>
      <c r="H24" s="155">
        <v>2.5536934449816973E-2</v>
      </c>
      <c r="I24" s="155">
        <v>2.8951366275244972E-2</v>
      </c>
      <c r="J24" s="155">
        <v>4.0907006914187971E-2</v>
      </c>
      <c r="K24" s="155">
        <v>6.4441908431670747E-2</v>
      </c>
      <c r="L24" s="155">
        <v>5.6613268618861512E-2</v>
      </c>
      <c r="M24" s="155">
        <v>8.3481804007493277E-2</v>
      </c>
      <c r="N24" s="155">
        <v>8.7424566859400588E-2</v>
      </c>
      <c r="O24" s="155">
        <v>0.2278741625615881</v>
      </c>
      <c r="P24" s="155">
        <v>0.69031444860137592</v>
      </c>
      <c r="Q24" s="155">
        <v>0.51136086049940732</v>
      </c>
      <c r="R24" s="155">
        <v>0.69544785037984269</v>
      </c>
      <c r="S24" s="155">
        <v>0.5809267740259898</v>
      </c>
      <c r="T24" s="155">
        <v>0.39222842402105895</v>
      </c>
      <c r="U24" s="155">
        <v>0.26359908626029593</v>
      </c>
      <c r="V24" s="155">
        <v>0.37331639513184323</v>
      </c>
      <c r="W24" s="155">
        <v>0.4724977263041259</v>
      </c>
      <c r="X24" s="155">
        <v>0.38875918653270469</v>
      </c>
      <c r="Y24" s="155">
        <v>0.48198305502387884</v>
      </c>
      <c r="Z24" s="155">
        <v>0.49613690005133027</v>
      </c>
      <c r="AA24" s="155">
        <v>0.67473343290016174</v>
      </c>
      <c r="AB24" s="155">
        <v>0.76339780398462143</v>
      </c>
      <c r="AC24" s="155">
        <v>0.81801658584021419</v>
      </c>
      <c r="AD24" s="155">
        <v>0.84566503802244952</v>
      </c>
      <c r="AE24" s="155">
        <v>0.88517492799662012</v>
      </c>
      <c r="AF24" s="155">
        <v>0.87830650603280702</v>
      </c>
      <c r="AG24" s="155">
        <v>0.80423312008077152</v>
      </c>
      <c r="AH24" s="155">
        <v>0.79268625677798221</v>
      </c>
      <c r="AI24" s="155">
        <v>0.78193540154613839</v>
      </c>
      <c r="AJ24" s="155">
        <v>0.89172792545292134</v>
      </c>
      <c r="AK24" s="263">
        <v>0.93844141511358048</v>
      </c>
      <c r="AM24" s="1035"/>
      <c r="AN24" s="1035"/>
      <c r="AO24" s="1035"/>
      <c r="AP24" s="1035"/>
      <c r="AQ24" s="1035"/>
    </row>
    <row r="25" spans="1:43" ht="15">
      <c r="A25" s="80" t="s">
        <v>49</v>
      </c>
      <c r="B25" s="156">
        <v>11.984072205251906</v>
      </c>
      <c r="C25" s="156">
        <v>11.732772240608199</v>
      </c>
      <c r="D25" s="156">
        <v>12.300945768423404</v>
      </c>
      <c r="E25" s="156">
        <v>12.567934908308217</v>
      </c>
      <c r="F25" s="156">
        <v>12.728351182472466</v>
      </c>
      <c r="G25" s="156">
        <v>13.789652284056189</v>
      </c>
      <c r="H25" s="156">
        <v>13.797415896619825</v>
      </c>
      <c r="I25" s="156">
        <v>14.545347846340931</v>
      </c>
      <c r="J25" s="156">
        <v>15.211701164607916</v>
      </c>
      <c r="K25" s="156">
        <v>15.73298070154533</v>
      </c>
      <c r="L25" s="156">
        <v>17.038583938030513</v>
      </c>
      <c r="M25" s="156">
        <v>16.357272330824244</v>
      </c>
      <c r="N25" s="156">
        <v>17.225526206188931</v>
      </c>
      <c r="O25" s="156">
        <v>16.877641261217747</v>
      </c>
      <c r="P25" s="156">
        <v>20.152458190062163</v>
      </c>
      <c r="Q25" s="156">
        <v>13.104660907437051</v>
      </c>
      <c r="R25" s="156">
        <v>14.762326901974262</v>
      </c>
      <c r="S25" s="156">
        <v>14.468655107132349</v>
      </c>
      <c r="T25" s="156">
        <v>13.944151542063139</v>
      </c>
      <c r="U25" s="156">
        <v>13.087150633402175</v>
      </c>
      <c r="V25" s="156">
        <v>14.007433913259888</v>
      </c>
      <c r="W25" s="156">
        <v>13.762203168668421</v>
      </c>
      <c r="X25" s="156">
        <v>12.920997051216517</v>
      </c>
      <c r="Y25" s="156">
        <v>13.003681837000315</v>
      </c>
      <c r="Z25" s="156">
        <v>11.749480724237671</v>
      </c>
      <c r="AA25" s="156">
        <v>13.141312631159437</v>
      </c>
      <c r="AB25" s="156">
        <v>13.647234735436257</v>
      </c>
      <c r="AC25" s="156">
        <v>13.363349461021571</v>
      </c>
      <c r="AD25" s="156">
        <v>12.723999949603481</v>
      </c>
      <c r="AE25" s="156">
        <v>13.036176515839827</v>
      </c>
      <c r="AF25" s="156">
        <v>12.750764991622361</v>
      </c>
      <c r="AG25" s="156">
        <v>12.325697060111381</v>
      </c>
      <c r="AH25" s="156">
        <v>12.682806614166154</v>
      </c>
      <c r="AI25" s="156">
        <v>11.450122559950444</v>
      </c>
      <c r="AJ25" s="156">
        <v>11.474393684515938</v>
      </c>
      <c r="AK25" s="264">
        <v>12.145221645308951</v>
      </c>
      <c r="AM25" s="1035"/>
      <c r="AN25" s="1035"/>
      <c r="AO25" s="1035"/>
      <c r="AP25" s="1035"/>
      <c r="AQ25" s="1035"/>
    </row>
    <row r="26" spans="1:43" ht="17">
      <c r="A26" s="44" t="s">
        <v>836</v>
      </c>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row>
    <row r="27" spans="1:43">
      <c r="A27" s="44" t="s">
        <v>572</v>
      </c>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row>
    <row r="28" spans="1:43">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row>
    <row r="29" spans="1:43">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row>
    <row r="30" spans="1:43">
      <c r="B30" s="92"/>
      <c r="C30" s="92"/>
      <c r="D30" s="92"/>
      <c r="E30" s="92"/>
      <c r="F30" s="92"/>
      <c r="G30" s="92"/>
      <c r="H30" s="92"/>
      <c r="I30" s="92"/>
      <c r="J30" s="92"/>
      <c r="K30" s="92"/>
      <c r="L30" s="92"/>
      <c r="M30" s="92"/>
      <c r="N30" s="92"/>
      <c r="O30" s="92"/>
      <c r="P30" s="137"/>
      <c r="Q30" s="137"/>
      <c r="R30" s="137"/>
      <c r="S30" s="137"/>
      <c r="T30" s="137"/>
      <c r="U30" s="137"/>
      <c r="V30" s="137"/>
      <c r="W30" s="137"/>
      <c r="X30" s="137"/>
      <c r="Y30" s="137"/>
      <c r="Z30" s="137"/>
      <c r="AA30" s="137"/>
      <c r="AB30" s="137"/>
      <c r="AC30" s="137"/>
      <c r="AD30" s="137"/>
      <c r="AE30" s="137"/>
      <c r="AF30" s="137"/>
      <c r="AG30" s="137"/>
      <c r="AH30" s="137"/>
      <c r="AI30" s="137"/>
      <c r="AJ30" s="137"/>
      <c r="AK30" s="137"/>
    </row>
    <row r="31" spans="1:43">
      <c r="B31" s="92"/>
      <c r="C31" s="92"/>
      <c r="D31" s="92"/>
      <c r="E31" s="92"/>
      <c r="F31" s="92"/>
      <c r="G31" s="92"/>
      <c r="H31" s="92"/>
      <c r="I31" s="92"/>
      <c r="J31" s="92"/>
      <c r="K31" s="92"/>
      <c r="L31" s="92"/>
      <c r="M31" s="92"/>
      <c r="N31" s="92"/>
      <c r="O31" s="92"/>
    </row>
    <row r="32" spans="1:43" ht="17.5">
      <c r="A32" s="47" t="s">
        <v>789</v>
      </c>
      <c r="M32" s="92"/>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row>
    <row r="33" spans="1:40" ht="14" customHeight="1">
      <c r="A33" s="1085" t="s">
        <v>10</v>
      </c>
      <c r="B33" s="720">
        <v>1990</v>
      </c>
      <c r="C33" s="720">
        <v>1991</v>
      </c>
      <c r="D33" s="720">
        <v>1992</v>
      </c>
      <c r="E33" s="720">
        <v>1993</v>
      </c>
      <c r="F33" s="720">
        <v>1994</v>
      </c>
      <c r="G33" s="720">
        <v>1995</v>
      </c>
      <c r="H33" s="720">
        <v>1996</v>
      </c>
      <c r="I33" s="720">
        <v>1997</v>
      </c>
      <c r="J33" s="720">
        <v>1998</v>
      </c>
      <c r="K33" s="720">
        <v>1999</v>
      </c>
      <c r="L33" s="720">
        <v>2000</v>
      </c>
      <c r="M33" s="720">
        <v>2001</v>
      </c>
      <c r="N33" s="720">
        <v>2002</v>
      </c>
      <c r="O33" s="720">
        <v>2003</v>
      </c>
      <c r="P33" s="720">
        <v>2004</v>
      </c>
      <c r="Q33" s="720">
        <v>2005</v>
      </c>
      <c r="R33" s="720">
        <v>2006</v>
      </c>
      <c r="S33" s="720">
        <v>2007</v>
      </c>
      <c r="T33" s="720">
        <v>2008</v>
      </c>
      <c r="U33" s="720">
        <v>2009</v>
      </c>
      <c r="V33" s="720">
        <v>2010</v>
      </c>
      <c r="W33" s="720">
        <v>2011</v>
      </c>
      <c r="X33" s="720">
        <v>2012</v>
      </c>
      <c r="Y33" s="720">
        <v>2013</v>
      </c>
      <c r="Z33" s="721">
        <v>2014</v>
      </c>
      <c r="AA33" s="721">
        <v>2015</v>
      </c>
      <c r="AB33" s="721">
        <v>2016</v>
      </c>
      <c r="AC33" s="721">
        <v>2017</v>
      </c>
      <c r="AD33" s="721">
        <v>2018</v>
      </c>
      <c r="AE33" s="721">
        <v>2019</v>
      </c>
      <c r="AF33" s="721">
        <v>2020</v>
      </c>
      <c r="AG33" s="721">
        <v>2021</v>
      </c>
      <c r="AH33" s="721">
        <v>2022</v>
      </c>
      <c r="AI33" s="721">
        <f>+AH33+1</f>
        <v>2023</v>
      </c>
      <c r="AJ33" s="721">
        <f>+AI33+1</f>
        <v>2024</v>
      </c>
      <c r="AK33" s="722" t="s">
        <v>584</v>
      </c>
    </row>
    <row r="34" spans="1:40" ht="14" customHeight="1">
      <c r="A34" s="1086"/>
      <c r="B34" s="77" t="s">
        <v>82</v>
      </c>
      <c r="C34" s="78"/>
      <c r="D34" s="78"/>
      <c r="E34" s="78"/>
      <c r="F34" s="78"/>
      <c r="G34" s="78"/>
      <c r="H34" s="78"/>
      <c r="I34" s="78"/>
      <c r="J34" s="78"/>
      <c r="K34" s="78"/>
      <c r="L34" s="78"/>
      <c r="M34" s="78"/>
      <c r="N34" s="78"/>
      <c r="O34" s="78"/>
      <c r="P34" s="78"/>
      <c r="Q34" s="78"/>
      <c r="R34" s="78"/>
      <c r="S34" s="78"/>
      <c r="T34" s="78"/>
      <c r="U34" s="78"/>
      <c r="V34" s="78"/>
      <c r="W34" s="78"/>
      <c r="X34" s="78"/>
      <c r="Y34" s="78"/>
      <c r="Z34" s="127"/>
      <c r="AA34" s="127"/>
      <c r="AB34" s="127"/>
      <c r="AC34" s="127"/>
      <c r="AD34" s="127"/>
      <c r="AE34" s="127"/>
      <c r="AF34" s="127"/>
      <c r="AG34" s="127"/>
      <c r="AH34" s="127"/>
      <c r="AI34" s="127"/>
      <c r="AJ34" s="127"/>
      <c r="AK34" s="262"/>
    </row>
    <row r="35" spans="1:40" ht="15.5">
      <c r="A35" s="79" t="s">
        <v>5</v>
      </c>
      <c r="B35" s="155">
        <f t="shared" ref="B35:O35" si="0">B20+B6</f>
        <v>28.102350947760765</v>
      </c>
      <c r="C35" s="155">
        <f t="shared" si="0"/>
        <v>25.115948003604856</v>
      </c>
      <c r="D35" s="155">
        <f t="shared" si="0"/>
        <v>18.839031409633201</v>
      </c>
      <c r="E35" s="155">
        <f t="shared" si="0"/>
        <v>14.499701436399942</v>
      </c>
      <c r="F35" s="155">
        <f t="shared" si="0"/>
        <v>17.30152174158804</v>
      </c>
      <c r="G35" s="155">
        <f t="shared" si="0"/>
        <v>20.822393634109179</v>
      </c>
      <c r="H35" s="155">
        <f t="shared" si="0"/>
        <v>19.082949692268567</v>
      </c>
      <c r="I35" s="155">
        <f t="shared" si="0"/>
        <v>17.795919141412384</v>
      </c>
      <c r="J35" s="155">
        <f t="shared" si="0"/>
        <v>20.297914937391326</v>
      </c>
      <c r="K35" s="155">
        <f t="shared" si="0"/>
        <v>20.489019815571449</v>
      </c>
      <c r="L35" s="155">
        <f t="shared" si="0"/>
        <v>22.384032967862424</v>
      </c>
      <c r="M35" s="155">
        <f t="shared" si="0"/>
        <v>28.177316945463815</v>
      </c>
      <c r="N35" s="155">
        <f t="shared" si="0"/>
        <v>32.157799137451505</v>
      </c>
      <c r="O35" s="155">
        <f t="shared" si="0"/>
        <v>35.28169446024318</v>
      </c>
      <c r="P35" s="155">
        <f t="shared" ref="P35:AB35" si="1">P20+P6</f>
        <v>42.480745482660481</v>
      </c>
      <c r="Q35" s="155">
        <f t="shared" si="1"/>
        <v>40.419794764594513</v>
      </c>
      <c r="R35" s="155">
        <f t="shared" si="1"/>
        <v>40.037288867242673</v>
      </c>
      <c r="S35" s="155">
        <f t="shared" si="1"/>
        <v>40.85992547936084</v>
      </c>
      <c r="T35" s="155">
        <f t="shared" si="1"/>
        <v>40.370478464679003</v>
      </c>
      <c r="U35" s="155">
        <f t="shared" si="1"/>
        <v>36.20640901006162</v>
      </c>
      <c r="V35" s="155">
        <f t="shared" si="1"/>
        <v>35.479474455035309</v>
      </c>
      <c r="W35" s="155">
        <f t="shared" si="1"/>
        <v>39.250038479034785</v>
      </c>
      <c r="X35" s="155">
        <f t="shared" si="1"/>
        <v>42.519802017956152</v>
      </c>
      <c r="Y35" s="155">
        <f t="shared" si="1"/>
        <v>39.739328128412261</v>
      </c>
      <c r="Z35" s="155">
        <f t="shared" si="1"/>
        <v>38.265098809142522</v>
      </c>
      <c r="AA35" s="155">
        <f t="shared" si="1"/>
        <v>39.073832510679097</v>
      </c>
      <c r="AB35" s="155">
        <f t="shared" si="1"/>
        <v>32.085618205705934</v>
      </c>
      <c r="AC35" s="155">
        <f t="shared" ref="AC35:AI40" si="2">AC20+AC6</f>
        <v>28.590347689580529</v>
      </c>
      <c r="AD35" s="155">
        <f t="shared" si="2"/>
        <v>25.386233343276569</v>
      </c>
      <c r="AE35" s="155">
        <f t="shared" si="2"/>
        <v>17.326167900842716</v>
      </c>
      <c r="AF35" s="155">
        <f t="shared" si="2"/>
        <v>12.503399541992247</v>
      </c>
      <c r="AG35" s="155">
        <f t="shared" si="2"/>
        <v>13.10731286870373</v>
      </c>
      <c r="AH35" s="155">
        <f t="shared" si="2"/>
        <v>21.07648523858181</v>
      </c>
      <c r="AI35" s="155">
        <f t="shared" si="2"/>
        <v>12.1242417899877</v>
      </c>
      <c r="AJ35" s="155">
        <f t="shared" ref="AJ35:AJ40" si="3">AJ20+AJ6</f>
        <v>3.4051774739013259</v>
      </c>
      <c r="AK35" s="263">
        <f t="shared" ref="AK35:AK40" si="4">AK20+AK6</f>
        <v>2.8955229037108787</v>
      </c>
      <c r="AL35" s="1032"/>
      <c r="AM35" s="1032"/>
    </row>
    <row r="36" spans="1:40" ht="15.5">
      <c r="A36" s="79" t="s">
        <v>571</v>
      </c>
      <c r="B36" s="155">
        <f t="shared" ref="B36:O36" si="5">B21+B7</f>
        <v>21.242487420593115</v>
      </c>
      <c r="C36" s="155">
        <f t="shared" si="5"/>
        <v>19.600765238656457</v>
      </c>
      <c r="D36" s="155">
        <f t="shared" si="5"/>
        <v>18.924255907078216</v>
      </c>
      <c r="E36" s="155">
        <f t="shared" si="5"/>
        <v>21.248079019972074</v>
      </c>
      <c r="F36" s="155">
        <f t="shared" si="5"/>
        <v>21.206571386281201</v>
      </c>
      <c r="G36" s="155">
        <f t="shared" si="5"/>
        <v>24.630156246881619</v>
      </c>
      <c r="H36" s="155">
        <f t="shared" si="5"/>
        <v>25.885077286082339</v>
      </c>
      <c r="I36" s="155">
        <f t="shared" si="5"/>
        <v>30.706597926452027</v>
      </c>
      <c r="J36" s="155">
        <f t="shared" si="5"/>
        <v>35.899578758149254</v>
      </c>
      <c r="K36" s="155">
        <f t="shared" si="5"/>
        <v>43.633913479009514</v>
      </c>
      <c r="L36" s="155">
        <f t="shared" si="5"/>
        <v>49.269990969722116</v>
      </c>
      <c r="M36" s="155">
        <f t="shared" si="5"/>
        <v>47.989108428844268</v>
      </c>
      <c r="N36" s="155">
        <f t="shared" si="5"/>
        <v>48.874768809365108</v>
      </c>
      <c r="O36" s="155">
        <f t="shared" si="5"/>
        <v>50.174591982184843</v>
      </c>
      <c r="P36" s="155">
        <f t="shared" ref="P36:AB36" si="6">P21+P7</f>
        <v>66.383064100948317</v>
      </c>
      <c r="Q36" s="155">
        <f t="shared" si="6"/>
        <v>67.365065576750354</v>
      </c>
      <c r="R36" s="155">
        <f t="shared" si="6"/>
        <v>69.196201757617914</v>
      </c>
      <c r="S36" s="155">
        <f t="shared" si="6"/>
        <v>74.637932433525535</v>
      </c>
      <c r="T36" s="155">
        <f t="shared" si="6"/>
        <v>75.419276849000269</v>
      </c>
      <c r="U36" s="155">
        <f t="shared" si="6"/>
        <v>64.562766491999952</v>
      </c>
      <c r="V36" s="155">
        <f t="shared" si="6"/>
        <v>68.071716447809663</v>
      </c>
      <c r="W36" s="155">
        <f t="shared" si="6"/>
        <v>63.798691632425744</v>
      </c>
      <c r="X36" s="155">
        <f t="shared" si="6"/>
        <v>58.184656407416426</v>
      </c>
      <c r="Y36" s="155">
        <f t="shared" si="6"/>
        <v>48.898450810188855</v>
      </c>
      <c r="Z36" s="155">
        <f t="shared" si="6"/>
        <v>43.215735100508127</v>
      </c>
      <c r="AA36" s="155">
        <f t="shared" si="6"/>
        <v>49.49212543281682</v>
      </c>
      <c r="AB36" s="155">
        <f t="shared" si="6"/>
        <v>55.747909781312785</v>
      </c>
      <c r="AC36" s="155">
        <f t="shared" si="2"/>
        <v>61.111998535460238</v>
      </c>
      <c r="AD36" s="155">
        <f t="shared" si="2"/>
        <v>56.36137951167693</v>
      </c>
      <c r="AE36" s="155">
        <f t="shared" si="2"/>
        <v>61.322323123846566</v>
      </c>
      <c r="AF36" s="155">
        <f t="shared" si="2"/>
        <v>58.504200986508941</v>
      </c>
      <c r="AG36" s="155">
        <f t="shared" si="2"/>
        <v>63.097499150512917</v>
      </c>
      <c r="AH36" s="155">
        <f t="shared" si="2"/>
        <v>61.070764725969873</v>
      </c>
      <c r="AI36" s="155">
        <f t="shared" si="2"/>
        <v>52.339179072588117</v>
      </c>
      <c r="AJ36" s="155">
        <f t="shared" si="3"/>
        <v>52.135686633577116</v>
      </c>
      <c r="AK36" s="263">
        <f t="shared" si="4"/>
        <v>56.067421856310233</v>
      </c>
      <c r="AL36" s="1032"/>
      <c r="AM36" s="1032"/>
    </row>
    <row r="37" spans="1:40" ht="15.5">
      <c r="A37" s="79" t="s">
        <v>7</v>
      </c>
      <c r="B37" s="155">
        <f t="shared" ref="B37:O37" si="7">B22+B8</f>
        <v>6.7478123889999999</v>
      </c>
      <c r="C37" s="155">
        <f t="shared" si="7"/>
        <v>6.5197966649999994</v>
      </c>
      <c r="D37" s="155">
        <f t="shared" si="7"/>
        <v>6.213643832999999</v>
      </c>
      <c r="E37" s="155">
        <f t="shared" si="7"/>
        <v>5.9076571639999997</v>
      </c>
      <c r="F37" s="155">
        <f t="shared" si="7"/>
        <v>5.4052594300000001</v>
      </c>
      <c r="G37" s="155">
        <f t="shared" si="7"/>
        <v>6.3949679359999996</v>
      </c>
      <c r="H37" s="155">
        <f t="shared" si="7"/>
        <v>6.0890504390000002</v>
      </c>
      <c r="I37" s="155">
        <f t="shared" si="7"/>
        <v>7.1264215849999992</v>
      </c>
      <c r="J37" s="155">
        <f t="shared" si="7"/>
        <v>8.3011012400000013</v>
      </c>
      <c r="K37" s="155">
        <f t="shared" si="7"/>
        <v>7.1078100869999998</v>
      </c>
      <c r="L37" s="155">
        <f t="shared" si="7"/>
        <v>6.370664798</v>
      </c>
      <c r="M37" s="155">
        <f t="shared" si="7"/>
        <v>6.9489296380000001</v>
      </c>
      <c r="N37" s="155">
        <f t="shared" si="7"/>
        <v>6.9838866389999996</v>
      </c>
      <c r="O37" s="155">
        <f t="shared" si="7"/>
        <v>6.7547838880000004</v>
      </c>
      <c r="P37" s="155">
        <f t="shared" ref="P37:AB37" si="8">P22+P8</f>
        <v>10.025083315</v>
      </c>
      <c r="Q37" s="155">
        <f t="shared" si="8"/>
        <v>11.402131146914854</v>
      </c>
      <c r="R37" s="155">
        <f t="shared" si="8"/>
        <v>11.80570728866727</v>
      </c>
      <c r="S37" s="155">
        <f t="shared" si="8"/>
        <v>10.203833975672506</v>
      </c>
      <c r="T37" s="155">
        <f t="shared" si="8"/>
        <v>9.4792506682330409</v>
      </c>
      <c r="U37" s="155">
        <f t="shared" si="8"/>
        <v>6.050553792885176</v>
      </c>
      <c r="V37" s="155">
        <f t="shared" si="8"/>
        <v>7.9928218399884834</v>
      </c>
      <c r="W37" s="155">
        <f t="shared" si="8"/>
        <v>9.0218079640158759</v>
      </c>
      <c r="X37" s="155">
        <f t="shared" si="8"/>
        <v>8.17327583048775</v>
      </c>
      <c r="Y37" s="155">
        <f t="shared" si="8"/>
        <v>5.9007110089602435</v>
      </c>
      <c r="Z37" s="155">
        <f t="shared" si="8"/>
        <v>5.971418832176342</v>
      </c>
      <c r="AA37" s="155">
        <f t="shared" si="8"/>
        <v>4.4684446317919413</v>
      </c>
      <c r="AB37" s="155">
        <f t="shared" si="8"/>
        <v>5.707978497800192</v>
      </c>
      <c r="AC37" s="155">
        <f t="shared" si="2"/>
        <v>4.5448225070009647</v>
      </c>
      <c r="AD37" s="155">
        <f t="shared" si="2"/>
        <v>4.5078563848125439</v>
      </c>
      <c r="AE37" s="155">
        <f t="shared" si="2"/>
        <v>4.3096460440486588</v>
      </c>
      <c r="AF37" s="155">
        <f t="shared" si="2"/>
        <v>2.8755126740036538</v>
      </c>
      <c r="AG37" s="155">
        <f t="shared" si="2"/>
        <v>3.6321994841140106</v>
      </c>
      <c r="AH37" s="155">
        <f t="shared" si="2"/>
        <v>2.9571437690211528</v>
      </c>
      <c r="AI37" s="155">
        <f t="shared" si="2"/>
        <v>1.9810635476073095</v>
      </c>
      <c r="AJ37" s="155">
        <f t="shared" si="3"/>
        <v>1.3639791386638316</v>
      </c>
      <c r="AK37" s="263">
        <f t="shared" si="4"/>
        <v>1.2182621504344289</v>
      </c>
      <c r="AL37" s="279"/>
      <c r="AM37" s="1032"/>
    </row>
    <row r="38" spans="1:40" ht="15.5">
      <c r="A38" s="79" t="s">
        <v>8</v>
      </c>
      <c r="B38" s="155">
        <f t="shared" ref="B38:O38" si="9">B23+B9</f>
        <v>70.205173519114126</v>
      </c>
      <c r="C38" s="155">
        <f t="shared" si="9"/>
        <v>71.203431898516541</v>
      </c>
      <c r="D38" s="155">
        <f t="shared" si="9"/>
        <v>78.524376173966772</v>
      </c>
      <c r="E38" s="155">
        <f t="shared" si="9"/>
        <v>76.878911314959467</v>
      </c>
      <c r="F38" s="155">
        <f t="shared" si="9"/>
        <v>78.34682124362206</v>
      </c>
      <c r="G38" s="155">
        <f t="shared" si="9"/>
        <v>81.414688695924241</v>
      </c>
      <c r="H38" s="155">
        <f t="shared" si="9"/>
        <v>79.111571776786789</v>
      </c>
      <c r="I38" s="155">
        <f t="shared" si="9"/>
        <v>76.6719702934964</v>
      </c>
      <c r="J38" s="155">
        <f t="shared" si="9"/>
        <v>72.437092441426458</v>
      </c>
      <c r="K38" s="155">
        <f t="shared" si="9"/>
        <v>62.342090628316662</v>
      </c>
      <c r="L38" s="155">
        <f t="shared" si="9"/>
        <v>61.229907145854121</v>
      </c>
      <c r="M38" s="155">
        <f t="shared" si="9"/>
        <v>54.218004125677631</v>
      </c>
      <c r="N38" s="155">
        <f t="shared" si="9"/>
        <v>59.719275043233225</v>
      </c>
      <c r="O38" s="155">
        <f t="shared" si="9"/>
        <v>52.261533677588602</v>
      </c>
      <c r="P38" s="155">
        <f t="shared" ref="P38:AB38" si="10">P23+P9</f>
        <v>45.545151197900466</v>
      </c>
      <c r="Q38" s="155">
        <f t="shared" si="10"/>
        <v>36.197555247405688</v>
      </c>
      <c r="R38" s="155">
        <f t="shared" si="10"/>
        <v>38.332170711494513</v>
      </c>
      <c r="S38" s="155">
        <f t="shared" si="10"/>
        <v>31.015042354846795</v>
      </c>
      <c r="T38" s="155">
        <f t="shared" si="10"/>
        <v>27.42624792899997</v>
      </c>
      <c r="U38" s="155">
        <f t="shared" si="10"/>
        <v>23.065393054170926</v>
      </c>
      <c r="V38" s="155">
        <f t="shared" si="10"/>
        <v>19.989095757029624</v>
      </c>
      <c r="W38" s="155">
        <f t="shared" si="10"/>
        <v>17.028109606194025</v>
      </c>
      <c r="X38" s="155">
        <f t="shared" si="10"/>
        <v>15.564791928457431</v>
      </c>
      <c r="Y38" s="155">
        <f t="shared" si="10"/>
        <v>12.349949725638183</v>
      </c>
      <c r="Z38" s="155">
        <f t="shared" si="10"/>
        <v>10.909933838353574</v>
      </c>
      <c r="AA38" s="155">
        <f t="shared" si="10"/>
        <v>10.119981112069429</v>
      </c>
      <c r="AB38" s="155">
        <f t="shared" si="10"/>
        <v>9.1714415440689994</v>
      </c>
      <c r="AC38" s="155">
        <f t="shared" si="2"/>
        <v>8.721795395840088</v>
      </c>
      <c r="AD38" s="155">
        <f t="shared" si="2"/>
        <v>8.3712600658244298</v>
      </c>
      <c r="AE38" s="155">
        <f t="shared" si="2"/>
        <v>7.5128411867270737</v>
      </c>
      <c r="AF38" s="155">
        <f t="shared" si="2"/>
        <v>7.5722733630330818</v>
      </c>
      <c r="AG38" s="155">
        <f t="shared" si="2"/>
        <v>5.8292076236024002</v>
      </c>
      <c r="AH38" s="155">
        <f t="shared" si="2"/>
        <v>9.5900848153657385</v>
      </c>
      <c r="AI38" s="155">
        <f t="shared" si="2"/>
        <v>7.6796307976958795</v>
      </c>
      <c r="AJ38" s="155">
        <f t="shared" si="3"/>
        <v>6.3607952599909092</v>
      </c>
      <c r="AK38" s="263">
        <f t="shared" si="4"/>
        <v>5.755242475958033</v>
      </c>
      <c r="AL38" s="279"/>
      <c r="AM38" s="1032"/>
    </row>
    <row r="39" spans="1:40" ht="15.5">
      <c r="A39" s="79" t="s">
        <v>751</v>
      </c>
      <c r="B39" s="155">
        <f t="shared" ref="B39:O39" si="11">B24+B10</f>
        <v>0.10554852973068349</v>
      </c>
      <c r="C39" s="155">
        <f t="shared" si="11"/>
        <v>0.13106668988394637</v>
      </c>
      <c r="D39" s="155">
        <f t="shared" si="11"/>
        <v>0.10489531940532766</v>
      </c>
      <c r="E39" s="155">
        <f t="shared" si="11"/>
        <v>0.10546174275810015</v>
      </c>
      <c r="F39" s="155">
        <f t="shared" si="11"/>
        <v>0.12857069289394271</v>
      </c>
      <c r="G39" s="155">
        <f t="shared" si="11"/>
        <v>0.18354490279107072</v>
      </c>
      <c r="H39" s="155">
        <f t="shared" si="11"/>
        <v>0.22264219145727709</v>
      </c>
      <c r="I39" s="155">
        <f t="shared" si="11"/>
        <v>0.25337435448314144</v>
      </c>
      <c r="J39" s="155">
        <f t="shared" si="11"/>
        <v>0.37285269083822786</v>
      </c>
      <c r="K39" s="155">
        <f t="shared" si="11"/>
        <v>0.64371847491251222</v>
      </c>
      <c r="L39" s="155">
        <f t="shared" si="11"/>
        <v>0.45924745654825144</v>
      </c>
      <c r="M39" s="155">
        <f t="shared" si="11"/>
        <v>0.65729696999563425</v>
      </c>
      <c r="N39" s="155">
        <f t="shared" si="11"/>
        <v>0.66143936873887221</v>
      </c>
      <c r="O39" s="155">
        <f t="shared" si="11"/>
        <v>1.7598199113080544</v>
      </c>
      <c r="P39" s="155">
        <f t="shared" ref="P39:AB39" si="12">P24+P10</f>
        <v>2.8118977359362982</v>
      </c>
      <c r="Q39" s="155">
        <f t="shared" si="12"/>
        <v>2.463240497328572</v>
      </c>
      <c r="R39" s="155">
        <f t="shared" si="12"/>
        <v>2.8409787977944445</v>
      </c>
      <c r="S39" s="155">
        <f t="shared" si="12"/>
        <v>3.6759766065389012</v>
      </c>
      <c r="T39" s="155">
        <f t="shared" si="12"/>
        <v>3.1245540292926828</v>
      </c>
      <c r="U39" s="155">
        <f t="shared" si="12"/>
        <v>2.9641275963662044</v>
      </c>
      <c r="V39" s="155">
        <f t="shared" si="12"/>
        <v>4.1830295145281386</v>
      </c>
      <c r="W39" s="155">
        <f t="shared" si="12"/>
        <v>4.241490123936293</v>
      </c>
      <c r="X39" s="155">
        <f t="shared" si="12"/>
        <v>4.2649468678364499</v>
      </c>
      <c r="Y39" s="155">
        <f t="shared" si="12"/>
        <v>4.2528695043503841</v>
      </c>
      <c r="Z39" s="155">
        <f t="shared" si="12"/>
        <v>4.3859760971651127</v>
      </c>
      <c r="AA39" s="155">
        <f t="shared" si="12"/>
        <v>4.5354012478480037</v>
      </c>
      <c r="AB39" s="155">
        <f t="shared" si="12"/>
        <v>4.798029866458684</v>
      </c>
      <c r="AC39" s="155">
        <f t="shared" si="2"/>
        <v>4.7014726124701074</v>
      </c>
      <c r="AD39" s="155">
        <f t="shared" si="2"/>
        <v>4.732755386048825</v>
      </c>
      <c r="AE39" s="155">
        <f t="shared" si="2"/>
        <v>4.8857419855289423</v>
      </c>
      <c r="AF39" s="155">
        <f t="shared" si="2"/>
        <v>4.7593260298594267</v>
      </c>
      <c r="AG39" s="155">
        <f t="shared" si="2"/>
        <v>4.6008288134469542</v>
      </c>
      <c r="AH39" s="155">
        <f t="shared" si="2"/>
        <v>4.6611637028361024</v>
      </c>
      <c r="AI39" s="155">
        <f t="shared" si="2"/>
        <v>4.7841617383507131</v>
      </c>
      <c r="AJ39" s="155">
        <f t="shared" si="3"/>
        <v>4.5837608065725588</v>
      </c>
      <c r="AK39" s="263">
        <f t="shared" si="4"/>
        <v>4.8238827730748479</v>
      </c>
      <c r="AL39" s="279"/>
    </row>
    <row r="40" spans="1:40" ht="15">
      <c r="A40" s="80" t="s">
        <v>49</v>
      </c>
      <c r="B40" s="156">
        <f t="shared" ref="B40:O40" si="13">B25+B11</f>
        <v>126.40337280619869</v>
      </c>
      <c r="C40" s="156">
        <f t="shared" si="13"/>
        <v>122.57100849566181</v>
      </c>
      <c r="D40" s="156">
        <f t="shared" si="13"/>
        <v>122.60620264308352</v>
      </c>
      <c r="E40" s="156">
        <f t="shared" si="13"/>
        <v>118.63981067808957</v>
      </c>
      <c r="F40" s="156">
        <f t="shared" si="13"/>
        <v>122.38874449438525</v>
      </c>
      <c r="G40" s="156">
        <f t="shared" si="13"/>
        <v>133.44575141570613</v>
      </c>
      <c r="H40" s="156">
        <f t="shared" si="13"/>
        <v>130.39129138559497</v>
      </c>
      <c r="I40" s="156">
        <f t="shared" si="13"/>
        <v>132.55428330084393</v>
      </c>
      <c r="J40" s="156">
        <f t="shared" si="13"/>
        <v>137.30854006780527</v>
      </c>
      <c r="K40" s="156">
        <f t="shared" si="13"/>
        <v>134.21655248481014</v>
      </c>
      <c r="L40" s="156">
        <f t="shared" si="13"/>
        <v>139.7138433379869</v>
      </c>
      <c r="M40" s="156">
        <f t="shared" si="13"/>
        <v>137.99065610798135</v>
      </c>
      <c r="N40" s="156">
        <f t="shared" si="13"/>
        <v>148.39716899778873</v>
      </c>
      <c r="O40" s="156">
        <f t="shared" si="13"/>
        <v>146.23242391932467</v>
      </c>
      <c r="P40" s="156">
        <f t="shared" ref="P40:AB40" si="14">P25+P11</f>
        <v>167.24594183244557</v>
      </c>
      <c r="Q40" s="156">
        <f t="shared" si="14"/>
        <v>157.84778723299399</v>
      </c>
      <c r="R40" s="156">
        <f t="shared" si="14"/>
        <v>162.2123474228168</v>
      </c>
      <c r="S40" s="156">
        <f t="shared" si="14"/>
        <v>160.39271084994459</v>
      </c>
      <c r="T40" s="156">
        <f t="shared" si="14"/>
        <v>155.81980794020498</v>
      </c>
      <c r="U40" s="156">
        <f t="shared" si="14"/>
        <v>132.8492499454839</v>
      </c>
      <c r="V40" s="156">
        <f t="shared" si="14"/>
        <v>135.71613801439122</v>
      </c>
      <c r="W40" s="156">
        <f t="shared" si="14"/>
        <v>133.34013780560673</v>
      </c>
      <c r="X40" s="156">
        <f t="shared" si="14"/>
        <v>128.7074730521542</v>
      </c>
      <c r="Y40" s="156">
        <f t="shared" si="14"/>
        <v>111.14130917754993</v>
      </c>
      <c r="Z40" s="156">
        <f t="shared" si="14"/>
        <v>102.74816267734566</v>
      </c>
      <c r="AA40" s="156">
        <f t="shared" si="14"/>
        <v>107.68978493520528</v>
      </c>
      <c r="AB40" s="156">
        <f t="shared" si="14"/>
        <v>107.5109778953466</v>
      </c>
      <c r="AC40" s="156">
        <f t="shared" si="2"/>
        <v>107.67043674035193</v>
      </c>
      <c r="AD40" s="156">
        <f t="shared" si="2"/>
        <v>99.359484691639295</v>
      </c>
      <c r="AE40" s="156">
        <f t="shared" si="2"/>
        <v>95.356720240993951</v>
      </c>
      <c r="AF40" s="156">
        <f t="shared" si="2"/>
        <v>86.214712595397344</v>
      </c>
      <c r="AG40" s="156">
        <f t="shared" si="2"/>
        <v>90.26704794038001</v>
      </c>
      <c r="AH40" s="156">
        <f t="shared" si="2"/>
        <v>99.355642251774697</v>
      </c>
      <c r="AI40" s="156">
        <f t="shared" si="2"/>
        <v>78.908276946229719</v>
      </c>
      <c r="AJ40" s="156">
        <f t="shared" si="3"/>
        <v>67.849399312705742</v>
      </c>
      <c r="AK40" s="264">
        <f t="shared" si="4"/>
        <v>70.760332159488414</v>
      </c>
      <c r="AL40" s="279"/>
      <c r="AM40" s="279"/>
      <c r="AN40" s="279"/>
    </row>
    <row r="41" spans="1:40">
      <c r="A41" s="44" t="s">
        <v>572</v>
      </c>
    </row>
    <row r="42" spans="1:40">
      <c r="B42" s="279"/>
      <c r="C42" s="279"/>
      <c r="D42" s="279"/>
      <c r="E42" s="279"/>
      <c r="F42" s="279"/>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row>
    <row r="43" spans="1:40">
      <c r="B43" s="279"/>
      <c r="G43" s="279"/>
      <c r="AH43" s="279"/>
      <c r="AI43" s="279"/>
      <c r="AJ43" s="279"/>
      <c r="AK43" s="279"/>
    </row>
    <row r="44" spans="1:40" ht="17.5">
      <c r="A44" s="47" t="s">
        <v>790</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490"/>
      <c r="AC44" s="490"/>
      <c r="AD44" s="490"/>
      <c r="AE44" s="490"/>
      <c r="AF44" s="490"/>
      <c r="AG44" s="490"/>
      <c r="AH44" s="490"/>
      <c r="AI44" s="490"/>
      <c r="AJ44" s="490"/>
      <c r="AK44" s="490"/>
      <c r="AL44" s="490"/>
    </row>
    <row r="45" spans="1:40">
      <c r="A45" s="1087"/>
      <c r="B45" s="720">
        <v>1990</v>
      </c>
      <c r="C45" s="720">
        <v>1991</v>
      </c>
      <c r="D45" s="720">
        <v>1992</v>
      </c>
      <c r="E45" s="720">
        <v>1993</v>
      </c>
      <c r="F45" s="720">
        <v>1994</v>
      </c>
      <c r="G45" s="720">
        <v>1995</v>
      </c>
      <c r="H45" s="720">
        <v>1996</v>
      </c>
      <c r="I45" s="720">
        <v>1997</v>
      </c>
      <c r="J45" s="720">
        <v>1998</v>
      </c>
      <c r="K45" s="720">
        <v>1999</v>
      </c>
      <c r="L45" s="720">
        <v>2000</v>
      </c>
      <c r="M45" s="720">
        <v>2001</v>
      </c>
      <c r="N45" s="720">
        <v>2002</v>
      </c>
      <c r="O45" s="720">
        <v>2003</v>
      </c>
      <c r="P45" s="720">
        <v>2004</v>
      </c>
      <c r="Q45" s="720">
        <v>2005</v>
      </c>
      <c r="R45" s="720">
        <v>2006</v>
      </c>
      <c r="S45" s="720">
        <v>2007</v>
      </c>
      <c r="T45" s="720">
        <v>2008</v>
      </c>
      <c r="U45" s="720">
        <v>2009</v>
      </c>
      <c r="V45" s="720">
        <v>2010</v>
      </c>
      <c r="W45" s="720">
        <v>2011</v>
      </c>
      <c r="X45" s="720">
        <v>2012</v>
      </c>
      <c r="Y45" s="720">
        <v>2013</v>
      </c>
      <c r="Z45" s="721">
        <v>2014</v>
      </c>
      <c r="AA45" s="721">
        <v>2015</v>
      </c>
      <c r="AB45" s="721">
        <v>2016</v>
      </c>
      <c r="AC45" s="721">
        <v>2017</v>
      </c>
      <c r="AD45" s="721">
        <v>2018</v>
      </c>
      <c r="AE45" s="721">
        <v>2019</v>
      </c>
      <c r="AF45" s="721">
        <v>2020</v>
      </c>
      <c r="AG45" s="721">
        <v>2021</v>
      </c>
      <c r="AH45" s="721">
        <v>2022</v>
      </c>
      <c r="AI45" s="721">
        <f>+AH45+1</f>
        <v>2023</v>
      </c>
      <c r="AJ45" s="721">
        <f>+AI45+1</f>
        <v>2024</v>
      </c>
      <c r="AK45" s="722" t="s">
        <v>584</v>
      </c>
      <c r="AL45" s="490"/>
    </row>
    <row r="46" spans="1:40" ht="16">
      <c r="A46" s="1088"/>
      <c r="B46" s="77" t="s">
        <v>82</v>
      </c>
      <c r="C46" s="78"/>
      <c r="D46" s="78"/>
      <c r="E46" s="78"/>
      <c r="F46" s="78"/>
      <c r="G46" s="78"/>
      <c r="H46" s="78"/>
      <c r="I46" s="78"/>
      <c r="J46" s="78"/>
      <c r="K46" s="78"/>
      <c r="L46" s="78"/>
      <c r="M46" s="78"/>
      <c r="N46" s="78"/>
      <c r="O46" s="78"/>
      <c r="P46" s="78"/>
      <c r="Q46" s="78"/>
      <c r="R46" s="78"/>
      <c r="S46" s="78"/>
      <c r="T46" s="78"/>
      <c r="U46" s="78"/>
      <c r="V46" s="78"/>
      <c r="W46" s="78"/>
      <c r="X46" s="78"/>
      <c r="Y46" s="78"/>
      <c r="Z46" s="127"/>
      <c r="AA46" s="127"/>
      <c r="AB46" s="127"/>
      <c r="AC46" s="127"/>
      <c r="AD46" s="127"/>
      <c r="AE46" s="127"/>
      <c r="AF46" s="127"/>
      <c r="AG46" s="127"/>
      <c r="AH46" s="127"/>
      <c r="AI46" s="127"/>
      <c r="AJ46" s="127"/>
      <c r="AK46" s="262"/>
      <c r="AL46" s="490"/>
    </row>
    <row r="47" spans="1:40">
      <c r="A47" s="520" t="s">
        <v>851</v>
      </c>
      <c r="B47" s="521">
        <v>114.41930060094678</v>
      </c>
      <c r="C47" s="521">
        <v>110.83823625505362</v>
      </c>
      <c r="D47" s="521">
        <v>110.30525687466012</v>
      </c>
      <c r="E47" s="521">
        <v>106.07187576978136</v>
      </c>
      <c r="F47" s="521">
        <v>109.66039331191278</v>
      </c>
      <c r="G47" s="521">
        <v>119.65609913164994</v>
      </c>
      <c r="H47" s="521">
        <v>116.59387548897514</v>
      </c>
      <c r="I47" s="521">
        <v>118.008935454503</v>
      </c>
      <c r="J47" s="521">
        <v>122.09683890319735</v>
      </c>
      <c r="K47" s="521">
        <v>118.48357178326481</v>
      </c>
      <c r="L47" s="521">
        <v>122.67525939995639</v>
      </c>
      <c r="M47" s="521">
        <v>121.63338377715711</v>
      </c>
      <c r="N47" s="521">
        <v>131.17164279159979</v>
      </c>
      <c r="O47" s="521">
        <v>129.35478265810693</v>
      </c>
      <c r="P47" s="521">
        <v>147.0934836423834</v>
      </c>
      <c r="Q47" s="521">
        <v>144.74312632555694</v>
      </c>
      <c r="R47" s="521">
        <v>147.45002052084254</v>
      </c>
      <c r="S47" s="521">
        <v>145.92405574281224</v>
      </c>
      <c r="T47" s="521">
        <v>141.87565639814184</v>
      </c>
      <c r="U47" s="521">
        <v>119.76209931208173</v>
      </c>
      <c r="V47" s="521">
        <v>121.70870410113133</v>
      </c>
      <c r="W47" s="521">
        <v>119.57793463693831</v>
      </c>
      <c r="X47" s="521">
        <v>115.78647600093768</v>
      </c>
      <c r="Y47" s="521">
        <v>98.137627340549614</v>
      </c>
      <c r="Z47" s="521">
        <v>90.99868195310799</v>
      </c>
      <c r="AA47" s="521">
        <v>94.548472304045845</v>
      </c>
      <c r="AB47" s="521">
        <v>93.863743159910342</v>
      </c>
      <c r="AC47" s="521">
        <v>94.307087279330361</v>
      </c>
      <c r="AD47" s="521">
        <v>86.635484742035814</v>
      </c>
      <c r="AE47" s="521">
        <v>82.320543725154124</v>
      </c>
      <c r="AF47" s="521">
        <v>73.463947603774983</v>
      </c>
      <c r="AG47" s="521">
        <v>77.941350880268629</v>
      </c>
      <c r="AH47" s="521">
        <v>86.672835637608543</v>
      </c>
      <c r="AI47" s="521">
        <v>67.458154386279276</v>
      </c>
      <c r="AJ47" s="521">
        <v>56.375005628189804</v>
      </c>
      <c r="AK47" s="522">
        <v>58.615110514179463</v>
      </c>
      <c r="AL47" s="490"/>
    </row>
    <row r="48" spans="1:40">
      <c r="A48" s="520" t="s">
        <v>852</v>
      </c>
      <c r="B48" s="155">
        <v>22.407031455224221</v>
      </c>
      <c r="C48" s="155">
        <v>29.184949799383308</v>
      </c>
      <c r="D48" s="155">
        <v>28.533736363369226</v>
      </c>
      <c r="E48" s="155">
        <v>27.476684058278529</v>
      </c>
      <c r="F48" s="155">
        <v>29.34077659814006</v>
      </c>
      <c r="G48" s="155">
        <v>25.384279841890525</v>
      </c>
      <c r="H48" s="155">
        <v>27.9780032763273</v>
      </c>
      <c r="I48" s="155">
        <v>27.312131005454404</v>
      </c>
      <c r="J48" s="155">
        <v>27.5317008702423</v>
      </c>
      <c r="K48" s="155">
        <v>29.497141489146813</v>
      </c>
      <c r="L48" s="155">
        <v>28.569445256760424</v>
      </c>
      <c r="M48" s="155">
        <v>30.473960913491954</v>
      </c>
      <c r="N48" s="155">
        <v>27.648750925377616</v>
      </c>
      <c r="O48" s="155">
        <v>25.459613449955917</v>
      </c>
      <c r="P48" s="155">
        <v>32.963959134379493</v>
      </c>
      <c r="Q48" s="155">
        <v>28.345225811096217</v>
      </c>
      <c r="R48" s="155">
        <v>29.167515069373323</v>
      </c>
      <c r="S48" s="155">
        <v>26.849750914573928</v>
      </c>
      <c r="T48" s="155">
        <v>32.315144364702775</v>
      </c>
      <c r="U48" s="155">
        <v>37.85873633327882</v>
      </c>
      <c r="V48" s="155">
        <v>42.231326109719042</v>
      </c>
      <c r="W48" s="155">
        <v>45.572088298527561</v>
      </c>
      <c r="X48" s="155">
        <v>52.069326432837556</v>
      </c>
      <c r="Y48" s="155">
        <v>62.492295900801423</v>
      </c>
      <c r="Z48" s="155">
        <v>69.752003893712683</v>
      </c>
      <c r="AA48" s="155">
        <v>59.636554402100799</v>
      </c>
      <c r="AB48" s="155">
        <v>56.354451473812603</v>
      </c>
      <c r="AC48" s="155">
        <v>51.553693543221826</v>
      </c>
      <c r="AD48" s="155">
        <v>57.147788236414158</v>
      </c>
      <c r="AE48" s="155">
        <v>54.132507027012267</v>
      </c>
      <c r="AF48" s="155">
        <v>53.125945536944798</v>
      </c>
      <c r="AG48" s="155">
        <v>53.138771302445043</v>
      </c>
      <c r="AH48" s="155">
        <v>47.951343975877769</v>
      </c>
      <c r="AI48" s="155">
        <v>53.654671110585994</v>
      </c>
      <c r="AJ48" s="155">
        <v>56.171818366306198</v>
      </c>
      <c r="AK48" s="263">
        <v>54.686805082329187</v>
      </c>
      <c r="AL48" s="490"/>
    </row>
    <row r="49" spans="1:38">
      <c r="A49" s="520" t="s">
        <v>853</v>
      </c>
      <c r="B49" s="155">
        <v>136.826332056171</v>
      </c>
      <c r="C49" s="155">
        <v>140.02318605443693</v>
      </c>
      <c r="D49" s="155">
        <v>138.83899323802933</v>
      </c>
      <c r="E49" s="155">
        <v>133.54855982805989</v>
      </c>
      <c r="F49" s="155">
        <v>139.00116991005285</v>
      </c>
      <c r="G49" s="155">
        <v>145.04037897354044</v>
      </c>
      <c r="H49" s="155">
        <v>144.57187876530247</v>
      </c>
      <c r="I49" s="155">
        <v>145.32106645995739</v>
      </c>
      <c r="J49" s="155">
        <v>149.62853977343968</v>
      </c>
      <c r="K49" s="155">
        <v>147.98071327241161</v>
      </c>
      <c r="L49" s="155">
        <v>151.24470465671683</v>
      </c>
      <c r="M49" s="155">
        <v>152.10734469064906</v>
      </c>
      <c r="N49" s="155">
        <v>158.82039371697741</v>
      </c>
      <c r="O49" s="155">
        <v>154.81439610806282</v>
      </c>
      <c r="P49" s="155">
        <v>180.05744277676288</v>
      </c>
      <c r="Q49" s="155">
        <v>173.08835213665316</v>
      </c>
      <c r="R49" s="155">
        <v>176.61753559021588</v>
      </c>
      <c r="S49" s="155">
        <v>172.77380665738616</v>
      </c>
      <c r="T49" s="155">
        <v>174.19080076284459</v>
      </c>
      <c r="U49" s="155">
        <v>157.62083564536056</v>
      </c>
      <c r="V49" s="155">
        <v>163.94003021085035</v>
      </c>
      <c r="W49" s="155">
        <v>165.15002293546584</v>
      </c>
      <c r="X49" s="155">
        <v>167.85580243377521</v>
      </c>
      <c r="Y49" s="155">
        <v>160.62992324135104</v>
      </c>
      <c r="Z49" s="155">
        <v>160.75068584682069</v>
      </c>
      <c r="AA49" s="155">
        <v>154.18502670614666</v>
      </c>
      <c r="AB49" s="155">
        <v>150.21819463372296</v>
      </c>
      <c r="AC49" s="155">
        <v>145.86078082255221</v>
      </c>
      <c r="AD49" s="155">
        <v>143.78327297844999</v>
      </c>
      <c r="AE49" s="155">
        <v>136.45305075216638</v>
      </c>
      <c r="AF49" s="155">
        <v>126.58989314071978</v>
      </c>
      <c r="AG49" s="155">
        <v>131.08012218271367</v>
      </c>
      <c r="AH49" s="155">
        <v>134.62417961348629</v>
      </c>
      <c r="AI49" s="155">
        <v>121.11282549686526</v>
      </c>
      <c r="AJ49" s="155">
        <v>112.54682399449601</v>
      </c>
      <c r="AK49" s="263">
        <v>113.30191559650864</v>
      </c>
      <c r="AL49" s="490"/>
    </row>
    <row r="50" spans="1:38">
      <c r="AB50" s="490"/>
      <c r="AC50" s="490"/>
      <c r="AD50" s="490"/>
      <c r="AE50" s="490"/>
      <c r="AF50" s="490"/>
      <c r="AG50" s="490"/>
      <c r="AH50" s="490"/>
      <c r="AI50" s="490"/>
      <c r="AJ50" s="490"/>
      <c r="AK50" s="490"/>
      <c r="AL50" s="490"/>
    </row>
    <row r="52" spans="1:38">
      <c r="AB52" s="489"/>
      <c r="AC52" s="489"/>
      <c r="AD52" s="489"/>
      <c r="AE52" s="489"/>
      <c r="AF52" s="489"/>
      <c r="AG52" s="489"/>
      <c r="AH52" s="489"/>
      <c r="AI52" s="489"/>
      <c r="AJ52" s="489"/>
      <c r="AK52" s="489"/>
      <c r="AL52" s="489"/>
    </row>
    <row r="53" spans="1:38">
      <c r="AB53" s="489"/>
      <c r="AC53" s="489"/>
      <c r="AD53" s="489"/>
      <c r="AE53" s="489"/>
      <c r="AF53" s="489"/>
      <c r="AG53" s="489"/>
      <c r="AH53" s="489"/>
      <c r="AI53" s="489"/>
      <c r="AJ53" s="489"/>
      <c r="AK53" s="489"/>
      <c r="AL53" s="489"/>
    </row>
    <row r="54" spans="1:38">
      <c r="AB54" s="489"/>
      <c r="AC54" s="489"/>
      <c r="AD54" s="489"/>
      <c r="AE54" s="489"/>
      <c r="AF54" s="489"/>
      <c r="AG54" s="489"/>
      <c r="AH54" s="489"/>
      <c r="AI54" s="489"/>
      <c r="AJ54" s="489"/>
      <c r="AK54" s="489"/>
      <c r="AL54" s="489"/>
    </row>
    <row r="55" spans="1:38">
      <c r="AB55" s="489"/>
      <c r="AC55" s="489"/>
      <c r="AD55" s="489"/>
      <c r="AE55" s="489"/>
      <c r="AF55" s="489"/>
      <c r="AG55" s="489"/>
      <c r="AH55" s="489"/>
      <c r="AI55" s="489"/>
      <c r="AJ55" s="489"/>
      <c r="AK55" s="489"/>
      <c r="AL55" s="489"/>
    </row>
    <row r="56" spans="1:38">
      <c r="AB56" s="489"/>
      <c r="AC56" s="489"/>
      <c r="AD56" s="489"/>
      <c r="AE56" s="489"/>
      <c r="AF56" s="489"/>
      <c r="AG56" s="489"/>
      <c r="AH56" s="489"/>
      <c r="AI56" s="489"/>
      <c r="AJ56" s="489"/>
      <c r="AK56" s="489"/>
      <c r="AL56" s="489"/>
    </row>
    <row r="57" spans="1:38">
      <c r="AB57" s="489"/>
      <c r="AC57" s="489"/>
      <c r="AD57" s="489"/>
      <c r="AE57" s="489"/>
      <c r="AF57" s="489"/>
      <c r="AG57" s="489"/>
      <c r="AH57" s="489"/>
      <c r="AI57" s="489"/>
      <c r="AJ57" s="489"/>
      <c r="AK57" s="489"/>
      <c r="AL57" s="489"/>
    </row>
  </sheetData>
  <sheetProtection algorithmName="SHA-512" hashValue="y4BiREOoJ08dECmSN9MO9WAgbVTNWeiH1iFgL/VAe9wzaJEiCnaZDImAgI9ietXAGBHgxrnW/MQBblL1IX120Q==" saltValue="bQ1r2E+jMzNA2BcyS0uXlA==" spinCount="100000" sheet="1" objects="1" scenarios="1"/>
  <mergeCells count="4">
    <mergeCell ref="A4:A5"/>
    <mergeCell ref="A18:A19"/>
    <mergeCell ref="A33:A34"/>
    <mergeCell ref="A45:A46"/>
  </mergeCells>
  <hyperlinks>
    <hyperlink ref="A1" location="Indice!A1" display="Torna indietro" xr:uid="{37EC7C51-EB39-4372-8AD0-5C17E65F9BB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6"/>
  <dimension ref="A1:BP1000004"/>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ColWidth="9.81640625" defaultRowHeight="15.5"/>
  <cols>
    <col min="1" max="1" width="31.81640625" style="2" customWidth="1"/>
    <col min="2" max="2" width="9.1796875" style="2" bestFit="1" customWidth="1"/>
    <col min="3" max="6" width="8.984375E-2" style="2" customWidth="1"/>
    <col min="7" max="7" width="9.1796875" style="2" bestFit="1" customWidth="1"/>
    <col min="8" max="11" width="8.984375E-2" style="2" customWidth="1"/>
    <col min="12" max="12" width="9.1796875" style="2" bestFit="1" customWidth="1"/>
    <col min="13" max="16" width="8.984375E-2" style="2" customWidth="1"/>
    <col min="17" max="17" width="9.1796875" style="2" bestFit="1" customWidth="1"/>
    <col min="18" max="21" width="8.984375E-2" style="2" customWidth="1"/>
    <col min="22" max="22" width="9.1796875" style="2" bestFit="1" customWidth="1"/>
    <col min="23" max="25" width="8.984375E-2" style="2" customWidth="1"/>
    <col min="26" max="26" width="8.984375E-2" style="117" customWidth="1"/>
    <col min="27" max="27" width="9.1796875" style="117" bestFit="1" customWidth="1"/>
    <col min="28" max="31" width="8.984375E-2" style="117" customWidth="1"/>
    <col min="32" max="33" width="9.1796875" style="117" bestFit="1" customWidth="1"/>
    <col min="34" max="36" width="9.1796875" style="2" bestFit="1" customWidth="1"/>
    <col min="37" max="37" width="9.81640625" style="2" bestFit="1" customWidth="1"/>
    <col min="38" max="38" width="19.54296875" style="2" customWidth="1"/>
    <col min="39" max="39" width="17.36328125" style="2" customWidth="1"/>
    <col min="40" max="41" width="11.453125" style="2" customWidth="1"/>
    <col min="42" max="42" width="26.81640625" style="2" customWidth="1"/>
    <col min="43" max="43" width="26.81640625" style="12" customWidth="1"/>
    <col min="44" max="44" width="10.453125" style="12" bestFit="1" customWidth="1"/>
    <col min="45" max="45" width="19.90625" style="12" bestFit="1" customWidth="1"/>
    <col min="46" max="46" width="8.36328125" style="12" customWidth="1"/>
    <col min="47" max="47" width="12" style="12" bestFit="1" customWidth="1"/>
    <col min="48" max="48" width="10.453125" style="12" bestFit="1" customWidth="1"/>
    <col min="49" max="49" width="26.81640625" style="12" customWidth="1"/>
    <col min="50" max="50" width="30.08984375" style="12" customWidth="1"/>
    <col min="51" max="51" width="10.453125" style="12" bestFit="1" customWidth="1"/>
    <col min="52" max="52" width="19.90625" style="12" bestFit="1" customWidth="1"/>
    <col min="53" max="53" width="16.1796875" style="12" bestFit="1" customWidth="1"/>
    <col min="54" max="54" width="11.36328125" style="12" bestFit="1" customWidth="1"/>
    <col min="55" max="55" width="15.453125" style="12" bestFit="1" customWidth="1"/>
    <col min="56" max="56" width="12" style="12" bestFit="1" customWidth="1"/>
    <col min="57" max="57" width="8.81640625" style="12" bestFit="1" customWidth="1"/>
    <col min="58" max="60" width="26.81640625" style="12" customWidth="1"/>
    <col min="61" max="66" width="9.81640625" style="12"/>
    <col min="67" max="16384" width="9.81640625" style="2"/>
  </cols>
  <sheetData>
    <row r="1" spans="1:68">
      <c r="A1" s="108" t="s">
        <v>694</v>
      </c>
      <c r="B1" s="546"/>
    </row>
    <row r="2" spans="1:68">
      <c r="AZ2" s="422"/>
      <c r="BC2" s="558"/>
    </row>
    <row r="3" spans="1:68" s="12" customFormat="1">
      <c r="A3" s="81" t="s">
        <v>793</v>
      </c>
      <c r="Z3" s="46"/>
      <c r="AA3" s="46"/>
      <c r="AB3" s="46"/>
      <c r="AC3" s="46"/>
      <c r="AD3" s="46"/>
      <c r="AE3" s="46"/>
      <c r="AF3" s="46"/>
      <c r="AG3" s="46"/>
    </row>
    <row r="4" spans="1:68" s="12" customFormat="1" ht="17.5">
      <c r="A4" s="1089" t="s">
        <v>10</v>
      </c>
      <c r="B4" s="67">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f>+AH4+1</f>
        <v>2023</v>
      </c>
      <c r="AJ4" s="67">
        <f>+AI4+1</f>
        <v>2024</v>
      </c>
      <c r="AK4" s="798">
        <v>2025</v>
      </c>
      <c r="AL4" s="1091" t="s">
        <v>722</v>
      </c>
      <c r="AM4" s="1091" t="s">
        <v>752</v>
      </c>
      <c r="AQ4" s="826">
        <f>VALUE(Modulo!A3)</f>
        <v>2025</v>
      </c>
      <c r="AX4" s="47" t="s">
        <v>687</v>
      </c>
    </row>
    <row r="5" spans="1:68" s="12" customFormat="1" ht="18">
      <c r="A5" s="1090"/>
      <c r="B5" s="74" t="s">
        <v>83</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c r="AJ5" s="76"/>
      <c r="AK5" s="307"/>
      <c r="AL5" s="1092"/>
      <c r="AM5" s="1092"/>
      <c r="AQ5" s="872" t="str">
        <f>"Mix energia elettrica lorda prodotta al netto di pompaggi a accumuli nel "&amp;$AQ$4</f>
        <v>Mix energia elettrica lorda prodotta al netto di pompaggi a accumuli nel 2025</v>
      </c>
      <c r="AR5" s="873"/>
      <c r="AS5" s="873"/>
      <c r="AT5" s="874"/>
      <c r="AU5" s="874"/>
      <c r="AV5" s="875"/>
      <c r="AX5" s="907" t="str">
        <f>"Mix energia elettrica consumata - Anno di riferimento "&amp;$AQ$4</f>
        <v>Mix energia elettrica consumata - Anno di riferimento 2025</v>
      </c>
      <c r="AY5" s="907"/>
      <c r="AZ5" s="907"/>
      <c r="BA5" s="908"/>
      <c r="BB5" s="908"/>
      <c r="BC5" s="908"/>
      <c r="BD5" s="908"/>
      <c r="BE5" s="908"/>
    </row>
    <row r="6" spans="1:68" s="12" customFormat="1" ht="18">
      <c r="A6" s="79" t="s">
        <v>5</v>
      </c>
      <c r="B6" s="82">
        <v>870.83518280391456</v>
      </c>
      <c r="C6" s="82">
        <v>874.92895492601463</v>
      </c>
      <c r="D6" s="82">
        <v>876.14843693107207</v>
      </c>
      <c r="E6" s="82">
        <v>864.40018573437828</v>
      </c>
      <c r="F6" s="82">
        <v>865.14535830484022</v>
      </c>
      <c r="G6" s="82">
        <v>857.00847990155489</v>
      </c>
      <c r="H6" s="82">
        <v>858.04471360388914</v>
      </c>
      <c r="I6" s="82">
        <v>861.0952164418926</v>
      </c>
      <c r="J6" s="82">
        <v>864.52482611405105</v>
      </c>
      <c r="K6" s="82">
        <v>854.27998637042162</v>
      </c>
      <c r="L6" s="82">
        <v>845.83550750588518</v>
      </c>
      <c r="M6" s="82">
        <v>881.59673958796645</v>
      </c>
      <c r="N6" s="82">
        <v>900.63081036089943</v>
      </c>
      <c r="O6" s="82">
        <v>902.42722607642872</v>
      </c>
      <c r="P6" s="82">
        <v>926.50746960605443</v>
      </c>
      <c r="Q6" s="82">
        <v>919.86301040038472</v>
      </c>
      <c r="R6" s="82">
        <v>898.57581152819716</v>
      </c>
      <c r="S6" s="82">
        <v>921.60269241366939</v>
      </c>
      <c r="T6" s="82">
        <v>934.78721528610481</v>
      </c>
      <c r="U6" s="82">
        <v>910.39956186582276</v>
      </c>
      <c r="V6" s="82">
        <v>889.47914790018706</v>
      </c>
      <c r="W6" s="82">
        <v>873.69470071894705</v>
      </c>
      <c r="X6" s="82">
        <v>862.45307697388535</v>
      </c>
      <c r="Y6" s="82">
        <v>877.65336236047153</v>
      </c>
      <c r="Z6" s="82">
        <v>876.4342238953144</v>
      </c>
      <c r="AA6" s="82">
        <v>899.77381817586729</v>
      </c>
      <c r="AB6" s="82">
        <v>895.42888298184539</v>
      </c>
      <c r="AC6" s="82">
        <v>870.03937835503643</v>
      </c>
      <c r="AD6" s="82">
        <v>884.45511791307888</v>
      </c>
      <c r="AE6" s="82">
        <v>908.87712567892527</v>
      </c>
      <c r="AF6" s="82">
        <v>927.18176589332518</v>
      </c>
      <c r="AG6" s="82">
        <v>934.77312959760673</v>
      </c>
      <c r="AH6" s="82">
        <v>932.31341784665949</v>
      </c>
      <c r="AI6" s="82">
        <v>917.12156981121166</v>
      </c>
      <c r="AJ6" s="82">
        <v>862.41226324509489</v>
      </c>
      <c r="AK6" s="755">
        <v>862.41226324509501</v>
      </c>
      <c r="AL6" s="766">
        <f>mm!$S$43</f>
        <v>-3.1199408420779125E-3</v>
      </c>
      <c r="AM6" s="766">
        <f>mm!$P$42</f>
        <v>2.5113078662246498E-2</v>
      </c>
      <c r="AN6" s="382"/>
      <c r="AO6" s="382"/>
      <c r="AP6" s="382"/>
      <c r="AQ6" s="876" t="s">
        <v>624</v>
      </c>
      <c r="AR6" s="909" t="s">
        <v>488</v>
      </c>
      <c r="AS6" s="877" t="s">
        <v>765</v>
      </c>
      <c r="AT6" s="509" t="s">
        <v>116</v>
      </c>
      <c r="AU6" s="877" t="s">
        <v>627</v>
      </c>
      <c r="AV6" s="509" t="s">
        <v>631</v>
      </c>
      <c r="AX6" s="878" t="s">
        <v>624</v>
      </c>
      <c r="AY6" s="877" t="s">
        <v>488</v>
      </c>
      <c r="AZ6" s="877" t="s">
        <v>765</v>
      </c>
      <c r="BA6" s="877" t="s">
        <v>688</v>
      </c>
      <c r="BB6" s="877" t="s">
        <v>761</v>
      </c>
      <c r="BC6" s="877" t="s">
        <v>689</v>
      </c>
      <c r="BD6" s="877" t="s">
        <v>625</v>
      </c>
      <c r="BE6" s="877" t="s">
        <v>674</v>
      </c>
    </row>
    <row r="7" spans="1:68" s="12" customFormat="1">
      <c r="A7" s="79" t="s">
        <v>6</v>
      </c>
      <c r="B7" s="82">
        <v>426.12504754629475</v>
      </c>
      <c r="C7" s="82">
        <v>429.62035167190453</v>
      </c>
      <c r="D7" s="82">
        <v>424.91768746887055</v>
      </c>
      <c r="E7" s="82">
        <v>423.52810298170783</v>
      </c>
      <c r="F7" s="82">
        <v>413.98858188293099</v>
      </c>
      <c r="G7" s="82">
        <v>417.4538139226853</v>
      </c>
      <c r="H7" s="82">
        <v>410.81307796915883</v>
      </c>
      <c r="I7" s="82">
        <v>399.06300365505518</v>
      </c>
      <c r="J7" s="82">
        <v>403.42973581715984</v>
      </c>
      <c r="K7" s="82">
        <v>399.58615035400635</v>
      </c>
      <c r="L7" s="82">
        <v>387.20104793248805</v>
      </c>
      <c r="M7" s="82">
        <v>366.89999637878594</v>
      </c>
      <c r="N7" s="82">
        <v>391.61442874634258</v>
      </c>
      <c r="O7" s="82">
        <v>340.72404128408857</v>
      </c>
      <c r="P7" s="82">
        <v>407.47090636478208</v>
      </c>
      <c r="Q7" s="82">
        <v>400.5362568137042</v>
      </c>
      <c r="R7" s="82">
        <v>389.78025516354779</v>
      </c>
      <c r="S7" s="82">
        <v>387.26486770383264</v>
      </c>
      <c r="T7" s="82">
        <v>391.48799843886928</v>
      </c>
      <c r="U7" s="82">
        <v>391.34801783991605</v>
      </c>
      <c r="V7" s="82">
        <v>391.03106741154966</v>
      </c>
      <c r="W7" s="82">
        <v>384.33883950500382</v>
      </c>
      <c r="X7" s="82">
        <v>387.78837684033346</v>
      </c>
      <c r="Y7" s="82">
        <v>372.78582123158014</v>
      </c>
      <c r="Z7" s="82">
        <v>376.45818709320525</v>
      </c>
      <c r="AA7" s="82">
        <v>367.51640695193237</v>
      </c>
      <c r="AB7" s="82">
        <v>370.33463685932185</v>
      </c>
      <c r="AC7" s="754">
        <v>370.77783966316287</v>
      </c>
      <c r="AD7" s="754">
        <v>369.471765657204</v>
      </c>
      <c r="AE7" s="82">
        <v>369.47090361206028</v>
      </c>
      <c r="AF7" s="82">
        <v>371.67283210895351</v>
      </c>
      <c r="AG7" s="82">
        <v>372.62496473739247</v>
      </c>
      <c r="AH7" s="82">
        <v>369.59996818488389</v>
      </c>
      <c r="AI7" s="82">
        <v>371.88898839494607</v>
      </c>
      <c r="AJ7" s="82">
        <v>370.55863419222806</v>
      </c>
      <c r="AK7" s="755">
        <v>370.558634192228</v>
      </c>
      <c r="AL7" s="766">
        <f>mm!$Z$43</f>
        <v>-3.9967395827485222E-3</v>
      </c>
      <c r="AM7" s="766">
        <f>mm!$W$42</f>
        <v>1.4808741576256529E-2</v>
      </c>
      <c r="AN7" s="382"/>
      <c r="AO7" s="382"/>
      <c r="AP7" s="382"/>
      <c r="AQ7" s="821" t="s">
        <v>272</v>
      </c>
      <c r="AR7" s="821">
        <f t="shared" ref="AR7:AR13" si="0">AT7/$AT$21</f>
        <v>1.22464634773971E-2</v>
      </c>
      <c r="AS7" s="879">
        <f>HLOOKUP($AQ$4,$A$4:$AK$14,3,FALSE)</f>
        <v>862.41226324509501</v>
      </c>
      <c r="AT7" s="800">
        <f>HLOOKUP($AQ$4,'3'!$A$21:$AK$37,2,FALSE)-AT8</f>
        <v>3.3574695387743803</v>
      </c>
      <c r="AU7" s="800">
        <f>AT7*HLOOKUP($AQ$4,$A$20:$AK$30,3,FALSE)</f>
        <v>31.625920396093779</v>
      </c>
      <c r="AV7" s="864">
        <f t="shared" ref="AV7:AV14" si="1">AS7*AT7/1000</f>
        <v>2.8955229037108783</v>
      </c>
      <c r="AW7" s="382"/>
      <c r="AX7" s="865" t="s">
        <v>272</v>
      </c>
      <c r="AY7" s="821">
        <f>HLOOKUP($AQ$4,'3'!$A$44:$AK$63,2,FALSE)/HLOOKUP($AQ$4,'3'!$A$44:$AK$63,18,FALSE)-AY8</f>
        <v>1.102535307018954E-2</v>
      </c>
      <c r="AZ7" s="879">
        <f>HLOOKUP($AQ$4,$A$4:$AK$14,3,FALSE)</f>
        <v>862.41226324509501</v>
      </c>
      <c r="BA7" s="880">
        <f t="shared" ref="BA7:BA14" si="2">AY7*BA$22</f>
        <v>3237.5682649955329</v>
      </c>
      <c r="BB7" s="821">
        <f>HLOOKUP($AQ$4,'3'!$A$68:$AK$86,2,FALSE)</f>
        <v>1.147404935978281</v>
      </c>
      <c r="BC7" s="880">
        <f t="shared" ref="BC7:BC20" si="3">BA7*BB7*(1+$AY$21)</f>
        <v>3950.64092141217</v>
      </c>
      <c r="BD7" s="880">
        <f>BC7*HLOOKUP($AQ$4,$A$20:$AK$30,3,FALSE)/1000</f>
        <v>37.213339942837209</v>
      </c>
      <c r="BE7" s="881">
        <f t="shared" ref="BE7:BE13" si="4">BC7*AZ7/1000</f>
        <v>3407.081178303757</v>
      </c>
    </row>
    <row r="8" spans="1:68" s="12" customFormat="1">
      <c r="A8" s="79" t="s">
        <v>7</v>
      </c>
      <c r="B8" s="82">
        <v>1776.0630317365515</v>
      </c>
      <c r="C8" s="82">
        <v>1739.3892252735184</v>
      </c>
      <c r="D8" s="82">
        <v>1665.2062483095185</v>
      </c>
      <c r="E8" s="82">
        <v>1634.0737438150466</v>
      </c>
      <c r="F8" s="82">
        <v>1711.5103378761421</v>
      </c>
      <c r="G8" s="82">
        <v>1816.7661178023129</v>
      </c>
      <c r="H8" s="82">
        <v>1836.0945563279824</v>
      </c>
      <c r="I8" s="82">
        <v>1638.4165168432207</v>
      </c>
      <c r="J8" s="82">
        <v>1797.5796098453848</v>
      </c>
      <c r="K8" s="82">
        <v>1575.2339919709975</v>
      </c>
      <c r="L8" s="82">
        <v>1463.5788274109657</v>
      </c>
      <c r="M8" s="82">
        <v>1346.1583955329022</v>
      </c>
      <c r="N8" s="82">
        <v>1359.6001289572991</v>
      </c>
      <c r="O8" s="82">
        <v>1243.4171373819943</v>
      </c>
      <c r="P8" s="82">
        <v>1830.1341722530321</v>
      </c>
      <c r="Q8" s="82">
        <v>1906.2853366371291</v>
      </c>
      <c r="R8" s="82">
        <v>1867.0910392222877</v>
      </c>
      <c r="S8" s="82">
        <v>1794.6407810542585</v>
      </c>
      <c r="T8" s="82">
        <v>1690.7157184241219</v>
      </c>
      <c r="U8" s="82">
        <v>1620.2567651019049</v>
      </c>
      <c r="V8" s="82">
        <v>1664.9388174834778</v>
      </c>
      <c r="W8" s="82">
        <v>1629.8630145789484</v>
      </c>
      <c r="X8" s="82">
        <v>1495.8769747691595</v>
      </c>
      <c r="Y8" s="82">
        <v>1606.0201425642711</v>
      </c>
      <c r="Z8" s="82">
        <v>1793.9296662706413</v>
      </c>
      <c r="AA8" s="82">
        <v>1624.8209309418553</v>
      </c>
      <c r="AB8" s="82">
        <v>1639.4677875182267</v>
      </c>
      <c r="AC8" s="82">
        <v>1498.3587269450604</v>
      </c>
      <c r="AD8" s="82">
        <v>1651.213965273753</v>
      </c>
      <c r="AE8" s="82">
        <v>1414.4751904845905</v>
      </c>
      <c r="AF8" s="82">
        <v>1382.3869362837449</v>
      </c>
      <c r="AG8" s="82">
        <v>1745.815487030382</v>
      </c>
      <c r="AH8" s="82">
        <v>1603.1342918827713</v>
      </c>
      <c r="AI8" s="82">
        <v>1382.7474154987133</v>
      </c>
      <c r="AJ8" s="82">
        <v>1326.825564321329</v>
      </c>
      <c r="AK8" s="755">
        <v>1326.825564321329</v>
      </c>
      <c r="AL8" s="766">
        <f>mm!$AG$43</f>
        <v>-1.4532572690289292E-2</v>
      </c>
      <c r="AM8" s="766">
        <f>mm!$AD$42</f>
        <v>9.2631860265898772E-2</v>
      </c>
      <c r="AN8" s="382"/>
      <c r="AO8" s="382"/>
      <c r="AP8" s="382"/>
      <c r="AQ8" s="821" t="s">
        <v>274</v>
      </c>
      <c r="AR8" s="821">
        <f t="shared" si="0"/>
        <v>0</v>
      </c>
      <c r="AS8" s="879">
        <v>1012.49</v>
      </c>
      <c r="AT8" s="800">
        <f>HLOOKUP($AQ$4,'3'!$A$21:$AK$37,3,FALSE)</f>
        <v>0</v>
      </c>
      <c r="AU8" s="800">
        <f>AT8*HLOOKUP($AQ$4,$A$20:$AK$30,3,FALSE)</f>
        <v>0</v>
      </c>
      <c r="AV8" s="864">
        <f t="shared" si="1"/>
        <v>0</v>
      </c>
      <c r="AW8" s="382"/>
      <c r="AX8" s="865" t="s">
        <v>274</v>
      </c>
      <c r="AY8" s="821">
        <f>HLOOKUP($AQ$4,'3'!$A$44:$AK$63,3,FALSE)/HLOOKUP($AQ$4,'3'!$A$44:$AK$63,18,FALSE)</f>
        <v>0</v>
      </c>
      <c r="AZ8" s="879">
        <f>AS8</f>
        <v>1012.49</v>
      </c>
      <c r="BA8" s="880">
        <f t="shared" si="2"/>
        <v>0</v>
      </c>
      <c r="BB8" s="821">
        <v>1.3640000000000001</v>
      </c>
      <c r="BC8" s="880">
        <f t="shared" si="3"/>
        <v>0</v>
      </c>
      <c r="BD8" s="880">
        <f>BC8*HLOOKUP($AQ$4,$A$20:$AK$30,3,FALSE)/1000</f>
        <v>0</v>
      </c>
      <c r="BE8" s="881">
        <f t="shared" si="4"/>
        <v>0</v>
      </c>
    </row>
    <row r="9" spans="1:68" s="12" customFormat="1">
      <c r="A9" s="79" t="s">
        <v>8</v>
      </c>
      <c r="B9" s="82">
        <v>612.33225301481616</v>
      </c>
      <c r="C9" s="82">
        <v>611.70151081122935</v>
      </c>
      <c r="D9" s="82">
        <v>606.37380925863977</v>
      </c>
      <c r="E9" s="82">
        <v>604.61631453346911</v>
      </c>
      <c r="F9" s="82">
        <v>603.48385802592486</v>
      </c>
      <c r="G9" s="82">
        <v>603.81602299217047</v>
      </c>
      <c r="H9" s="82">
        <v>605.33589362763132</v>
      </c>
      <c r="I9" s="82">
        <v>606.21896638670694</v>
      </c>
      <c r="J9" s="82">
        <v>604.79731154875515</v>
      </c>
      <c r="K9" s="82">
        <v>611.2287337191359</v>
      </c>
      <c r="L9" s="82">
        <v>635.56439793944844</v>
      </c>
      <c r="M9" s="82">
        <v>640.84648859544075</v>
      </c>
      <c r="N9" s="82">
        <v>602.90748209845037</v>
      </c>
      <c r="O9" s="82">
        <v>608.46173927193229</v>
      </c>
      <c r="P9" s="82">
        <v>681.14008936078596</v>
      </c>
      <c r="Q9" s="82">
        <v>675.12940388539357</v>
      </c>
      <c r="R9" s="82">
        <v>704.80077272103563</v>
      </c>
      <c r="S9" s="82">
        <v>712.37587403352256</v>
      </c>
      <c r="T9" s="82">
        <v>697.50213522700176</v>
      </c>
      <c r="U9" s="82">
        <v>664.70746118338116</v>
      </c>
      <c r="V9" s="82">
        <v>691.08248870890748</v>
      </c>
      <c r="W9" s="82">
        <v>621.24716692697336</v>
      </c>
      <c r="X9" s="82">
        <v>637.77602239044882</v>
      </c>
      <c r="Y9" s="82">
        <v>565.12038940152206</v>
      </c>
      <c r="Z9" s="82">
        <v>583.61797920133347</v>
      </c>
      <c r="AA9" s="82">
        <v>561.75420141910467</v>
      </c>
      <c r="AB9" s="82">
        <v>547.63710139238685</v>
      </c>
      <c r="AC9" s="82">
        <v>546.99833065966607</v>
      </c>
      <c r="AD9" s="82">
        <v>543.19532532520293</v>
      </c>
      <c r="AE9" s="82">
        <v>535.24302028429724</v>
      </c>
      <c r="AF9" s="82">
        <v>516.95116729375934</v>
      </c>
      <c r="AG9" s="82">
        <v>521.23430915876861</v>
      </c>
      <c r="AH9" s="82">
        <v>536.59845075152919</v>
      </c>
      <c r="AI9" s="82">
        <v>537.96976351225942</v>
      </c>
      <c r="AJ9" s="82">
        <v>497.18780223654159</v>
      </c>
      <c r="AK9" s="755">
        <v>497.18780223654147</v>
      </c>
      <c r="AL9" s="766">
        <f>mm!$AN$43</f>
        <v>-1.4956356420481086E-2</v>
      </c>
      <c r="AM9" s="766">
        <f>mm!$AK$42</f>
        <v>6.2196357868618345E-2</v>
      </c>
      <c r="AN9" s="382"/>
      <c r="AO9" s="382"/>
      <c r="AP9" s="382"/>
      <c r="AQ9" s="821" t="s">
        <v>6</v>
      </c>
      <c r="AR9" s="821">
        <f t="shared" si="0"/>
        <v>0.46272537659707907</v>
      </c>
      <c r="AS9" s="879">
        <f>HLOOKUP($AQ$4,$A$4:$AK$14,4,FALSE)</f>
        <v>370.558634192228</v>
      </c>
      <c r="AT9" s="800">
        <f>HLOOKUP($AQ$4,'3'!$A$21:$AK$37,4,FALSE)</f>
        <v>126.86000000000003</v>
      </c>
      <c r="AU9" s="800">
        <f>AT9*HLOOKUP($AQ$4,$A$20:$AK$30,4,FALSE)</f>
        <v>795.56433849747452</v>
      </c>
      <c r="AV9" s="864">
        <f t="shared" si="1"/>
        <v>47.009068333626054</v>
      </c>
      <c r="AW9" s="382"/>
      <c r="AX9" s="865" t="s">
        <v>6</v>
      </c>
      <c r="AY9" s="821">
        <f>HLOOKUP($AQ$4,'3'!$A$44:$AK$63,4,FALSE)/HLOOKUP($AQ$4,'3'!$A$44:$AK$63,18,FALSE)</f>
        <v>0.46611928887545134</v>
      </c>
      <c r="AZ9" s="879">
        <f>HLOOKUP($AQ$4,$A$4:$AK$14,4,FALSE)</f>
        <v>370.558634192228</v>
      </c>
      <c r="BA9" s="880">
        <f t="shared" si="2"/>
        <v>136874.80190051667</v>
      </c>
      <c r="BB9" s="821">
        <f>HLOOKUP($AQ$4,'3'!$A$68:$AK$86,4,FALSE)</f>
        <v>1.0254742758590709</v>
      </c>
      <c r="BC9" s="880">
        <f t="shared" si="3"/>
        <v>149272.62972973971</v>
      </c>
      <c r="BD9" s="880">
        <f>BC9*HLOOKUP($AQ$4,$A$20:$AK$30,4,FALSE)/1000</f>
        <v>936.11840553932518</v>
      </c>
      <c r="BE9" s="881">
        <f t="shared" si="4"/>
        <v>55314.261794934522</v>
      </c>
    </row>
    <row r="10" spans="1:68" s="12" customFormat="1">
      <c r="A10" s="79" t="s">
        <v>749</v>
      </c>
      <c r="B10" s="82">
        <v>916.6516920750588</v>
      </c>
      <c r="C10" s="82">
        <v>524.11632428423115</v>
      </c>
      <c r="D10" s="82">
        <v>491.55385338538593</v>
      </c>
      <c r="E10" s="82">
        <v>437.54232070241852</v>
      </c>
      <c r="F10" s="82">
        <v>396.17867204191697</v>
      </c>
      <c r="G10" s="82">
        <v>417.20980289281147</v>
      </c>
      <c r="H10" s="82">
        <v>325.79381323547125</v>
      </c>
      <c r="I10" s="82">
        <v>273.02066691958208</v>
      </c>
      <c r="J10" s="82">
        <v>269.43643175652591</v>
      </c>
      <c r="K10" s="82">
        <v>317.76004743875012</v>
      </c>
      <c r="L10" s="82">
        <v>211.02420751016243</v>
      </c>
      <c r="M10" s="82">
        <v>221.78145788588139</v>
      </c>
      <c r="N10" s="82">
        <v>163.50903033084705</v>
      </c>
      <c r="O10" s="82">
        <v>340.96277514944722</v>
      </c>
      <c r="P10" s="82">
        <v>376.34073993949738</v>
      </c>
      <c r="Q10" s="82">
        <v>317.12613313443995</v>
      </c>
      <c r="R10" s="82">
        <v>318.11092539433054</v>
      </c>
      <c r="S10" s="82">
        <v>445.09395465908955</v>
      </c>
      <c r="T10" s="82">
        <v>356.43523817415553</v>
      </c>
      <c r="U10" s="82">
        <v>289.47363733971213</v>
      </c>
      <c r="V10" s="82">
        <v>328.85445751297351</v>
      </c>
      <c r="W10" s="82">
        <v>286.90120177760105</v>
      </c>
      <c r="X10" s="82">
        <v>262.74072767413492</v>
      </c>
      <c r="Y10" s="82">
        <v>194.54606868526571</v>
      </c>
      <c r="Z10" s="82">
        <v>183.62156330786357</v>
      </c>
      <c r="AA10" s="82">
        <v>176.90253325274094</v>
      </c>
      <c r="AB10" s="82">
        <v>183.294886922594</v>
      </c>
      <c r="AC10" s="82">
        <v>177.58834984887446</v>
      </c>
      <c r="AD10" s="82">
        <v>179.4885777542064</v>
      </c>
      <c r="AE10" s="82">
        <v>181.9174386739914</v>
      </c>
      <c r="AF10" s="82">
        <v>176.12107418379031</v>
      </c>
      <c r="AG10" s="82">
        <v>176.99569679563109</v>
      </c>
      <c r="AH10" s="82">
        <v>193.30927917316615</v>
      </c>
      <c r="AI10" s="82">
        <v>217.27750481068546</v>
      </c>
      <c r="AJ10" s="82">
        <v>188.80209980681815</v>
      </c>
      <c r="AK10" s="755">
        <v>188.80206614721541</v>
      </c>
      <c r="AL10" s="766">
        <f>mm!$AU$43</f>
        <v>-1.7124793043060103E-2</v>
      </c>
      <c r="AM10" s="766">
        <f>mm!$AR$42</f>
        <v>0.17669965771506843</v>
      </c>
      <c r="AN10" s="382"/>
      <c r="AO10" s="382"/>
      <c r="AP10" s="382"/>
      <c r="AQ10" s="821" t="s">
        <v>7</v>
      </c>
      <c r="AR10" s="821">
        <f t="shared" si="0"/>
        <v>2.6587639572518027E-3</v>
      </c>
      <c r="AS10" s="879">
        <f>HLOOKUP($AQ$4,$A$4:$AK$14,5,FALSE)</f>
        <v>1326.825564321329</v>
      </c>
      <c r="AT10" s="800">
        <f>HLOOKUP($AQ$4,'3'!$A$21:$AK$37,5,FALSE)</f>
        <v>0.72892219159759153</v>
      </c>
      <c r="AU10" s="800">
        <f>AT10*HLOOKUP($AQ$4,$A$20:$AK$30,5,FALSE)</f>
        <v>6.4437787969010811</v>
      </c>
      <c r="AV10" s="864">
        <f t="shared" si="1"/>
        <v>0.9671525982128143</v>
      </c>
      <c r="AW10" s="382"/>
      <c r="AX10" s="865" t="s">
        <v>7</v>
      </c>
      <c r="AY10" s="821">
        <f>HLOOKUP($AQ$4,'3'!$A$44:$AK$63,5,FALSE)/HLOOKUP($AQ$4,'3'!$A$44:$AK$63,18,FALSE)</f>
        <v>2.5844380091465916E-3</v>
      </c>
      <c r="AZ10" s="879">
        <f>HLOOKUP($AQ$4,$A$4:$AK$14,5,FALSE)</f>
        <v>1326.825564321329</v>
      </c>
      <c r="BA10" s="880">
        <f t="shared" si="2"/>
        <v>758.91397109855961</v>
      </c>
      <c r="BB10" s="821">
        <f>HLOOKUP($AQ$4,'3'!$A$68:$AK$86,5,FALSE)</f>
        <v>1.0627036968570853</v>
      </c>
      <c r="BC10" s="880">
        <f t="shared" si="3"/>
        <v>857.70244685588534</v>
      </c>
      <c r="BD10" s="880">
        <f>BC10*HLOOKUP($AQ$4,$A$20:$AK$30,5,FALSE)/1000</f>
        <v>7.5822150907312169</v>
      </c>
      <c r="BE10" s="881">
        <f t="shared" si="4"/>
        <v>1138.0215330693447</v>
      </c>
    </row>
    <row r="11" spans="1:68" s="12" customFormat="1">
      <c r="A11" s="79" t="s">
        <v>751</v>
      </c>
      <c r="B11" s="82">
        <v>1833.3033841501176</v>
      </c>
      <c r="C11" s="82">
        <v>983.28191647127699</v>
      </c>
      <c r="D11" s="82">
        <v>983.10770677077187</v>
      </c>
      <c r="E11" s="82">
        <v>875.08464140483704</v>
      </c>
      <c r="F11" s="82">
        <v>1210.1302124971669</v>
      </c>
      <c r="G11" s="82">
        <v>1884.9548585981836</v>
      </c>
      <c r="H11" s="82">
        <v>1630.3164351320113</v>
      </c>
      <c r="I11" s="82">
        <v>1755.3616598192932</v>
      </c>
      <c r="J11" s="82">
        <v>1409.5358128409337</v>
      </c>
      <c r="K11" s="82">
        <v>1770.4051542813002</v>
      </c>
      <c r="L11" s="82">
        <v>997.97791034673412</v>
      </c>
      <c r="M11" s="82">
        <v>911.75842692959532</v>
      </c>
      <c r="N11" s="82">
        <v>715.68456066264173</v>
      </c>
      <c r="O11" s="82">
        <v>1690.9826687416155</v>
      </c>
      <c r="P11" s="82">
        <v>1863.4899317829795</v>
      </c>
      <c r="Q11" s="82">
        <v>1490.1550840395191</v>
      </c>
      <c r="R11" s="82">
        <v>1471.2548497665796</v>
      </c>
      <c r="S11" s="82">
        <v>2046.3815878296209</v>
      </c>
      <c r="T11" s="82">
        <v>1607.8651280028391</v>
      </c>
      <c r="U11" s="82">
        <v>1523.6735407225917</v>
      </c>
      <c r="V11" s="82">
        <v>1776.3301888816188</v>
      </c>
      <c r="W11" s="82">
        <v>1635.4924702244148</v>
      </c>
      <c r="X11" s="82">
        <v>1710.661406639191</v>
      </c>
      <c r="Y11" s="82">
        <v>1644.6643620579669</v>
      </c>
      <c r="Z11" s="82">
        <v>1586.7827352181505</v>
      </c>
      <c r="AA11" s="82">
        <v>1590.0608793030674</v>
      </c>
      <c r="AB11" s="82">
        <v>1611.8541258735404</v>
      </c>
      <c r="AC11" s="82">
        <v>1570.2526208586301</v>
      </c>
      <c r="AD11" s="82">
        <v>1584.0604622578774</v>
      </c>
      <c r="AE11" s="82">
        <v>1647.3993874722655</v>
      </c>
      <c r="AF11" s="82">
        <v>1615.5511777705419</v>
      </c>
      <c r="AG11" s="82">
        <v>1595.5872747041751</v>
      </c>
      <c r="AH11" s="82">
        <v>1614.518837669845</v>
      </c>
      <c r="AI11" s="82">
        <v>1665.9397853433486</v>
      </c>
      <c r="AJ11" s="82">
        <v>1592.5388647610607</v>
      </c>
      <c r="AK11" s="755">
        <v>1577.9476948502547</v>
      </c>
      <c r="AL11" s="766">
        <f>mm!$BB$43</f>
        <v>9.3159095455852721E-3</v>
      </c>
      <c r="AM11" s="766">
        <f>mm!$AY$42</f>
        <v>5.6365639193211615E-2</v>
      </c>
      <c r="AN11" s="382"/>
      <c r="AO11" s="382"/>
      <c r="AP11" s="382"/>
      <c r="AQ11" s="821" t="s">
        <v>8</v>
      </c>
      <c r="AR11" s="821">
        <f t="shared" si="0"/>
        <v>2.8302966787978563E-2</v>
      </c>
      <c r="AS11" s="879">
        <f>HLOOKUP($AQ$4,$A$4:$AK$14,6,FALSE)</f>
        <v>497.18780223654147</v>
      </c>
      <c r="AT11" s="800">
        <f>HLOOKUP($AQ$4,'3'!$A$21:$AK$37,6,FALSE)</f>
        <v>7.7594930996175373</v>
      </c>
      <c r="AU11" s="800">
        <f>AT11*HLOOKUP($AQ$4,$A$20:$AK$30,6,FALSE)</f>
        <v>50.557269502406875</v>
      </c>
      <c r="AV11" s="864">
        <f t="shared" si="1"/>
        <v>3.8579253206684525</v>
      </c>
      <c r="AW11" s="382"/>
      <c r="AX11" s="865" t="s">
        <v>8</v>
      </c>
      <c r="AY11" s="821">
        <f>HLOOKUP($AQ$4,'3'!$A$44:$AK$63,6,FALSE)/HLOOKUP($AQ$4,'3'!$A$44:$AK$63,18,FALSE)</f>
        <v>2.832455274042921E-2</v>
      </c>
      <c r="AZ11" s="879">
        <f>HLOOKUP($AQ$4,$A$4:$AK$14,6,FALSE)</f>
        <v>497.18780223654147</v>
      </c>
      <c r="BA11" s="880">
        <f>AY11*BA$22</f>
        <v>8317.4364112250041</v>
      </c>
      <c r="BB11" s="821">
        <f>HLOOKUP($AQ$4,'3'!$A$68:$AK$86,6,FALSE)</f>
        <v>1.0322084952508495</v>
      </c>
      <c r="BC11" s="880">
        <f t="shared" si="3"/>
        <v>9130.3794761916961</v>
      </c>
      <c r="BD11" s="880">
        <f>BC11*HLOOKUP($AQ$4,$A$20:$AK$30,6,FALSE)/1000</f>
        <v>59.489331314673187</v>
      </c>
      <c r="BE11" s="881">
        <f t="shared" si="4"/>
        <v>4539.5133053533746</v>
      </c>
    </row>
    <row r="12" spans="1:68" s="12" customFormat="1">
      <c r="A12" s="80" t="s">
        <v>614</v>
      </c>
      <c r="B12" s="104">
        <v>641.74869793512244</v>
      </c>
      <c r="C12" s="104">
        <v>640.60938767225525</v>
      </c>
      <c r="D12" s="104">
        <v>623.20058347924908</v>
      </c>
      <c r="E12" s="104">
        <v>607.3814162426354</v>
      </c>
      <c r="F12" s="104">
        <v>607.04242700909947</v>
      </c>
      <c r="G12" s="104">
        <v>610.10431732806762</v>
      </c>
      <c r="H12" s="104">
        <v>602.39044540472401</v>
      </c>
      <c r="I12" s="104">
        <v>587.45108075099927</v>
      </c>
      <c r="J12" s="104">
        <v>587.07741786568204</v>
      </c>
      <c r="K12" s="104">
        <v>566.72536451599149</v>
      </c>
      <c r="L12" s="104">
        <v>556.46192751543117</v>
      </c>
      <c r="M12" s="104">
        <v>554.44406154261401</v>
      </c>
      <c r="N12" s="104">
        <v>565.57297249393037</v>
      </c>
      <c r="O12" s="104">
        <v>532.79561199459158</v>
      </c>
      <c r="P12" s="104">
        <v>597.63099970252586</v>
      </c>
      <c r="Q12" s="104">
        <v>571.94377387630698</v>
      </c>
      <c r="R12" s="104">
        <v>562.43342162720228</v>
      </c>
      <c r="S12" s="104">
        <v>549.07320412415152</v>
      </c>
      <c r="T12" s="104">
        <v>542.90262198517496</v>
      </c>
      <c r="U12" s="104">
        <v>528.42693514697487</v>
      </c>
      <c r="V12" s="104">
        <v>526.3129167115593</v>
      </c>
      <c r="W12" s="104">
        <v>523.27715367380472</v>
      </c>
      <c r="X12" s="104">
        <v>532.20039547814781</v>
      </c>
      <c r="Y12" s="104">
        <v>508.5175238657676</v>
      </c>
      <c r="Z12" s="104">
        <v>516.53669026369857</v>
      </c>
      <c r="AA12" s="104">
        <v>492.30278179801905</v>
      </c>
      <c r="AB12" s="104">
        <v>470.66104108873679</v>
      </c>
      <c r="AC12" s="104">
        <v>450.18648326345703</v>
      </c>
      <c r="AD12" s="104">
        <v>449.51733448035259</v>
      </c>
      <c r="AE12" s="104">
        <v>420.57379487934037</v>
      </c>
      <c r="AF12" s="104">
        <v>405.19183200859817</v>
      </c>
      <c r="AG12" s="104">
        <v>410.84231967688788</v>
      </c>
      <c r="AH12" s="104">
        <v>435.08334003427979</v>
      </c>
      <c r="AI12" s="104">
        <v>414.90312101526052</v>
      </c>
      <c r="AJ12" s="104">
        <v>370.69254703068754</v>
      </c>
      <c r="AK12" s="756">
        <v>366.46138635452036</v>
      </c>
      <c r="AL12" s="767">
        <f>mm!$BI$43</f>
        <v>-2.192352113868495E-2</v>
      </c>
      <c r="AM12" s="767">
        <f>mm!$BF$42</f>
        <v>5.760547239804098E-2</v>
      </c>
      <c r="AN12" s="382"/>
      <c r="AO12" s="382"/>
      <c r="AP12" s="382"/>
      <c r="AQ12" s="79" t="s">
        <v>751</v>
      </c>
      <c r="AR12" s="821">
        <f t="shared" si="0"/>
        <v>8.9814481248576168E-3</v>
      </c>
      <c r="AS12" s="879">
        <f>HLOOKUP($AQ$4,$A$4:$AK$14,8,FALSE)</f>
        <v>1577.9476948502547</v>
      </c>
      <c r="AT12" s="800">
        <f>HLOOKUP($AQ$4,'3'!$A$21:$AK$37,8,FALSE)</f>
        <v>2.4623384986978252</v>
      </c>
      <c r="AU12" s="800">
        <f>AT12*HLOOKUP($AQ$4,$A$20:$AK$30,8,FALSE)</f>
        <v>30.920847864633711</v>
      </c>
      <c r="AV12" s="864">
        <f t="shared" si="1"/>
        <v>3.8854413579612701</v>
      </c>
      <c r="AW12" s="382"/>
      <c r="AX12" s="79" t="s">
        <v>751</v>
      </c>
      <c r="AY12" s="821">
        <f>HLOOKUP($AQ$4,'3'!$A$44:$AK$63,8,FALSE)/HLOOKUP($AQ$4,'3'!$A$44:$AK$63,18,FALSE)</f>
        <v>7.8355184995580422E-3</v>
      </c>
      <c r="AZ12" s="879">
        <f>HLOOKUP($AQ$4,$A$4:$AK$14,8,FALSE)</f>
        <v>1577.9476948502547</v>
      </c>
      <c r="BA12" s="880">
        <f t="shared" si="2"/>
        <v>2300.8810577272898</v>
      </c>
      <c r="BB12" s="821">
        <f>HLOOKUP($AQ$4,'3'!$A$68:$AK$86,8,FALSE)</f>
        <v>1.1840693889291054</v>
      </c>
      <c r="BC12" s="880">
        <f t="shared" si="3"/>
        <v>2897.3651504446116</v>
      </c>
      <c r="BD12" s="880">
        <f>BC12*HLOOKUP($AQ$4,$A$20:$AK$30,8,FALSE)/1000</f>
        <v>36.383700726998882</v>
      </c>
      <c r="BE12" s="881">
        <f t="shared" si="4"/>
        <v>4571.8906602835368</v>
      </c>
    </row>
    <row r="13" spans="1:68">
      <c r="A13" s="79" t="s">
        <v>841</v>
      </c>
      <c r="B13" s="82">
        <v>612.33225301481616</v>
      </c>
      <c r="C13" s="82">
        <v>611.70151081122935</v>
      </c>
      <c r="D13" s="82">
        <v>606.37380925863977</v>
      </c>
      <c r="E13" s="82">
        <v>604.61631453346911</v>
      </c>
      <c r="F13" s="82">
        <v>603.48385802592486</v>
      </c>
      <c r="G13" s="82">
        <v>603.81602299217047</v>
      </c>
      <c r="H13" s="82">
        <v>605.33589362763132</v>
      </c>
      <c r="I13" s="82">
        <v>606.21896638670694</v>
      </c>
      <c r="J13" s="82">
        <v>604.79731154875515</v>
      </c>
      <c r="K13" s="82">
        <v>611.2287337191359</v>
      </c>
      <c r="L13" s="82">
        <v>633.07698938102794</v>
      </c>
      <c r="M13" s="82">
        <v>646.36227102623684</v>
      </c>
      <c r="N13" s="82">
        <v>606.70441864413749</v>
      </c>
      <c r="O13" s="82">
        <v>616.00167944880309</v>
      </c>
      <c r="P13" s="82">
        <v>698.88089245519848</v>
      </c>
      <c r="Q13" s="82">
        <v>693.71088878781973</v>
      </c>
      <c r="R13" s="82">
        <v>706.13538042020821</v>
      </c>
      <c r="S13" s="82">
        <v>723.41144388655789</v>
      </c>
      <c r="T13" s="82">
        <v>713.4351937364969</v>
      </c>
      <c r="U13" s="82">
        <v>731.88009586148451</v>
      </c>
      <c r="V13" s="82">
        <v>678.30262613244281</v>
      </c>
      <c r="W13" s="82">
        <v>661.28697740645339</v>
      </c>
      <c r="X13" s="82">
        <v>723.69720986405696</v>
      </c>
      <c r="Y13" s="82">
        <v>626.69909243354834</v>
      </c>
      <c r="Z13" s="82">
        <v>688.74475782906984</v>
      </c>
      <c r="AA13" s="82">
        <v>616.9859015481336</v>
      </c>
      <c r="AB13" s="82">
        <v>565.62539343130481</v>
      </c>
      <c r="AC13" s="82">
        <v>566.91165923634912</v>
      </c>
      <c r="AD13" s="82">
        <v>519.37285205413082</v>
      </c>
      <c r="AE13" s="82">
        <v>522.77184670124836</v>
      </c>
      <c r="AF13" s="82">
        <v>509.30334397004083</v>
      </c>
      <c r="AG13" s="82">
        <v>589.96187093270316</v>
      </c>
      <c r="AH13" s="82">
        <v>578.82792367844831</v>
      </c>
      <c r="AI13" s="82">
        <v>553.8110108134872</v>
      </c>
      <c r="AJ13" s="82">
        <v>476.57116503399055</v>
      </c>
      <c r="AK13" s="959">
        <v>476.57682278436658</v>
      </c>
      <c r="AL13" s="766">
        <f>mm!$BR$43</f>
        <v>-1.6627743136985791E-2</v>
      </c>
      <c r="AM13" s="766">
        <f>mm!$BO$42</f>
        <v>8.6463819139411022E-2</v>
      </c>
      <c r="AN13" s="999"/>
      <c r="AO13" s="382"/>
      <c r="AP13" s="382"/>
      <c r="AQ13" s="821" t="s">
        <v>545</v>
      </c>
      <c r="AR13" s="821">
        <f t="shared" si="0"/>
        <v>2.4205459978671553E-3</v>
      </c>
      <c r="AS13" s="800">
        <v>0</v>
      </c>
      <c r="AT13" s="800">
        <f>HLOOKUP($AQ$4,'3'!$A$21:$AK$37,7,FALSE)</f>
        <v>0.66361276216932197</v>
      </c>
      <c r="AU13" s="800">
        <v>0</v>
      </c>
      <c r="AV13" s="800">
        <f t="shared" si="1"/>
        <v>0</v>
      </c>
      <c r="AW13" s="382"/>
      <c r="AX13" s="865" t="s">
        <v>545</v>
      </c>
      <c r="AY13" s="821">
        <f>HLOOKUP($AQ$4,'3'!$A$44:$AK$63,7,FALSE)/HLOOKUP($AQ$4,'3'!$A$44:$AK$63,18,FALSE)</f>
        <v>2.2174649517293253E-3</v>
      </c>
      <c r="AZ13" s="882">
        <v>0</v>
      </c>
      <c r="BA13" s="880">
        <f t="shared" si="2"/>
        <v>651.15322028732953</v>
      </c>
      <c r="BB13" s="821">
        <f>HLOOKUP($AQ$4,'3'!$A$68:$AK$86,7,FALSE)</f>
        <v>1.1276000952196361</v>
      </c>
      <c r="BC13" s="880">
        <f t="shared" si="3"/>
        <v>780.85465971331371</v>
      </c>
      <c r="BD13" s="883">
        <v>0</v>
      </c>
      <c r="BE13" s="883">
        <f t="shared" si="4"/>
        <v>0</v>
      </c>
      <c r="BO13" s="12"/>
      <c r="BP13" s="12"/>
    </row>
    <row r="14" spans="1:68" ht="18.5">
      <c r="A14" s="79" t="s">
        <v>830</v>
      </c>
      <c r="B14" s="82">
        <v>927.00177120091689</v>
      </c>
      <c r="C14" s="82">
        <v>907.91392862791383</v>
      </c>
      <c r="D14" s="82">
        <v>807.39517424770531</v>
      </c>
      <c r="E14" s="82">
        <v>832.49554054412874</v>
      </c>
      <c r="F14" s="82">
        <v>823.04826996704446</v>
      </c>
      <c r="G14" s="82">
        <v>800.2480227348367</v>
      </c>
      <c r="H14" s="82">
        <v>703.52587554513514</v>
      </c>
      <c r="I14" s="82">
        <v>717.86712744658462</v>
      </c>
      <c r="J14" s="82">
        <v>726.95962506867966</v>
      </c>
      <c r="K14" s="82">
        <v>637.70485494774016</v>
      </c>
      <c r="L14" s="82">
        <v>580.33066214183395</v>
      </c>
      <c r="M14" s="82">
        <v>562.00885828423839</v>
      </c>
      <c r="N14" s="82">
        <v>539.79276496253829</v>
      </c>
      <c r="O14" s="82">
        <v>555.67853767720158</v>
      </c>
      <c r="P14" s="82">
        <v>713.486928606574</v>
      </c>
      <c r="Q14" s="82">
        <v>757.53777996045164</v>
      </c>
      <c r="R14" s="82">
        <v>817.19160858970849</v>
      </c>
      <c r="S14" s="82">
        <v>829.46748282204783</v>
      </c>
      <c r="T14" s="82">
        <v>781.06983644463719</v>
      </c>
      <c r="U14" s="82">
        <v>698.91236642799981</v>
      </c>
      <c r="V14" s="82">
        <v>876.83309436190905</v>
      </c>
      <c r="W14" s="82">
        <v>884.35918816637638</v>
      </c>
      <c r="X14" s="82">
        <v>837.08002114387205</v>
      </c>
      <c r="Y14" s="82">
        <v>791.89274972394253</v>
      </c>
      <c r="Z14" s="82">
        <v>831.64573564172849</v>
      </c>
      <c r="AA14" s="82">
        <v>795.83431996527554</v>
      </c>
      <c r="AB14" s="82">
        <v>814.96455054368664</v>
      </c>
      <c r="AC14" s="82">
        <v>778.36355542980914</v>
      </c>
      <c r="AD14" s="82">
        <v>819.43832212653774</v>
      </c>
      <c r="AE14" s="82">
        <v>787.31711903079804</v>
      </c>
      <c r="AF14" s="82">
        <v>729.15822032630717</v>
      </c>
      <c r="AG14" s="82">
        <v>819.9996135641444</v>
      </c>
      <c r="AH14" s="82">
        <v>721.66447000041308</v>
      </c>
      <c r="AI14" s="82">
        <v>738.50643615099534</v>
      </c>
      <c r="AJ14" s="82">
        <v>684.79537230176857</v>
      </c>
      <c r="AK14" s="755">
        <v>683.78407959186154</v>
      </c>
      <c r="AL14" s="766">
        <f>mm!$CA$43</f>
        <v>-1.7272528461403224E-3</v>
      </c>
      <c r="AM14" s="766">
        <f>mm!$BX$42</f>
        <v>8.271432054584206E-2</v>
      </c>
      <c r="AQ14" s="825" t="s">
        <v>613</v>
      </c>
      <c r="AR14" s="829">
        <v>0</v>
      </c>
      <c r="AS14" s="804">
        <v>0</v>
      </c>
      <c r="AT14" s="804">
        <v>0</v>
      </c>
      <c r="AU14" s="804">
        <f>AT14*3.6/0.34</f>
        <v>0</v>
      </c>
      <c r="AV14" s="804">
        <f t="shared" si="1"/>
        <v>0</v>
      </c>
      <c r="AX14" s="825" t="s">
        <v>613</v>
      </c>
      <c r="AY14" s="829">
        <v>0</v>
      </c>
      <c r="AZ14" s="863">
        <v>0</v>
      </c>
      <c r="BA14" s="891">
        <f t="shared" si="2"/>
        <v>0</v>
      </c>
      <c r="BB14" s="829">
        <v>1.0534970340717804</v>
      </c>
      <c r="BC14" s="891">
        <f t="shared" si="3"/>
        <v>0</v>
      </c>
      <c r="BD14" s="891">
        <f>BC14*3.6/0.34/1000</f>
        <v>0</v>
      </c>
      <c r="BE14" s="891">
        <f t="shared" ref="BE14:BE20" si="5">BC14*AZ14/1000</f>
        <v>0</v>
      </c>
    </row>
    <row r="15" spans="1:68" ht="16.5">
      <c r="A15" s="967" t="s">
        <v>837</v>
      </c>
      <c r="AQ15" s="866" t="s">
        <v>706</v>
      </c>
      <c r="AR15" s="867">
        <f>SUM(AR16:AR20)</f>
        <v>0.48266443505756879</v>
      </c>
      <c r="AS15" s="884">
        <v>0</v>
      </c>
      <c r="AT15" s="900">
        <f>SUM(AT16:AT20)</f>
        <v>132.32645825845918</v>
      </c>
      <c r="AU15" s="900">
        <f>SUM(AU16:AU20)</f>
        <v>768.48592457509153</v>
      </c>
      <c r="AV15" s="866"/>
      <c r="AW15" s="382"/>
      <c r="AX15" s="866" t="s">
        <v>706</v>
      </c>
      <c r="AY15" s="867">
        <f>SUM(AY16:AY20)</f>
        <v>0.481893383853496</v>
      </c>
      <c r="AZ15" s="884">
        <v>0</v>
      </c>
      <c r="BA15" s="868">
        <f>SUM(BA16:BA20)</f>
        <v>141506.82674224494</v>
      </c>
      <c r="BB15" s="885">
        <f>SUMPRODUCT(BB16:BB20,AY16:AY20)/SUM(AY16:AY20)</f>
        <v>1.0346485742844735</v>
      </c>
      <c r="BC15" s="886">
        <f t="shared" si="3"/>
        <v>155704.85895524855</v>
      </c>
      <c r="BD15" s="868">
        <f>SUM(BD16:BD20)</f>
        <v>904.25598984403518</v>
      </c>
      <c r="BE15" s="886">
        <f t="shared" si="5"/>
        <v>0</v>
      </c>
    </row>
    <row r="16" spans="1:68" ht="17">
      <c r="A16" s="44" t="s">
        <v>715</v>
      </c>
      <c r="AQ16" s="869" t="s">
        <v>147</v>
      </c>
      <c r="AR16" s="822">
        <f>AT16/$AT$21</f>
        <v>6.6082642296619115E-2</v>
      </c>
      <c r="AS16" s="801">
        <v>0</v>
      </c>
      <c r="AT16" s="801">
        <f>HLOOKUP($AQ$4,'3'!$A$21:$AK$37,14,FALSE)</f>
        <v>18.117104498137053</v>
      </c>
      <c r="AU16" s="801">
        <f>AT16*HLOOKUP($AQ$4,$A$20:$AK$30,11,FALSE)</f>
        <v>173.97126978504431</v>
      </c>
      <c r="AV16" s="801">
        <f t="shared" ref="AV16:AV21" si="6">AS16*AT16/1000</f>
        <v>0</v>
      </c>
      <c r="AW16" s="382"/>
      <c r="AX16" s="869" t="s">
        <v>629</v>
      </c>
      <c r="AY16" s="822">
        <f>HLOOKUP($AQ$4,'3'!$A$44:$AK$63,15,FALSE)/HLOOKUP($AQ$4,'3'!$A$44:$AK$63,18,FALSE)</f>
        <v>6.2203498922469395E-2</v>
      </c>
      <c r="AZ16" s="887">
        <v>0</v>
      </c>
      <c r="BA16" s="888">
        <f>AY16*BA$22</f>
        <v>18265.90702365676</v>
      </c>
      <c r="BB16" s="822">
        <f>HLOOKUP($AQ$4,'3'!$A$68:$AK$86,14,FALSE)</f>
        <v>1.0974155601019102</v>
      </c>
      <c r="BC16" s="888">
        <f t="shared" si="3"/>
        <v>21317.892413096433</v>
      </c>
      <c r="BD16" s="888">
        <f>BC16*HLOOKUP($AQ$4,$A$20:$AK$30,11,FALSE)/1000</f>
        <v>204.70714912687663</v>
      </c>
      <c r="BE16" s="888">
        <f t="shared" si="5"/>
        <v>0</v>
      </c>
    </row>
    <row r="17" spans="1:57">
      <c r="AF17" s="1028"/>
      <c r="AG17" s="1028"/>
      <c r="AH17" s="94"/>
      <c r="AI17" s="94"/>
      <c r="AJ17" s="94"/>
      <c r="AK17" s="94"/>
      <c r="AL17" s="94"/>
      <c r="AM17" s="94"/>
      <c r="AN17" s="1029"/>
      <c r="AQ17" s="870" t="s">
        <v>2</v>
      </c>
      <c r="AR17" s="823">
        <f>AT17/$AT$21</f>
        <v>2.064241593811305E-2</v>
      </c>
      <c r="AS17" s="802">
        <v>0</v>
      </c>
      <c r="AT17" s="802">
        <f>HLOOKUP($AQ$4,'3'!$A$21:$AK$37,13,FALSE)</f>
        <v>5.6592895448422063</v>
      </c>
      <c r="AU17" s="802">
        <f>AT17*3.6*10</f>
        <v>203.73442361431944</v>
      </c>
      <c r="AV17" s="802">
        <f t="shared" si="6"/>
        <v>0</v>
      </c>
      <c r="AW17" s="382"/>
      <c r="AX17" s="870" t="s">
        <v>630</v>
      </c>
      <c r="AY17" s="823">
        <f>HLOOKUP($AQ$4,'3'!$A$44:$AK$63,14,FALSE)/HLOOKUP($AQ$4,'3'!$A$44:$AK$63,18,FALSE)</f>
        <v>1.9832303507109295E-2</v>
      </c>
      <c r="AZ17" s="861">
        <v>0</v>
      </c>
      <c r="BA17" s="889">
        <f>AY17*BA$22</f>
        <v>5823.7079617870995</v>
      </c>
      <c r="BB17" s="823">
        <f>HLOOKUP($AQ$4,'3'!$A$68:$AK$86,13,FALSE)</f>
        <v>1.0751916742369929</v>
      </c>
      <c r="BC17" s="889">
        <f t="shared" si="3"/>
        <v>6659.1284310311976</v>
      </c>
      <c r="BD17" s="889">
        <f>BC17*3.6*10/1000</f>
        <v>239.72862351712311</v>
      </c>
      <c r="BE17" s="889">
        <f t="shared" si="5"/>
        <v>0</v>
      </c>
    </row>
    <row r="18" spans="1:57">
      <c r="AF18" s="1028"/>
      <c r="AG18" s="1028"/>
      <c r="AH18" s="94"/>
      <c r="AI18" s="94"/>
      <c r="AJ18" s="94"/>
      <c r="AK18" s="94"/>
      <c r="AL18" s="94"/>
      <c r="AM18" s="94"/>
      <c r="AN18" s="1029"/>
      <c r="AQ18" s="871" t="s">
        <v>1</v>
      </c>
      <c r="AR18" s="824">
        <f>AT18/$AT$21</f>
        <v>0.15304896368397689</v>
      </c>
      <c r="AS18" s="803">
        <v>0</v>
      </c>
      <c r="AT18" s="803">
        <f>HLOOKUP($AQ$4,'3'!$A$21:$AK$37,9,FALSE)</f>
        <v>41.959642835529486</v>
      </c>
      <c r="AU18" s="803">
        <f>AT18*3.6</f>
        <v>151.05471420790616</v>
      </c>
      <c r="AV18" s="803">
        <f t="shared" si="6"/>
        <v>0</v>
      </c>
      <c r="AW18" s="382"/>
      <c r="AX18" s="871" t="s">
        <v>1</v>
      </c>
      <c r="AY18" s="824">
        <f>HLOOKUP($AQ$4,'3'!$A$44:$AK$63,10,FALSE)/HLOOKUP($AQ$4,'3'!$A$44:$AK$63,18,FALSE)</f>
        <v>0.15354241062670448</v>
      </c>
      <c r="AZ18" s="862">
        <v>0</v>
      </c>
      <c r="BA18" s="890">
        <f>AY18*BA$22</f>
        <v>45087.357548667191</v>
      </c>
      <c r="BB18" s="824">
        <f>HLOOKUP($AQ$4,'3'!$A$68:$AK$86,9,FALSE)</f>
        <v>1.0296759442203189</v>
      </c>
      <c r="BC18" s="890">
        <f t="shared" si="3"/>
        <v>49372.74340674853</v>
      </c>
      <c r="BD18" s="890">
        <f>BC18*3.6/1000</f>
        <v>177.74187626429472</v>
      </c>
      <c r="BE18" s="890">
        <f t="shared" si="5"/>
        <v>0</v>
      </c>
    </row>
    <row r="19" spans="1:57">
      <c r="A19" s="812" t="s">
        <v>634</v>
      </c>
      <c r="B19" s="794"/>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N19" s="382"/>
      <c r="AO19" s="382"/>
      <c r="AP19" s="382"/>
      <c r="AQ19" s="871" t="s">
        <v>54</v>
      </c>
      <c r="AR19" s="824">
        <f>AT19/$AT$21</f>
        <v>7.8748014650406692E-2</v>
      </c>
      <c r="AS19" s="803">
        <v>0</v>
      </c>
      <c r="AT19" s="803">
        <f>HLOOKUP($AQ$4,'3'!$A$21:$AK$37,11,FALSE)</f>
        <v>21.589421379950434</v>
      </c>
      <c r="AU19" s="803">
        <f>AT19*3.6</f>
        <v>77.721916967821556</v>
      </c>
      <c r="AV19" s="803">
        <f t="shared" si="6"/>
        <v>0</v>
      </c>
      <c r="AW19" s="382"/>
      <c r="AX19" s="871" t="s">
        <v>54</v>
      </c>
      <c r="AY19" s="824">
        <f>HLOOKUP($AQ$4,'3'!$A$44:$AK$63,12,FALSE)/HLOOKUP($AQ$4,'3'!$A$44:$AK$63,18,FALSE)</f>
        <v>8.0532211139921692E-2</v>
      </c>
      <c r="AZ19" s="862">
        <v>0</v>
      </c>
      <c r="BA19" s="890">
        <f>AY19*BA$22</f>
        <v>23648.089039569229</v>
      </c>
      <c r="BB19" s="824">
        <f>HLOOKUP($AQ$4,'3'!$A$68:$AK$86,11,FALSE)</f>
        <v>1.0101096452575549</v>
      </c>
      <c r="BC19" s="890">
        <f t="shared" si="3"/>
        <v>25403.671005270899</v>
      </c>
      <c r="BD19" s="890">
        <f>BC19*3.6/1000</f>
        <v>91.453215618975236</v>
      </c>
      <c r="BE19" s="890">
        <f t="shared" si="5"/>
        <v>0</v>
      </c>
    </row>
    <row r="20" spans="1:57">
      <c r="A20" s="706"/>
      <c r="B20" s="793">
        <f t="shared" ref="B20:AK20" si="7">B4</f>
        <v>1990</v>
      </c>
      <c r="C20" s="793">
        <f t="shared" si="7"/>
        <v>1991</v>
      </c>
      <c r="D20" s="793">
        <f t="shared" si="7"/>
        <v>1992</v>
      </c>
      <c r="E20" s="793">
        <f t="shared" si="7"/>
        <v>1993</v>
      </c>
      <c r="F20" s="793">
        <f t="shared" si="7"/>
        <v>1994</v>
      </c>
      <c r="G20" s="793">
        <f t="shared" si="7"/>
        <v>1995</v>
      </c>
      <c r="H20" s="793">
        <f t="shared" si="7"/>
        <v>1996</v>
      </c>
      <c r="I20" s="793">
        <f t="shared" si="7"/>
        <v>1997</v>
      </c>
      <c r="J20" s="793">
        <f t="shared" si="7"/>
        <v>1998</v>
      </c>
      <c r="K20" s="793">
        <f t="shared" si="7"/>
        <v>1999</v>
      </c>
      <c r="L20" s="793">
        <f t="shared" si="7"/>
        <v>2000</v>
      </c>
      <c r="M20" s="793">
        <f t="shared" si="7"/>
        <v>2001</v>
      </c>
      <c r="N20" s="793">
        <f t="shared" si="7"/>
        <v>2002</v>
      </c>
      <c r="O20" s="793">
        <f t="shared" si="7"/>
        <v>2003</v>
      </c>
      <c r="P20" s="793">
        <f t="shared" si="7"/>
        <v>2004</v>
      </c>
      <c r="Q20" s="793">
        <f t="shared" si="7"/>
        <v>2005</v>
      </c>
      <c r="R20" s="793">
        <f t="shared" si="7"/>
        <v>2006</v>
      </c>
      <c r="S20" s="793">
        <f t="shared" si="7"/>
        <v>2007</v>
      </c>
      <c r="T20" s="793">
        <f t="shared" si="7"/>
        <v>2008</v>
      </c>
      <c r="U20" s="793">
        <f t="shared" si="7"/>
        <v>2009</v>
      </c>
      <c r="V20" s="793">
        <f t="shared" si="7"/>
        <v>2010</v>
      </c>
      <c r="W20" s="793">
        <f t="shared" si="7"/>
        <v>2011</v>
      </c>
      <c r="X20" s="793">
        <f t="shared" si="7"/>
        <v>2012</v>
      </c>
      <c r="Y20" s="793">
        <f t="shared" si="7"/>
        <v>2013</v>
      </c>
      <c r="Z20" s="793">
        <f t="shared" si="7"/>
        <v>2014</v>
      </c>
      <c r="AA20" s="793">
        <f t="shared" si="7"/>
        <v>2015</v>
      </c>
      <c r="AB20" s="793">
        <f t="shared" si="7"/>
        <v>2016</v>
      </c>
      <c r="AC20" s="793">
        <f t="shared" si="7"/>
        <v>2017</v>
      </c>
      <c r="AD20" s="793">
        <f t="shared" si="7"/>
        <v>2018</v>
      </c>
      <c r="AE20" s="793">
        <f t="shared" si="7"/>
        <v>2019</v>
      </c>
      <c r="AF20" s="793">
        <f t="shared" si="7"/>
        <v>2020</v>
      </c>
      <c r="AG20" s="793">
        <f t="shared" si="7"/>
        <v>2021</v>
      </c>
      <c r="AH20" s="793">
        <f t="shared" si="7"/>
        <v>2022</v>
      </c>
      <c r="AI20" s="793">
        <f t="shared" si="7"/>
        <v>2023</v>
      </c>
      <c r="AJ20" s="793">
        <f t="shared" si="7"/>
        <v>2024</v>
      </c>
      <c r="AK20" s="798">
        <f t="shared" si="7"/>
        <v>2025</v>
      </c>
      <c r="AN20" s="382"/>
      <c r="AO20" s="382"/>
      <c r="AP20" s="382"/>
      <c r="AQ20" s="871" t="s">
        <v>55</v>
      </c>
      <c r="AR20" s="824">
        <f>AT20/$AT$21</f>
        <v>0.16414239848845302</v>
      </c>
      <c r="AS20" s="803">
        <v>0</v>
      </c>
      <c r="AT20" s="803">
        <f>HLOOKUP($AQ$4,'3'!$A$21:$AK$37,12,FALSE)</f>
        <v>45.000999999999998</v>
      </c>
      <c r="AU20" s="803">
        <f>AT20*3.6</f>
        <v>162.00360000000001</v>
      </c>
      <c r="AV20" s="803">
        <f t="shared" si="6"/>
        <v>0</v>
      </c>
      <c r="AW20" s="382"/>
      <c r="AX20" s="871" t="s">
        <v>55</v>
      </c>
      <c r="AY20" s="824">
        <f>HLOOKUP($AQ$4,'3'!$A$44:$AK$63,13,FALSE)/HLOOKUP($AQ$4,'3'!$A$44:$AK$63,18,FALSE)</f>
        <v>0.16578295965729115</v>
      </c>
      <c r="AZ20" s="862">
        <v>0</v>
      </c>
      <c r="BA20" s="890">
        <f>AY20*BA$22</f>
        <v>48681.765168564656</v>
      </c>
      <c r="BB20" s="824">
        <f>HLOOKUP($AQ$4,'3'!$A$68:$AK$86,12,FALSE)</f>
        <v>1.0227733768494642</v>
      </c>
      <c r="BC20" s="890">
        <f t="shared" si="3"/>
        <v>52951.423699101491</v>
      </c>
      <c r="BD20" s="890">
        <f>BC20*3.6/1000</f>
        <v>190.62512531676538</v>
      </c>
      <c r="BE20" s="890">
        <f t="shared" si="5"/>
        <v>0</v>
      </c>
    </row>
    <row r="21" spans="1:57">
      <c r="A21" s="810"/>
      <c r="B21" s="74" t="s">
        <v>632</v>
      </c>
      <c r="C21" s="75"/>
      <c r="D21" s="75"/>
      <c r="E21" s="75"/>
      <c r="F21" s="75"/>
      <c r="G21" s="75"/>
      <c r="H21" s="75"/>
      <c r="I21" s="75"/>
      <c r="J21" s="75"/>
      <c r="K21" s="75"/>
      <c r="L21" s="75"/>
      <c r="M21" s="75"/>
      <c r="N21" s="75"/>
      <c r="O21" s="75"/>
      <c r="P21" s="75"/>
      <c r="Q21" s="75"/>
      <c r="R21" s="75"/>
      <c r="S21" s="75"/>
      <c r="T21" s="75"/>
      <c r="U21" s="75"/>
      <c r="V21" s="76"/>
      <c r="W21" s="76"/>
      <c r="X21" s="76"/>
      <c r="Y21" s="76"/>
      <c r="Z21" s="76"/>
      <c r="AA21" s="76"/>
      <c r="AB21" s="76"/>
      <c r="AC21" s="76"/>
      <c r="AD21" s="76"/>
      <c r="AE21" s="76"/>
      <c r="AF21" s="76"/>
      <c r="AG21" s="76"/>
      <c r="AH21" s="76"/>
      <c r="AI21" s="76"/>
      <c r="AJ21" s="76"/>
      <c r="AK21" s="307"/>
      <c r="AN21" s="382"/>
      <c r="AO21" s="382"/>
      <c r="AP21" s="382"/>
      <c r="AQ21" s="876" t="s">
        <v>49</v>
      </c>
      <c r="AR21" s="892">
        <f>SUM(AR7:AR15)</f>
        <v>1</v>
      </c>
      <c r="AS21" s="893">
        <f>SUMPRODUCT(AT7:AT15,AS7:AS15)/AT21</f>
        <v>213.80024504929133</v>
      </c>
      <c r="AT21" s="153">
        <f>HLOOKUP($AQ$4,'3'!$A$21:$AK$37,17,FALSE)</f>
        <v>274.15829434931584</v>
      </c>
      <c r="AU21" s="153">
        <f>SUM(AU7:AU15)</f>
        <v>1683.5980796326014</v>
      </c>
      <c r="AV21" s="153">
        <f t="shared" si="6"/>
        <v>58.61511051417947</v>
      </c>
      <c r="AX21" s="83" t="s">
        <v>764</v>
      </c>
      <c r="AY21" s="821">
        <f>HLOOKUP($AQ$4,'1'!$A$4:$AK$20,17,FALSE)</f>
        <v>6.348632465210749E-2</v>
      </c>
      <c r="AZ21" s="83"/>
      <c r="BA21" s="83"/>
      <c r="BB21" s="83"/>
      <c r="BC21" s="83"/>
      <c r="BD21" s="83"/>
      <c r="BE21" s="83"/>
    </row>
    <row r="22" spans="1:57">
      <c r="A22" s="79" t="s">
        <v>5</v>
      </c>
      <c r="B22" s="811">
        <v>9.1810625105811177</v>
      </c>
      <c r="C22" s="811">
        <v>9.2253355996860762</v>
      </c>
      <c r="D22" s="811">
        <v>9.2337778210950354</v>
      </c>
      <c r="E22" s="811">
        <v>9.108789434392671</v>
      </c>
      <c r="F22" s="811">
        <v>9.136607198424711</v>
      </c>
      <c r="G22" s="811">
        <v>9.1108225700032364</v>
      </c>
      <c r="H22" s="811">
        <v>9.1227009777706805</v>
      </c>
      <c r="I22" s="811">
        <v>9.134117849342605</v>
      </c>
      <c r="J22" s="811">
        <v>9.0912057742513905</v>
      </c>
      <c r="K22" s="811">
        <v>9.0351992148512199</v>
      </c>
      <c r="L22" s="811">
        <v>9.1662135458539016</v>
      </c>
      <c r="M22" s="811">
        <v>9.3332683773229714</v>
      </c>
      <c r="N22" s="811">
        <v>9.5714536477107508</v>
      </c>
      <c r="O22" s="811">
        <v>9.5030896169845462</v>
      </c>
      <c r="P22" s="811">
        <v>9.7352895997187936</v>
      </c>
      <c r="Q22" s="811">
        <v>9.7541226565886117</v>
      </c>
      <c r="R22" s="811">
        <v>9.585693535471437</v>
      </c>
      <c r="S22" s="811">
        <v>9.7961108627545226</v>
      </c>
      <c r="T22" s="811">
        <v>10.002915647098702</v>
      </c>
      <c r="U22" s="811">
        <v>9.6943236013405372</v>
      </c>
      <c r="V22" s="811">
        <v>9.488316796698042</v>
      </c>
      <c r="W22" s="811">
        <v>9.3552878683539777</v>
      </c>
      <c r="X22" s="811">
        <v>9.2032852706679087</v>
      </c>
      <c r="Y22" s="811">
        <v>9.3667494612499009</v>
      </c>
      <c r="Z22" s="811">
        <v>9.3163326222479963</v>
      </c>
      <c r="AA22" s="811">
        <v>9.5063666787805001</v>
      </c>
      <c r="AB22" s="811">
        <v>9.4156761149976003</v>
      </c>
      <c r="AC22" s="811">
        <v>9.2668859619637729</v>
      </c>
      <c r="AD22" s="811">
        <v>9.375216946229493</v>
      </c>
      <c r="AE22" s="811">
        <v>9.5392169103835638</v>
      </c>
      <c r="AF22" s="811">
        <v>9.8622623449756244</v>
      </c>
      <c r="AG22" s="811">
        <v>10.042930506185463</v>
      </c>
      <c r="AH22" s="811">
        <v>9.9998190264898508</v>
      </c>
      <c r="AI22" s="811">
        <v>9.8197911629640409</v>
      </c>
      <c r="AJ22" s="811">
        <v>9.4195703135518514</v>
      </c>
      <c r="AK22" s="932">
        <v>9.4195703135518514</v>
      </c>
      <c r="AN22" s="382"/>
      <c r="AO22" s="382"/>
      <c r="AP22" s="382"/>
      <c r="AX22" s="876" t="s">
        <v>49</v>
      </c>
      <c r="AY22" s="894">
        <f>SUM(AY7:AY15)</f>
        <v>1</v>
      </c>
      <c r="AZ22" s="893">
        <f>SUMPRODUCT(BC7:BC15,AZ7:AZ15)/BC22</f>
        <v>213.80024504929131</v>
      </c>
      <c r="BA22" s="895">
        <f>HLOOKUP($AQ$4,'1'!$A$4:$AK$20,15,FALSE)*1000</f>
        <v>293647.58156809531</v>
      </c>
      <c r="BB22" s="894">
        <f>SUMPRODUCT(BB7:BB15,AY7:AY15)</f>
        <v>1.0329957344001779</v>
      </c>
      <c r="BC22" s="897">
        <f>SUM(BC7:BC15)</f>
        <v>322594.43133960594</v>
      </c>
      <c r="BD22" s="898">
        <f>SUM(BD7:BD15)</f>
        <v>1981.042982458601</v>
      </c>
      <c r="BE22" s="899">
        <f>SUM(BE7:BE15)</f>
        <v>68970.768471944539</v>
      </c>
    </row>
    <row r="23" spans="1:57">
      <c r="A23" s="79" t="s">
        <v>6</v>
      </c>
      <c r="B23" s="807">
        <v>7.633605713517909</v>
      </c>
      <c r="C23" s="807">
        <v>7.6839422140459215</v>
      </c>
      <c r="D23" s="807">
        <v>7.5957837055408186</v>
      </c>
      <c r="E23" s="807">
        <v>7.5807620774895739</v>
      </c>
      <c r="F23" s="807">
        <v>7.4272501189727835</v>
      </c>
      <c r="G23" s="807">
        <v>7.4605794386532356</v>
      </c>
      <c r="H23" s="807">
        <v>7.3312418077991639</v>
      </c>
      <c r="I23" s="807">
        <v>7.1165326405384546</v>
      </c>
      <c r="J23" s="807">
        <v>7.1888875921980349</v>
      </c>
      <c r="K23" s="807">
        <v>7.1136164641513808</v>
      </c>
      <c r="L23" s="807">
        <v>6.8825922288679182</v>
      </c>
      <c r="M23" s="807">
        <v>6.5270955903033911</v>
      </c>
      <c r="N23" s="807">
        <v>6.8923343723531643</v>
      </c>
      <c r="O23" s="807">
        <v>6.0390372630347962</v>
      </c>
      <c r="P23" s="807">
        <v>7.2223309016344812</v>
      </c>
      <c r="Q23" s="807">
        <v>7.0922128761759788</v>
      </c>
      <c r="R23" s="807">
        <v>6.8922486987502447</v>
      </c>
      <c r="S23" s="807">
        <v>6.8610343830927931</v>
      </c>
      <c r="T23" s="807">
        <v>6.7811743792024419</v>
      </c>
      <c r="U23" s="807">
        <v>6.7574400071704988</v>
      </c>
      <c r="V23" s="807">
        <v>6.7482750455194527</v>
      </c>
      <c r="W23" s="807">
        <v>6.6926873315438469</v>
      </c>
      <c r="X23" s="807">
        <v>6.7204871387382896</v>
      </c>
      <c r="Y23" s="807">
        <v>6.4891869840441743</v>
      </c>
      <c r="Z23" s="807">
        <v>6.5502237463062265</v>
      </c>
      <c r="AA23" s="807">
        <v>6.3768388554583666</v>
      </c>
      <c r="AB23" s="807">
        <v>6.369707266300483</v>
      </c>
      <c r="AC23" s="807">
        <v>6.3927645949622001</v>
      </c>
      <c r="AD23" s="807">
        <v>6.3871577567680111</v>
      </c>
      <c r="AE23" s="807">
        <v>6.3982538013763639</v>
      </c>
      <c r="AF23" s="807">
        <v>6.4180639632743945</v>
      </c>
      <c r="AG23" s="807">
        <v>6.3692089262750722</v>
      </c>
      <c r="AH23" s="807">
        <v>6.2731322588560801</v>
      </c>
      <c r="AI23" s="807">
        <v>6.2813847324521506</v>
      </c>
      <c r="AJ23" s="807">
        <v>6.2711992629471425</v>
      </c>
      <c r="AK23" s="933">
        <v>6.2711992629471416</v>
      </c>
      <c r="AN23" s="382"/>
      <c r="AO23" s="382"/>
      <c r="AP23" s="382"/>
      <c r="AR23" s="66"/>
      <c r="AW23" s="844"/>
      <c r="AX23" s="12" t="s">
        <v>763</v>
      </c>
      <c r="AY23" s="844"/>
      <c r="AZ23" s="844"/>
      <c r="BA23" s="844"/>
      <c r="BB23" s="844"/>
      <c r="BC23" s="844"/>
      <c r="BD23" s="844"/>
      <c r="BE23" s="844"/>
    </row>
    <row r="24" spans="1:57">
      <c r="A24" s="79" t="s">
        <v>7</v>
      </c>
      <c r="B24" s="807">
        <v>9.7313250926820398</v>
      </c>
      <c r="C24" s="807">
        <v>9.5230632867907516</v>
      </c>
      <c r="D24" s="807">
        <v>8.9143985204337319</v>
      </c>
      <c r="E24" s="807">
        <v>9.1904848334785463</v>
      </c>
      <c r="F24" s="807">
        <v>9.2712085699997555</v>
      </c>
      <c r="G24" s="807">
        <v>9.6476065914219014</v>
      </c>
      <c r="H24" s="807">
        <v>10.173228746158207</v>
      </c>
      <c r="I24" s="807">
        <v>9.017173100502923</v>
      </c>
      <c r="J24" s="807">
        <v>9.7308164555078545</v>
      </c>
      <c r="K24" s="807">
        <v>8.3568628449692071</v>
      </c>
      <c r="L24" s="807">
        <v>7.8760994766037129</v>
      </c>
      <c r="M24" s="807">
        <v>7.1005291881152202</v>
      </c>
      <c r="N24" s="807">
        <v>7.0961998267330184</v>
      </c>
      <c r="O24" s="807">
        <v>6.8261403088243995</v>
      </c>
      <c r="P24" s="807">
        <v>8.9064228400821062</v>
      </c>
      <c r="Q24" s="807">
        <v>9.1497122411064495</v>
      </c>
      <c r="R24" s="807">
        <v>9.1867496749129085</v>
      </c>
      <c r="S24" s="807">
        <v>9.0346305774394899</v>
      </c>
      <c r="T24" s="807">
        <v>8.8521825004078547</v>
      </c>
      <c r="U24" s="807">
        <v>8.8407897131337361</v>
      </c>
      <c r="V24" s="807">
        <v>9.056224624420139</v>
      </c>
      <c r="W24" s="807">
        <v>8.9499482026083435</v>
      </c>
      <c r="X24" s="807">
        <v>8.7126012314378869</v>
      </c>
      <c r="Y24" s="807">
        <v>8.6823610619469029</v>
      </c>
      <c r="Z24" s="807">
        <v>9.259898749022673</v>
      </c>
      <c r="AA24" s="807">
        <v>8.6997695789329317</v>
      </c>
      <c r="AB24" s="807">
        <v>8.5583293764302066</v>
      </c>
      <c r="AC24" s="807">
        <v>8.4932741689884139</v>
      </c>
      <c r="AD24" s="807">
        <v>9.2481213110174068</v>
      </c>
      <c r="AE24" s="807">
        <v>8.3659731329599456</v>
      </c>
      <c r="AF24" s="807">
        <v>8.4761711984872754</v>
      </c>
      <c r="AG24" s="807">
        <v>9.5182646349583013</v>
      </c>
      <c r="AH24" s="807">
        <v>9.0260746714954667</v>
      </c>
      <c r="AI24" s="807">
        <v>8.3984321084126172</v>
      </c>
      <c r="AJ24" s="807">
        <v>8.8401462751163304</v>
      </c>
      <c r="AK24" s="933">
        <v>8.8401462751163304</v>
      </c>
      <c r="AN24" s="382"/>
      <c r="AO24" s="382"/>
      <c r="AP24" s="382"/>
      <c r="AR24" s="66"/>
      <c r="AU24" s="422"/>
      <c r="AX24" s="12" t="s">
        <v>690</v>
      </c>
    </row>
    <row r="25" spans="1:57">
      <c r="A25" s="79" t="s">
        <v>8</v>
      </c>
      <c r="B25" s="807">
        <v>7.9975165543678326</v>
      </c>
      <c r="C25" s="807">
        <v>7.9892785901092322</v>
      </c>
      <c r="D25" s="807">
        <v>7.9196948287545377</v>
      </c>
      <c r="E25" s="807">
        <v>7.896740635031172</v>
      </c>
      <c r="F25" s="807">
        <v>7.8819499072496528</v>
      </c>
      <c r="G25" s="807">
        <v>7.8775245373302747</v>
      </c>
      <c r="H25" s="807">
        <v>7.8973531238011656</v>
      </c>
      <c r="I25" s="807">
        <v>7.9000074462329835</v>
      </c>
      <c r="J25" s="807">
        <v>7.8633903267688723</v>
      </c>
      <c r="K25" s="807">
        <v>7.9582175259861687</v>
      </c>
      <c r="L25" s="807">
        <v>8.2447001879847388</v>
      </c>
      <c r="M25" s="807">
        <v>8.2055341545872125</v>
      </c>
      <c r="N25" s="807">
        <v>7.6966090004897154</v>
      </c>
      <c r="O25" s="807">
        <v>7.7136150827931855</v>
      </c>
      <c r="P25" s="807">
        <v>8.6172957883279491</v>
      </c>
      <c r="Q25" s="807">
        <v>8.5742537980149951</v>
      </c>
      <c r="R25" s="807">
        <v>8.8356515154487489</v>
      </c>
      <c r="S25" s="807">
        <v>8.7793654125315612</v>
      </c>
      <c r="T25" s="807">
        <v>8.5215685758425366</v>
      </c>
      <c r="U25" s="807">
        <v>8.431750000000001</v>
      </c>
      <c r="V25" s="807">
        <v>8.6312972826111984</v>
      </c>
      <c r="W25" s="807">
        <v>7.8025473545519013</v>
      </c>
      <c r="X25" s="807">
        <v>7.954179663924271</v>
      </c>
      <c r="Y25" s="807">
        <v>6.9796676850733466</v>
      </c>
      <c r="Z25" s="807">
        <v>7.3058096327360547</v>
      </c>
      <c r="AA25" s="807">
        <v>7.2358343319039582</v>
      </c>
      <c r="AB25" s="807">
        <v>6.9741456095369223</v>
      </c>
      <c r="AC25" s="807">
        <v>6.9875867063966339</v>
      </c>
      <c r="AD25" s="807">
        <v>6.8412433671806632</v>
      </c>
      <c r="AE25" s="807">
        <v>6.9478305950467325</v>
      </c>
      <c r="AF25" s="807">
        <v>6.6420448448237881</v>
      </c>
      <c r="AG25" s="807">
        <v>7.2031505192222109</v>
      </c>
      <c r="AH25" s="807">
        <v>6.873304639712285</v>
      </c>
      <c r="AI25" s="807">
        <v>6.9209036386528027</v>
      </c>
      <c r="AJ25" s="807">
        <v>6.5155376586260285</v>
      </c>
      <c r="AK25" s="933">
        <v>6.5155376586260285</v>
      </c>
      <c r="AN25" s="382"/>
      <c r="AO25" s="382"/>
      <c r="AP25" s="382"/>
      <c r="AR25" s="66"/>
      <c r="AX25" s="12" t="str">
        <f>'1'!A19</f>
        <v>% prod. lorda (escl. pomp. e acc.) su prod. per consumo</v>
      </c>
      <c r="BB25" s="382">
        <f>HLOOKUP($AQ$4,'1'!$A$4:$AK$20,16,FALSE)</f>
        <v>1.0329957344001779</v>
      </c>
    </row>
    <row r="26" spans="1:57">
      <c r="A26" s="79" t="s">
        <v>749</v>
      </c>
      <c r="B26" s="807">
        <v>14.294943486032272</v>
      </c>
      <c r="C26" s="807">
        <v>9.812434184107838</v>
      </c>
      <c r="D26" s="807">
        <v>9.6813823099421867</v>
      </c>
      <c r="E26" s="807">
        <v>9.2517297761784683</v>
      </c>
      <c r="F26" s="807">
        <v>9.0315190258519742</v>
      </c>
      <c r="G26" s="807">
        <v>9.9454238722328316</v>
      </c>
      <c r="H26" s="807">
        <v>9.2320617664996778</v>
      </c>
      <c r="I26" s="807">
        <v>9.6739758734730099</v>
      </c>
      <c r="J26" s="807">
        <v>8.8912094424977095</v>
      </c>
      <c r="K26" s="807">
        <v>9.1499511679845948</v>
      </c>
      <c r="L26" s="807">
        <v>8.6884071545180284</v>
      </c>
      <c r="M26" s="807">
        <v>8.3829695295496816</v>
      </c>
      <c r="N26" s="807">
        <v>8.5706611707611025</v>
      </c>
      <c r="O26" s="807">
        <v>12.344446190209487</v>
      </c>
      <c r="P26" s="807">
        <v>13.546534217901872</v>
      </c>
      <c r="Q26" s="807">
        <v>13.440152463890559</v>
      </c>
      <c r="R26" s="807">
        <v>13.306681611956231</v>
      </c>
      <c r="S26" s="807">
        <v>14.226341429742439</v>
      </c>
      <c r="T26" s="807">
        <v>12.926281435485343</v>
      </c>
      <c r="U26" s="807">
        <v>12.730356497411327</v>
      </c>
      <c r="V26" s="807">
        <v>11.658189558732131</v>
      </c>
      <c r="W26" s="807">
        <v>12.322741438238852</v>
      </c>
      <c r="X26" s="807">
        <v>11.802752353774512</v>
      </c>
      <c r="Y26" s="807">
        <v>10.898035412474849</v>
      </c>
      <c r="Z26" s="808">
        <v>10.646456873111784</v>
      </c>
      <c r="AA26" s="808">
        <v>9.8140984709283945</v>
      </c>
      <c r="AB26" s="808">
        <v>9.8619010071916318</v>
      </c>
      <c r="AC26" s="808">
        <v>9.6957437701876366</v>
      </c>
      <c r="AD26" s="808">
        <v>9.6925423232299313</v>
      </c>
      <c r="AE26" s="808">
        <v>9.8228885477228758</v>
      </c>
      <c r="AF26" s="808">
        <v>9.7831352484263476</v>
      </c>
      <c r="AG26" s="808">
        <v>9.8672936914288574</v>
      </c>
      <c r="AH26" s="807">
        <v>10.021500073778808</v>
      </c>
      <c r="AI26" s="807">
        <v>10.062086850175159</v>
      </c>
      <c r="AJ26" s="807">
        <v>9.9561546781974215</v>
      </c>
      <c r="AK26" s="933">
        <v>9.9561546781974215</v>
      </c>
      <c r="AN26" s="382"/>
      <c r="AO26" s="382"/>
      <c r="AP26" s="382"/>
      <c r="AR26" s="66"/>
      <c r="BB26" s="902">
        <f>+BB22-BB25</f>
        <v>0</v>
      </c>
    </row>
    <row r="27" spans="1:57">
      <c r="A27" s="79" t="s">
        <v>751</v>
      </c>
      <c r="B27" s="807">
        <v>18.432439342575563</v>
      </c>
      <c r="C27" s="807">
        <v>9.3840845438695037</v>
      </c>
      <c r="D27" s="807">
        <v>8.8354999579089828</v>
      </c>
      <c r="E27" s="807">
        <v>8.4442538774820672</v>
      </c>
      <c r="F27" s="807">
        <v>12.038455271432611</v>
      </c>
      <c r="G27" s="807">
        <v>19.487336635810788</v>
      </c>
      <c r="H27" s="807">
        <v>17.097202762199512</v>
      </c>
      <c r="I27" s="807">
        <v>18.462236346301587</v>
      </c>
      <c r="J27" s="807">
        <v>15.208417999451814</v>
      </c>
      <c r="K27" s="807">
        <v>19.390922308609358</v>
      </c>
      <c r="L27" s="807">
        <v>10.497655307779784</v>
      </c>
      <c r="M27" s="807">
        <v>9.3650302466190798</v>
      </c>
      <c r="N27" s="807">
        <v>7.4633960386929727</v>
      </c>
      <c r="O27" s="807">
        <v>16.678887852137791</v>
      </c>
      <c r="P27" s="807">
        <v>15.868284584980238</v>
      </c>
      <c r="Q27" s="807">
        <v>15.209472326131776</v>
      </c>
      <c r="R27" s="807">
        <v>15.009662209421929</v>
      </c>
      <c r="S27" s="807">
        <v>17.319391847664381</v>
      </c>
      <c r="T27" s="807">
        <v>14.90578162238503</v>
      </c>
      <c r="U27" s="807">
        <v>15.936272504160915</v>
      </c>
      <c r="V27" s="809">
        <v>14.597625253537878</v>
      </c>
      <c r="W27" s="809">
        <v>14.390478674013977</v>
      </c>
      <c r="X27" s="809">
        <v>14.420389064189447</v>
      </c>
      <c r="Y27" s="809">
        <v>13.959347784368459</v>
      </c>
      <c r="Z27" s="809">
        <v>13.659421124548771</v>
      </c>
      <c r="AA27" s="809">
        <v>13.219658470282999</v>
      </c>
      <c r="AB27" s="808">
        <v>12.910958574681437</v>
      </c>
      <c r="AC27" s="808">
        <v>12.688022264535489</v>
      </c>
      <c r="AD27" s="808">
        <v>12.76812451176826</v>
      </c>
      <c r="AE27" s="808">
        <v>12.873950241843177</v>
      </c>
      <c r="AF27" s="808">
        <v>12.662098714171208</v>
      </c>
      <c r="AG27" s="808">
        <v>12.50165193506442</v>
      </c>
      <c r="AH27" s="807">
        <v>12.493749525092635</v>
      </c>
      <c r="AI27" s="807">
        <v>12.834808348730435</v>
      </c>
      <c r="AJ27" s="807">
        <v>12.673796381533656</v>
      </c>
      <c r="AK27" s="933">
        <v>12.557513063693634</v>
      </c>
      <c r="AN27" s="382"/>
      <c r="AO27" s="382"/>
      <c r="AP27" s="382"/>
      <c r="AR27" s="66"/>
    </row>
    <row r="28" spans="1:57">
      <c r="A28" s="80" t="s">
        <v>614</v>
      </c>
      <c r="B28" s="814">
        <v>8.1689663329528379</v>
      </c>
      <c r="C28" s="814">
        <v>8.1635939594921982</v>
      </c>
      <c r="D28" s="814">
        <v>8.0216553390697278</v>
      </c>
      <c r="E28" s="814">
        <v>7.9519006668480214</v>
      </c>
      <c r="F28" s="814">
        <v>7.9294356172368392</v>
      </c>
      <c r="G28" s="814">
        <v>7.9496795945487468</v>
      </c>
      <c r="H28" s="814">
        <v>7.9185648090258871</v>
      </c>
      <c r="I28" s="814">
        <v>7.7908888255109678</v>
      </c>
      <c r="J28" s="814">
        <v>7.7902740398391739</v>
      </c>
      <c r="K28" s="814">
        <v>7.7232801954707933</v>
      </c>
      <c r="L28" s="814">
        <v>7.6955985243473704</v>
      </c>
      <c r="M28" s="814">
        <v>7.5174487008138202</v>
      </c>
      <c r="N28" s="814">
        <v>7.6131268900624098</v>
      </c>
      <c r="O28" s="814">
        <v>7.2287078543726455</v>
      </c>
      <c r="P28" s="814">
        <v>8.1744997708501934</v>
      </c>
      <c r="Q28" s="814">
        <v>7.9972181825545867</v>
      </c>
      <c r="R28" s="814">
        <v>7.8790561250879225</v>
      </c>
      <c r="S28" s="814">
        <v>7.8161268534657857</v>
      </c>
      <c r="T28" s="814">
        <v>7.7219198248943846</v>
      </c>
      <c r="U28" s="814">
        <v>7.7263337090118229</v>
      </c>
      <c r="V28" s="815">
        <v>7.6661062688320678</v>
      </c>
      <c r="W28" s="815">
        <v>7.6638689761645953</v>
      </c>
      <c r="X28" s="815">
        <v>7.75533223464143</v>
      </c>
      <c r="Y28" s="815">
        <v>7.6570822202658517</v>
      </c>
      <c r="Z28" s="815">
        <v>7.8084752621820162</v>
      </c>
      <c r="AA28" s="815">
        <v>7.537955673809642</v>
      </c>
      <c r="AB28" s="816">
        <v>7.3429645127904797</v>
      </c>
      <c r="AC28" s="816">
        <v>7.2225170683833353</v>
      </c>
      <c r="AD28" s="816">
        <v>7.2429281383830872</v>
      </c>
      <c r="AE28" s="816">
        <v>7.1168636877016818</v>
      </c>
      <c r="AF28" s="816">
        <v>7.0947585396706243</v>
      </c>
      <c r="AG28" s="816">
        <v>7.0826595042786575</v>
      </c>
      <c r="AH28" s="814">
        <v>7.1114311827499606</v>
      </c>
      <c r="AI28" s="814">
        <v>7.0288606393908521</v>
      </c>
      <c r="AJ28" s="814">
        <v>6.8283107768733826</v>
      </c>
      <c r="AK28" s="934">
        <v>6.8089442124673489</v>
      </c>
      <c r="AN28" s="382"/>
      <c r="AO28" s="382"/>
      <c r="AP28" s="382"/>
      <c r="AR28" s="66"/>
    </row>
    <row r="29" spans="1:57">
      <c r="A29" s="806" t="s">
        <v>636</v>
      </c>
      <c r="B29" s="807">
        <v>8.1683917934276895</v>
      </c>
      <c r="C29" s="807">
        <v>8.1623354097093443</v>
      </c>
      <c r="D29" s="807">
        <v>8.020352296449877</v>
      </c>
      <c r="E29" s="807">
        <v>7.9506449818764118</v>
      </c>
      <c r="F29" s="807">
        <v>7.9298169335603061</v>
      </c>
      <c r="G29" s="807">
        <v>7.9507879927103016</v>
      </c>
      <c r="H29" s="807">
        <v>7.9201965234085847</v>
      </c>
      <c r="I29" s="807">
        <v>7.7899718624888425</v>
      </c>
      <c r="J29" s="807">
        <v>7.7921613004661188</v>
      </c>
      <c r="K29" s="807">
        <v>7.7291424312555561</v>
      </c>
      <c r="L29" s="807">
        <v>7.6921101265552139</v>
      </c>
      <c r="M29" s="807">
        <v>7.512497109616616</v>
      </c>
      <c r="N29" s="807">
        <v>7.5979378225463554</v>
      </c>
      <c r="O29" s="807">
        <v>7.1684080162929114</v>
      </c>
      <c r="P29" s="807">
        <v>8.0854169399859206</v>
      </c>
      <c r="Q29" s="807">
        <v>7.9003191132962058</v>
      </c>
      <c r="R29" s="807">
        <v>7.7770287432054346</v>
      </c>
      <c r="S29" s="807">
        <v>7.7001113939093289</v>
      </c>
      <c r="T29" s="807">
        <v>7.6134964212519769</v>
      </c>
      <c r="U29" s="807">
        <v>7.5796727966514483</v>
      </c>
      <c r="V29" s="809">
        <v>7.5244900762493598</v>
      </c>
      <c r="W29" s="809">
        <v>7.4535148260236808</v>
      </c>
      <c r="X29" s="809">
        <v>7.5369637461462222</v>
      </c>
      <c r="Y29" s="809">
        <v>7.3814999565087636</v>
      </c>
      <c r="Z29" s="809">
        <v>7.5145714854645922</v>
      </c>
      <c r="AA29" s="809">
        <v>7.3266902450975291</v>
      </c>
      <c r="AB29" s="808">
        <v>7.1108767948155043</v>
      </c>
      <c r="AC29" s="808">
        <v>7.0065900319653407</v>
      </c>
      <c r="AD29" s="808">
        <v>7.0103456323583435</v>
      </c>
      <c r="AE29" s="808">
        <v>6.8567276343025991</v>
      </c>
      <c r="AF29" s="808">
        <v>6.808891088408636</v>
      </c>
      <c r="AG29" s="808">
        <v>6.8081834935268359</v>
      </c>
      <c r="AH29" s="807">
        <v>6.8617472177487437</v>
      </c>
      <c r="AI29" s="807">
        <v>6.7428180978701073</v>
      </c>
      <c r="AJ29" s="807">
        <v>6.4752071673860376</v>
      </c>
      <c r="AK29" s="933">
        <v>6.4520928341301316</v>
      </c>
      <c r="AN29" s="382"/>
      <c r="AO29" s="382"/>
      <c r="AP29" s="382"/>
      <c r="AR29" s="66"/>
    </row>
    <row r="30" spans="1:57">
      <c r="A30" s="806" t="s">
        <v>637</v>
      </c>
      <c r="B30" s="807">
        <v>10.157447629488981</v>
      </c>
      <c r="C30" s="807">
        <v>10.301375521983029</v>
      </c>
      <c r="D30" s="807">
        <v>10.527264661975389</v>
      </c>
      <c r="E30" s="807">
        <v>10.059205674874867</v>
      </c>
      <c r="F30" s="807">
        <v>7.5679380268866678</v>
      </c>
      <c r="G30" s="807">
        <v>7.2331139054317024</v>
      </c>
      <c r="H30" s="807">
        <v>7.2678073843883162</v>
      </c>
      <c r="I30" s="807">
        <v>8.0553356639345335</v>
      </c>
      <c r="J30" s="807">
        <v>7.3982815798156318</v>
      </c>
      <c r="K30" s="807">
        <v>6.9097815214994878</v>
      </c>
      <c r="L30" s="807">
        <v>8.2032513488396148</v>
      </c>
      <c r="M30" s="807">
        <v>8.0673026778488595</v>
      </c>
      <c r="N30" s="807">
        <v>8.8985421399790408</v>
      </c>
      <c r="O30" s="807">
        <v>11.249733982790033</v>
      </c>
      <c r="P30" s="807">
        <v>12.95898775256174</v>
      </c>
      <c r="Q30" s="807">
        <v>12.961797027863776</v>
      </c>
      <c r="R30" s="807">
        <v>12.836890528346858</v>
      </c>
      <c r="S30" s="807">
        <v>13.366597050310132</v>
      </c>
      <c r="T30" s="807">
        <v>12.362475483335709</v>
      </c>
      <c r="U30" s="807">
        <v>11.978392885736405</v>
      </c>
      <c r="V30" s="807">
        <v>10.990397122927071</v>
      </c>
      <c r="W30" s="807">
        <v>11.882801813112755</v>
      </c>
      <c r="X30" s="807">
        <v>11.327741730366498</v>
      </c>
      <c r="Y30" s="807">
        <v>10.487333547881242</v>
      </c>
      <c r="Z30" s="808">
        <v>10.252126540450078</v>
      </c>
      <c r="AA30" s="808">
        <v>9.3878021014858852</v>
      </c>
      <c r="AB30" s="808">
        <v>9.4706487359291387</v>
      </c>
      <c r="AC30" s="808">
        <v>9.3248887187004357</v>
      </c>
      <c r="AD30" s="808">
        <v>9.3327611051097303</v>
      </c>
      <c r="AE30" s="808">
        <v>9.444124787458696</v>
      </c>
      <c r="AF30" s="808">
        <v>9.4308770949475953</v>
      </c>
      <c r="AG30" s="808">
        <v>9.5386061603333001</v>
      </c>
      <c r="AH30" s="807">
        <v>9.6852508157172892</v>
      </c>
      <c r="AI30" s="807">
        <v>9.6462477075581123</v>
      </c>
      <c r="AJ30" s="807">
        <v>9.5906382956176319</v>
      </c>
      <c r="AK30" s="933">
        <v>9.602597909778213</v>
      </c>
      <c r="AN30" s="382"/>
      <c r="AO30" s="382"/>
      <c r="AP30" s="382"/>
      <c r="AR30" s="66"/>
    </row>
    <row r="31" spans="1:57">
      <c r="A31" s="967"/>
      <c r="B31" s="94"/>
      <c r="C31" s="94"/>
      <c r="D31" s="94"/>
      <c r="E31" s="94"/>
      <c r="F31" s="94"/>
      <c r="G31" s="94"/>
      <c r="H31" s="94"/>
      <c r="I31" s="94"/>
      <c r="J31" s="94"/>
      <c r="K31" s="94"/>
      <c r="L31" s="94"/>
      <c r="M31" s="94"/>
      <c r="N31" s="94"/>
      <c r="O31" s="94"/>
      <c r="P31" s="94"/>
      <c r="Q31" s="94"/>
      <c r="R31" s="94"/>
      <c r="S31" s="94"/>
      <c r="T31" s="94"/>
      <c r="U31" s="94"/>
      <c r="AH31" s="133"/>
    </row>
    <row r="32" spans="1:57">
      <c r="AR32" s="66"/>
    </row>
    <row r="33" spans="1:52">
      <c r="AR33" s="66"/>
    </row>
    <row r="34" spans="1:52">
      <c r="AR34" s="66"/>
    </row>
    <row r="35" spans="1:52">
      <c r="AR35" s="66"/>
    </row>
    <row r="36" spans="1:52">
      <c r="AR36" s="66"/>
    </row>
    <row r="37" spans="1:52">
      <c r="AR37" s="66"/>
    </row>
    <row r="38" spans="1:52" ht="16.25" customHeight="1">
      <c r="A38" s="81" t="s">
        <v>622</v>
      </c>
      <c r="B38" s="12"/>
      <c r="C38" s="12"/>
      <c r="D38" s="12"/>
      <c r="E38" s="12"/>
      <c r="F38" s="12"/>
      <c r="G38" s="12"/>
      <c r="H38" s="12"/>
      <c r="I38" s="12"/>
      <c r="J38" s="12"/>
      <c r="K38" s="12"/>
      <c r="L38" s="12"/>
      <c r="M38" s="12"/>
      <c r="N38" s="12"/>
      <c r="O38" s="12"/>
      <c r="P38" s="12"/>
      <c r="Q38" s="12"/>
      <c r="R38" s="12"/>
      <c r="S38" s="12"/>
      <c r="T38" s="12"/>
      <c r="U38" s="12"/>
      <c r="V38" s="12"/>
      <c r="W38" s="12"/>
      <c r="X38" s="12"/>
      <c r="Y38" s="12"/>
      <c r="Z38" s="46"/>
      <c r="AA38" s="46"/>
      <c r="AB38" s="46"/>
      <c r="AC38" s="46"/>
      <c r="AD38" s="46"/>
      <c r="AE38" s="46"/>
      <c r="AF38" s="46"/>
      <c r="AG38" s="46"/>
      <c r="AH38" s="12"/>
      <c r="AI38" s="12"/>
      <c r="AJ38" s="12"/>
      <c r="AK38" s="12"/>
      <c r="AR38" s="66"/>
    </row>
    <row r="39" spans="1:52" ht="33">
      <c r="A39" s="983" t="s">
        <v>10</v>
      </c>
      <c r="B39" s="67">
        <v>1990</v>
      </c>
      <c r="C39" s="67">
        <v>1991</v>
      </c>
      <c r="D39" s="67">
        <v>1992</v>
      </c>
      <c r="E39" s="67">
        <v>1993</v>
      </c>
      <c r="F39" s="67">
        <v>1994</v>
      </c>
      <c r="G39" s="67">
        <v>1995</v>
      </c>
      <c r="H39" s="67">
        <v>1996</v>
      </c>
      <c r="I39" s="67">
        <v>1997</v>
      </c>
      <c r="J39" s="67">
        <v>1998</v>
      </c>
      <c r="K39" s="67">
        <v>1999</v>
      </c>
      <c r="L39" s="67">
        <v>2000</v>
      </c>
      <c r="M39" s="67">
        <v>2001</v>
      </c>
      <c r="N39" s="67">
        <v>2002</v>
      </c>
      <c r="O39" s="67">
        <v>2003</v>
      </c>
      <c r="P39" s="67">
        <v>2004</v>
      </c>
      <c r="Q39" s="67">
        <v>2005</v>
      </c>
      <c r="R39" s="67">
        <v>2006</v>
      </c>
      <c r="S39" s="67">
        <v>2007</v>
      </c>
      <c r="T39" s="67">
        <v>2008</v>
      </c>
      <c r="U39" s="67">
        <v>2009</v>
      </c>
      <c r="V39" s="67">
        <v>2010</v>
      </c>
      <c r="W39" s="67">
        <v>2011</v>
      </c>
      <c r="X39" s="67">
        <v>2012</v>
      </c>
      <c r="Y39" s="67">
        <v>2013</v>
      </c>
      <c r="Z39" s="67">
        <v>2014</v>
      </c>
      <c r="AA39" s="67">
        <v>2015</v>
      </c>
      <c r="AB39" s="67">
        <v>2016</v>
      </c>
      <c r="AC39" s="67">
        <v>2017</v>
      </c>
      <c r="AD39" s="67">
        <v>2018</v>
      </c>
      <c r="AE39" s="67">
        <v>2019</v>
      </c>
      <c r="AF39" s="67">
        <v>2020</v>
      </c>
      <c r="AG39" s="67">
        <v>2021</v>
      </c>
      <c r="AH39" s="67">
        <v>2022</v>
      </c>
      <c r="AI39" s="67">
        <v>2023</v>
      </c>
      <c r="AJ39" s="67">
        <v>2024</v>
      </c>
      <c r="AK39" s="798">
        <v>2025</v>
      </c>
      <c r="AL39" s="985" t="s">
        <v>722</v>
      </c>
      <c r="AM39" s="985" t="s">
        <v>752</v>
      </c>
      <c r="AR39" s="66"/>
    </row>
    <row r="40" spans="1:52" ht="18">
      <c r="A40" s="984"/>
      <c r="B40" s="74" t="s">
        <v>623</v>
      </c>
      <c r="C40" s="75"/>
      <c r="D40" s="75"/>
      <c r="E40" s="75"/>
      <c r="F40" s="75"/>
      <c r="G40" s="75"/>
      <c r="H40" s="75"/>
      <c r="I40" s="75"/>
      <c r="J40" s="75"/>
      <c r="K40" s="75"/>
      <c r="L40" s="75"/>
      <c r="M40" s="75"/>
      <c r="N40" s="75"/>
      <c r="O40" s="75"/>
      <c r="P40" s="75"/>
      <c r="Q40" s="75"/>
      <c r="R40" s="75"/>
      <c r="S40" s="75"/>
      <c r="T40" s="75"/>
      <c r="U40" s="75"/>
      <c r="V40" s="76"/>
      <c r="W40" s="76"/>
      <c r="X40" s="76"/>
      <c r="Y40" s="76"/>
      <c r="Z40" s="76"/>
      <c r="AA40" s="76"/>
      <c r="AB40" s="76"/>
      <c r="AC40" s="76"/>
      <c r="AD40" s="76"/>
      <c r="AE40" s="76"/>
      <c r="AF40" s="76"/>
      <c r="AG40" s="76"/>
      <c r="AH40" s="76"/>
      <c r="AI40" s="76"/>
      <c r="AJ40" s="76"/>
      <c r="AK40" s="307"/>
      <c r="AL40" s="986"/>
      <c r="AM40" s="986"/>
      <c r="AR40" s="66"/>
    </row>
    <row r="41" spans="1:52">
      <c r="A41" s="79" t="s">
        <v>5</v>
      </c>
      <c r="B41" s="82">
        <v>959.38633723280566</v>
      </c>
      <c r="C41" s="82">
        <v>963.8963858840807</v>
      </c>
      <c r="D41" s="82">
        <v>965.23987130733417</v>
      </c>
      <c r="E41" s="82">
        <v>952.29699542559013</v>
      </c>
      <c r="F41" s="82">
        <v>953.11794110750429</v>
      </c>
      <c r="G41" s="82">
        <v>944.15366161812767</v>
      </c>
      <c r="H41" s="82">
        <v>945.29526507631454</v>
      </c>
      <c r="I41" s="82">
        <v>948.65595927225559</v>
      </c>
      <c r="J41" s="82">
        <v>952.43430990218337</v>
      </c>
      <c r="K41" s="82">
        <v>941.14772034854207</v>
      </c>
      <c r="L41" s="82">
        <v>931.84456194650988</v>
      </c>
      <c r="M41" s="82">
        <v>968.34494321509908</v>
      </c>
      <c r="N41" s="82">
        <v>986.47686767821824</v>
      </c>
      <c r="O41" s="82">
        <v>987.84740658221915</v>
      </c>
      <c r="P41" s="82">
        <v>1016.2724742822671</v>
      </c>
      <c r="Q41" s="82">
        <v>1011.7929283761422</v>
      </c>
      <c r="R41" s="82">
        <v>988.24762428572978</v>
      </c>
      <c r="S41" s="82">
        <v>1014.9423620358373</v>
      </c>
      <c r="T41" s="82">
        <v>1026.0753270455491</v>
      </c>
      <c r="U41" s="82">
        <v>1007.7876991752961</v>
      </c>
      <c r="V41" s="82">
        <v>983.59306755424939</v>
      </c>
      <c r="W41" s="82">
        <v>961.18473257480946</v>
      </c>
      <c r="X41" s="82">
        <v>947.80942878941244</v>
      </c>
      <c r="Y41" s="82">
        <v>969.98665349824796</v>
      </c>
      <c r="Z41" s="82">
        <v>965.92793731209645</v>
      </c>
      <c r="AA41" s="82">
        <v>988.70416632526872</v>
      </c>
      <c r="AB41" s="82">
        <v>984.50754916654012</v>
      </c>
      <c r="AC41" s="82">
        <v>967.80034421598816</v>
      </c>
      <c r="AD41" s="82">
        <v>983.54081117183841</v>
      </c>
      <c r="AE41" s="82">
        <v>1042.424945078365</v>
      </c>
      <c r="AF41" s="82">
        <v>1073.7949816031362</v>
      </c>
      <c r="AG41" s="82">
        <v>1046.657908669232</v>
      </c>
      <c r="AH41" s="82">
        <v>1035.6967941786147</v>
      </c>
      <c r="AI41" s="82">
        <v>1023.2102995343096</v>
      </c>
      <c r="AJ41" s="82">
        <v>989.53608769562243</v>
      </c>
      <c r="AK41" s="755">
        <v>989.53608769562265</v>
      </c>
      <c r="AL41" s="766">
        <f>mm!$S$106</f>
        <v>-8.8014340275434735E-4</v>
      </c>
      <c r="AM41" s="766">
        <f>mm!$P$105</f>
        <v>2.6779830160595201E-2</v>
      </c>
      <c r="AO41" s="152"/>
      <c r="AP41" s="152"/>
      <c r="AQ41" s="152"/>
      <c r="AR41" s="152"/>
      <c r="AS41" s="152"/>
      <c r="AT41" s="152"/>
      <c r="AU41" s="152"/>
      <c r="AV41" s="152"/>
      <c r="AW41" s="152"/>
    </row>
    <row r="42" spans="1:52">
      <c r="A42" s="79" t="s">
        <v>6</v>
      </c>
      <c r="B42" s="82">
        <v>445.02036827170161</v>
      </c>
      <c r="C42" s="82">
        <v>448.67066186077176</v>
      </c>
      <c r="D42" s="82">
        <v>443.75947119609958</v>
      </c>
      <c r="E42" s="82">
        <v>442.30826948011838</v>
      </c>
      <c r="F42" s="82">
        <v>432.34574505927424</v>
      </c>
      <c r="G42" s="82">
        <v>435.96463310013934</v>
      </c>
      <c r="H42" s="82">
        <v>429.02943232597596</v>
      </c>
      <c r="I42" s="82">
        <v>416.75833390406444</v>
      </c>
      <c r="J42" s="82">
        <v>421.31869656313251</v>
      </c>
      <c r="K42" s="82">
        <v>417.30467807690286</v>
      </c>
      <c r="L42" s="82">
        <v>404.37039300625577</v>
      </c>
      <c r="M42" s="82">
        <v>381.64943331383364</v>
      </c>
      <c r="N42" s="82">
        <v>408.0280973110344</v>
      </c>
      <c r="O42" s="82">
        <v>353.86489677865217</v>
      </c>
      <c r="P42" s="82">
        <v>421.66671351178542</v>
      </c>
      <c r="Q42" s="82">
        <v>413.36892612794441</v>
      </c>
      <c r="R42" s="82">
        <v>401.22181350729488</v>
      </c>
      <c r="S42" s="82">
        <v>398.20545628033597</v>
      </c>
      <c r="T42" s="82">
        <v>402.33227544951217</v>
      </c>
      <c r="U42" s="82">
        <v>402.88918334309363</v>
      </c>
      <c r="V42" s="82">
        <v>402.69479438842939</v>
      </c>
      <c r="W42" s="82">
        <v>395.08317324910428</v>
      </c>
      <c r="X42" s="82">
        <v>398.96900957018534</v>
      </c>
      <c r="Y42" s="82">
        <v>382.88694746372079</v>
      </c>
      <c r="Z42" s="82">
        <v>387.08429638795468</v>
      </c>
      <c r="AA42" s="82">
        <v>376.77675975057116</v>
      </c>
      <c r="AB42" s="82">
        <v>378.96550725972571</v>
      </c>
      <c r="AC42" s="754">
        <v>379.75188582894424</v>
      </c>
      <c r="AD42" s="754">
        <v>378.51056530095701</v>
      </c>
      <c r="AE42" s="82">
        <v>378.79942731591143</v>
      </c>
      <c r="AF42" s="82">
        <v>380.91245435465947</v>
      </c>
      <c r="AG42" s="82">
        <v>382.12351124739865</v>
      </c>
      <c r="AH42" s="82">
        <v>378.13644222855964</v>
      </c>
      <c r="AI42" s="82">
        <v>380.79844520423137</v>
      </c>
      <c r="AJ42" s="82">
        <v>379.99834706160146</v>
      </c>
      <c r="AK42" s="755">
        <v>379.99834706160135</v>
      </c>
      <c r="AL42" s="766">
        <f>mm!$Z$106</f>
        <v>-4.3178424955982835E-3</v>
      </c>
      <c r="AM42" s="766">
        <f>mm!$W$105</f>
        <v>1.4639480957027556E-2</v>
      </c>
      <c r="AO42" s="152"/>
      <c r="AP42" s="152"/>
      <c r="AQ42" s="152"/>
      <c r="AR42" s="152"/>
      <c r="AS42" s="152"/>
      <c r="AT42" s="152"/>
      <c r="AU42" s="152"/>
      <c r="AV42" s="152"/>
      <c r="AW42" s="152"/>
    </row>
    <row r="43" spans="1:52">
      <c r="A43" s="79" t="s">
        <v>7</v>
      </c>
      <c r="B43" s="82">
        <v>1824.7722631252425</v>
      </c>
      <c r="C43" s="82">
        <v>1787.0926630090614</v>
      </c>
      <c r="D43" s="82">
        <v>1710.8751885494919</v>
      </c>
      <c r="E43" s="82">
        <v>1678.8888628009129</v>
      </c>
      <c r="F43" s="82">
        <v>1758.4491860938399</v>
      </c>
      <c r="G43" s="82">
        <v>1866.5916474315413</v>
      </c>
      <c r="H43" s="82">
        <v>1886.4501760315529</v>
      </c>
      <c r="I43" s="82">
        <v>1683.3507380977105</v>
      </c>
      <c r="J43" s="82">
        <v>1846.878941902278</v>
      </c>
      <c r="K43" s="82">
        <v>1618.4354074811358</v>
      </c>
      <c r="L43" s="82">
        <v>1503.7180558539151</v>
      </c>
      <c r="M43" s="82">
        <v>1375.1051076098427</v>
      </c>
      <c r="N43" s="82">
        <v>1409.4545665224014</v>
      </c>
      <c r="O43" s="82">
        <v>1289.790252219525</v>
      </c>
      <c r="P43" s="82">
        <v>1888.5273388989658</v>
      </c>
      <c r="Q43" s="82">
        <v>1979.0723861376148</v>
      </c>
      <c r="R43" s="82">
        <v>1939.3848142239417</v>
      </c>
      <c r="S43" s="82">
        <v>1849.3676720263529</v>
      </c>
      <c r="T43" s="82">
        <v>1738.1010014032672</v>
      </c>
      <c r="U43" s="82">
        <v>1666.6600834130761</v>
      </c>
      <c r="V43" s="82">
        <v>1719.2672831487957</v>
      </c>
      <c r="W43" s="82">
        <v>1653.7525197034186</v>
      </c>
      <c r="X43" s="82">
        <v>1590.3072687461797</v>
      </c>
      <c r="Y43" s="82">
        <v>1724.3327685098116</v>
      </c>
      <c r="Z43" s="82">
        <v>1921.7052882862888</v>
      </c>
      <c r="AA43" s="82">
        <v>1721.718255134735</v>
      </c>
      <c r="AB43" s="82">
        <v>1734.8707938444863</v>
      </c>
      <c r="AC43" s="82">
        <v>1585.685863973637</v>
      </c>
      <c r="AD43" s="82">
        <v>1743.3979125694013</v>
      </c>
      <c r="AE43" s="82">
        <v>1489.2715807019301</v>
      </c>
      <c r="AF43" s="82">
        <v>1454.4562746196971</v>
      </c>
      <c r="AG43" s="82">
        <v>1839.7973299025316</v>
      </c>
      <c r="AH43" s="82">
        <v>1693.3325497692854</v>
      </c>
      <c r="AI43" s="82">
        <v>1452.6561795830003</v>
      </c>
      <c r="AJ43" s="82">
        <v>1410.022432288765</v>
      </c>
      <c r="AK43" s="755">
        <v>1410.022432288765</v>
      </c>
      <c r="AL43" s="766">
        <f>mm!$AG$106</f>
        <v>-1.3271443837215265E-2</v>
      </c>
      <c r="AM43" s="766">
        <f>mm!$AD$105</f>
        <v>9.4757633020565182E-2</v>
      </c>
      <c r="AO43" s="152"/>
      <c r="AP43" s="152"/>
      <c r="AQ43" s="152"/>
      <c r="AR43" s="152"/>
      <c r="AS43" s="152"/>
      <c r="AT43" s="152"/>
      <c r="AU43" s="152"/>
      <c r="AV43" s="152"/>
      <c r="AW43" s="152"/>
    </row>
    <row r="44" spans="1:52">
      <c r="A44" s="79" t="s">
        <v>8</v>
      </c>
      <c r="B44" s="82">
        <v>651.04723882630276</v>
      </c>
      <c r="C44" s="82">
        <v>652.35705972929793</v>
      </c>
      <c r="D44" s="82">
        <v>647.84669315964436</v>
      </c>
      <c r="E44" s="82">
        <v>646.06296660540784</v>
      </c>
      <c r="F44" s="82">
        <v>643.11902352907975</v>
      </c>
      <c r="G44" s="82">
        <v>641.80320487849121</v>
      </c>
      <c r="H44" s="82">
        <v>643.31967045330816</v>
      </c>
      <c r="I44" s="82">
        <v>643.9641745423329</v>
      </c>
      <c r="J44" s="82">
        <v>644.12105349988428</v>
      </c>
      <c r="K44" s="82">
        <v>652.69700896469271</v>
      </c>
      <c r="L44" s="82">
        <v>677.48032781409177</v>
      </c>
      <c r="M44" s="82">
        <v>685.37169778593989</v>
      </c>
      <c r="N44" s="82">
        <v>646.09187504254942</v>
      </c>
      <c r="O44" s="82">
        <v>646.32101377391564</v>
      </c>
      <c r="P44" s="82">
        <v>722.23913108512943</v>
      </c>
      <c r="Q44" s="82">
        <v>719.4376765415733</v>
      </c>
      <c r="R44" s="82">
        <v>749.91412904496804</v>
      </c>
      <c r="S44" s="82">
        <v>760.43084607917172</v>
      </c>
      <c r="T44" s="82">
        <v>744.95802595357475</v>
      </c>
      <c r="U44" s="82">
        <v>713.15501548092914</v>
      </c>
      <c r="V44" s="82">
        <v>730.18824777552436</v>
      </c>
      <c r="W44" s="82">
        <v>654.44827847933948</v>
      </c>
      <c r="X44" s="82">
        <v>666.66461040748163</v>
      </c>
      <c r="Y44" s="82">
        <v>592.17058665928073</v>
      </c>
      <c r="Z44" s="82">
        <v>613.46348309129621</v>
      </c>
      <c r="AA44" s="82">
        <v>591.86057264172484</v>
      </c>
      <c r="AB44" s="82">
        <v>569.98599194783253</v>
      </c>
      <c r="AC44" s="82">
        <v>571.38941502240186</v>
      </c>
      <c r="AD44" s="82">
        <v>563.31613958045784</v>
      </c>
      <c r="AE44" s="82">
        <v>555.92147438331938</v>
      </c>
      <c r="AF44" s="82">
        <v>533.65625804135948</v>
      </c>
      <c r="AG44" s="82">
        <v>546.33055132743755</v>
      </c>
      <c r="AH44" s="82">
        <v>558.17076859507017</v>
      </c>
      <c r="AI44" s="82">
        <v>557.92886994437231</v>
      </c>
      <c r="AJ44" s="82">
        <v>513.20147320365754</v>
      </c>
      <c r="AK44" s="755">
        <v>513.20147320365743</v>
      </c>
      <c r="AL44" s="766">
        <f>mm!$AN$106</f>
        <v>-1.662155306941486E-2</v>
      </c>
      <c r="AM44" s="766">
        <f>mm!$AK$105</f>
        <v>6.6748483193141611E-2</v>
      </c>
      <c r="AO44" s="152"/>
      <c r="AP44" s="152"/>
      <c r="AQ44" s="152"/>
      <c r="AR44" s="152"/>
      <c r="AS44" s="152"/>
      <c r="AT44" s="152"/>
      <c r="AU44" s="152"/>
      <c r="AV44" s="152"/>
      <c r="AW44" s="152"/>
    </row>
    <row r="45" spans="1:52">
      <c r="A45" s="79" t="s">
        <v>749</v>
      </c>
      <c r="B45" s="82">
        <v>1011.5006102893672</v>
      </c>
      <c r="C45" s="82">
        <v>578.34833717048275</v>
      </c>
      <c r="D45" s="82">
        <v>542.41652198760676</v>
      </c>
      <c r="E45" s="82">
        <v>482.81624115704221</v>
      </c>
      <c r="F45" s="82">
        <v>437.17256185593391</v>
      </c>
      <c r="G45" s="82">
        <v>460.37985190369335</v>
      </c>
      <c r="H45" s="82">
        <v>359.50475383969012</v>
      </c>
      <c r="I45" s="82">
        <v>301.27099922284799</v>
      </c>
      <c r="J45" s="82">
        <v>297.31589164360508</v>
      </c>
      <c r="K45" s="82">
        <v>350.63970828688053</v>
      </c>
      <c r="L45" s="82">
        <v>232.85956544645882</v>
      </c>
      <c r="M45" s="82">
        <v>241.98337029820817</v>
      </c>
      <c r="N45" s="82">
        <v>182.4992216575435</v>
      </c>
      <c r="O45" s="82">
        <v>367.47001577069881</v>
      </c>
      <c r="P45" s="82">
        <v>404.12649764465743</v>
      </c>
      <c r="Q45" s="82">
        <v>341.3093020964476</v>
      </c>
      <c r="R45" s="82">
        <v>340.84179758127368</v>
      </c>
      <c r="S45" s="82">
        <v>479.889887977814</v>
      </c>
      <c r="T45" s="82">
        <v>381.65236412890033</v>
      </c>
      <c r="U45" s="82">
        <v>309.4310459135491</v>
      </c>
      <c r="V45" s="82">
        <v>349.93231555031645</v>
      </c>
      <c r="W45" s="82">
        <v>308.23900205538069</v>
      </c>
      <c r="X45" s="82">
        <v>282.85495127656162</v>
      </c>
      <c r="Y45" s="82">
        <v>210.23183897498473</v>
      </c>
      <c r="Z45" s="82">
        <v>198.37414181092896</v>
      </c>
      <c r="AA45" s="82">
        <v>192.0510496285421</v>
      </c>
      <c r="AB45" s="82">
        <v>200.10078175242086</v>
      </c>
      <c r="AC45" s="82">
        <v>194.1072361150361</v>
      </c>
      <c r="AD45" s="82">
        <v>196.39084601424528</v>
      </c>
      <c r="AE45" s="82">
        <v>199.46569559151425</v>
      </c>
      <c r="AF45" s="82">
        <v>192.49646426486862</v>
      </c>
      <c r="AG45" s="82">
        <v>194.02061025569057</v>
      </c>
      <c r="AH45" s="82">
        <v>212.68884971816308</v>
      </c>
      <c r="AI45" s="82">
        <v>240.47496709388244</v>
      </c>
      <c r="AJ45" s="82">
        <v>208.88358664029752</v>
      </c>
      <c r="AK45" s="755">
        <v>209.02462481302831</v>
      </c>
      <c r="AL45" s="766">
        <f>mm!$AU$106</f>
        <v>-1.5533830312016828E-2</v>
      </c>
      <c r="AM45" s="766">
        <f>mm!$AR$105</f>
        <v>0.17359178502336967</v>
      </c>
      <c r="AO45" s="152"/>
      <c r="AP45" s="152"/>
      <c r="AQ45" s="152"/>
      <c r="AR45" s="152"/>
      <c r="AS45" s="152"/>
      <c r="AT45" s="152"/>
      <c r="AU45" s="152"/>
      <c r="AV45" s="152"/>
      <c r="AW45" s="152"/>
    </row>
    <row r="46" spans="1:52">
      <c r="A46" s="79" t="s">
        <v>751</v>
      </c>
      <c r="B46" s="82">
        <v>2061.5138482892294</v>
      </c>
      <c r="C46" s="82">
        <v>1103.0789345887699</v>
      </c>
      <c r="D46" s="82">
        <v>1105.4854146834762</v>
      </c>
      <c r="E46" s="82">
        <v>984.0155875333113</v>
      </c>
      <c r="F46" s="82">
        <v>1388.6448721387837</v>
      </c>
      <c r="G46" s="82">
        <v>2226.3159326505829</v>
      </c>
      <c r="H46" s="82">
        <v>1944.4645688006553</v>
      </c>
      <c r="I46" s="82">
        <v>2155.643029292647</v>
      </c>
      <c r="J46" s="82">
        <v>1688.8924272444212</v>
      </c>
      <c r="K46" s="82">
        <v>2136.01880207663</v>
      </c>
      <c r="L46" s="82">
        <v>1183.7086141651966</v>
      </c>
      <c r="M46" s="82">
        <v>1017.7636856831163</v>
      </c>
      <c r="N46" s="82">
        <v>891.258135050806</v>
      </c>
      <c r="O46" s="82">
        <v>1841.6129695816144</v>
      </c>
      <c r="P46" s="82">
        <v>2017.0017467651494</v>
      </c>
      <c r="Q46" s="82">
        <v>1611.3259064920671</v>
      </c>
      <c r="R46" s="82">
        <v>1588.6937781670504</v>
      </c>
      <c r="S46" s="82">
        <v>2220.9822629348891</v>
      </c>
      <c r="T46" s="82">
        <v>1737.0156422578648</v>
      </c>
      <c r="U46" s="82">
        <v>1655.8009197743074</v>
      </c>
      <c r="V46" s="82">
        <v>1923.7574769087769</v>
      </c>
      <c r="W46" s="82">
        <v>1783.3364392969647</v>
      </c>
      <c r="X46" s="82">
        <v>1871.9214185076275</v>
      </c>
      <c r="Y46" s="82">
        <v>1799.7310341613229</v>
      </c>
      <c r="Z46" s="82">
        <v>1738.1260515712058</v>
      </c>
      <c r="AA46" s="82">
        <v>1777.3486246105676</v>
      </c>
      <c r="AB46" s="82">
        <v>1828.1069607947688</v>
      </c>
      <c r="AC46" s="82">
        <v>1787.1759546191136</v>
      </c>
      <c r="AD46" s="82">
        <v>1813.9008629294733</v>
      </c>
      <c r="AE46" s="82">
        <v>1915.0636605522095</v>
      </c>
      <c r="AF46" s="82">
        <v>1849.7903356762392</v>
      </c>
      <c r="AG46" s="82">
        <v>1831.9995338146325</v>
      </c>
      <c r="AH46" s="82">
        <v>1847.217529389068</v>
      </c>
      <c r="AI46" s="82">
        <v>1931.4878512625128</v>
      </c>
      <c r="AJ46" s="82">
        <v>1868.3995628034238</v>
      </c>
      <c r="AK46" s="755">
        <v>1868.3995628034304</v>
      </c>
      <c r="AL46" s="766">
        <f>mm!$BB$106</f>
        <v>1.3790574997471267E-2</v>
      </c>
      <c r="AM46" s="766">
        <f>mm!$AY$105</f>
        <v>5.1203745786826835E-2</v>
      </c>
      <c r="AO46" s="152"/>
      <c r="AP46" s="152"/>
      <c r="AQ46" s="152"/>
      <c r="AR46" s="152"/>
      <c r="AS46" s="152"/>
      <c r="AT46" s="152"/>
      <c r="AU46" s="152"/>
      <c r="AV46" s="152"/>
      <c r="AW46" s="152"/>
    </row>
    <row r="47" spans="1:52">
      <c r="A47" s="80" t="s">
        <v>614</v>
      </c>
      <c r="B47" s="104">
        <v>683.37787943400349</v>
      </c>
      <c r="C47" s="104">
        <v>683.22431768591071</v>
      </c>
      <c r="D47" s="104">
        <v>664.666347145239</v>
      </c>
      <c r="E47" s="104">
        <v>646.94749054304452</v>
      </c>
      <c r="F47" s="104">
        <v>645.87968554332394</v>
      </c>
      <c r="G47" s="104">
        <v>648.1924915426963</v>
      </c>
      <c r="H47" s="104">
        <v>639.54911097128013</v>
      </c>
      <c r="I47" s="104">
        <v>622.70386806506542</v>
      </c>
      <c r="J47" s="104">
        <v>623.04897851031967</v>
      </c>
      <c r="K47" s="104">
        <v>601.31882950688919</v>
      </c>
      <c r="L47" s="104">
        <v>589.56042615346337</v>
      </c>
      <c r="M47" s="104">
        <v>586.8215774179946</v>
      </c>
      <c r="N47" s="104">
        <v>600.62338583788278</v>
      </c>
      <c r="O47" s="104">
        <v>562.27837404802824</v>
      </c>
      <c r="P47" s="104">
        <v>629.1746524303361</v>
      </c>
      <c r="Q47" s="104">
        <v>600.87562353118665</v>
      </c>
      <c r="R47" s="104">
        <v>589.400704166227</v>
      </c>
      <c r="S47" s="104">
        <v>574.45236528994917</v>
      </c>
      <c r="T47" s="104">
        <v>567.16459549365322</v>
      </c>
      <c r="U47" s="104">
        <v>554.23170103519442</v>
      </c>
      <c r="V47" s="104">
        <v>550.75824121635708</v>
      </c>
      <c r="W47" s="104">
        <v>547.30175135437946</v>
      </c>
      <c r="X47" s="104">
        <v>558.47219275106056</v>
      </c>
      <c r="Y47" s="104">
        <v>535.0904798076682</v>
      </c>
      <c r="Z47" s="104">
        <v>544.64040316607031</v>
      </c>
      <c r="AA47" s="104">
        <v>517.05274791067859</v>
      </c>
      <c r="AB47" s="104">
        <v>492.02286488839422</v>
      </c>
      <c r="AC47" s="104">
        <v>470.81669833555816</v>
      </c>
      <c r="AD47" s="104">
        <v>469.98648469933829</v>
      </c>
      <c r="AE47" s="104">
        <v>439.47175517697826</v>
      </c>
      <c r="AF47" s="104">
        <v>422.47352014818097</v>
      </c>
      <c r="AG47" s="104">
        <v>427.69901123848678</v>
      </c>
      <c r="AH47" s="104">
        <v>453.12901570219174</v>
      </c>
      <c r="AI47" s="104">
        <v>431.99290659755718</v>
      </c>
      <c r="AJ47" s="104">
        <v>385.17828875748148</v>
      </c>
      <c r="AK47" s="756">
        <v>380.58054721893086</v>
      </c>
      <c r="AL47" s="767">
        <f>mm!$BI$106</f>
        <v>-2.2464157037146333E-2</v>
      </c>
      <c r="AM47" s="767">
        <f>mm!$BF$105</f>
        <v>5.9167295990069535E-2</v>
      </c>
      <c r="AO47" s="95"/>
      <c r="AP47" s="95"/>
      <c r="AQ47" s="152"/>
      <c r="AR47" s="152"/>
      <c r="AS47" s="152"/>
      <c r="AT47" s="152"/>
      <c r="AU47" s="152"/>
      <c r="AV47" s="152"/>
      <c r="AW47" s="152"/>
      <c r="AX47" s="152"/>
      <c r="AY47" s="152"/>
      <c r="AZ47" s="152"/>
    </row>
    <row r="48" spans="1:52">
      <c r="A48" s="79" t="s">
        <v>841</v>
      </c>
      <c r="B48" s="82">
        <v>651.04723882630276</v>
      </c>
      <c r="C48" s="82">
        <v>652.35705972929793</v>
      </c>
      <c r="D48" s="82">
        <v>647.84669315964436</v>
      </c>
      <c r="E48" s="82">
        <v>646.06296660540784</v>
      </c>
      <c r="F48" s="82">
        <v>643.11902352907975</v>
      </c>
      <c r="G48" s="82">
        <v>641.8032048784911</v>
      </c>
      <c r="H48" s="82">
        <v>643.31967045330816</v>
      </c>
      <c r="I48" s="82">
        <v>643.96417454233301</v>
      </c>
      <c r="J48" s="82">
        <v>644.12105349988417</v>
      </c>
      <c r="K48" s="82">
        <v>652.69700896469271</v>
      </c>
      <c r="L48" s="82">
        <v>673.79494695303572</v>
      </c>
      <c r="M48" s="82">
        <v>695.2059884167287</v>
      </c>
      <c r="N48" s="82">
        <v>654.57280049904807</v>
      </c>
      <c r="O48" s="82">
        <v>658.58236684917438</v>
      </c>
      <c r="P48" s="82">
        <v>748.58414466733723</v>
      </c>
      <c r="Q48" s="82">
        <v>750.24343291803382</v>
      </c>
      <c r="R48" s="82">
        <v>763.28032736592638</v>
      </c>
      <c r="S48" s="82">
        <v>792.53570866143605</v>
      </c>
      <c r="T48" s="82">
        <v>785.85996707502534</v>
      </c>
      <c r="U48" s="82">
        <v>811.06494542907751</v>
      </c>
      <c r="V48" s="82">
        <v>752.84388125588316</v>
      </c>
      <c r="W48" s="82">
        <v>734.06449620112971</v>
      </c>
      <c r="X48" s="82">
        <v>795.67604938290401</v>
      </c>
      <c r="Y48" s="82">
        <v>693.13538825291334</v>
      </c>
      <c r="Z48" s="82">
        <v>768.15267346706344</v>
      </c>
      <c r="AA48" s="82">
        <v>680.81035850812418</v>
      </c>
      <c r="AB48" s="82">
        <v>610.00266210027428</v>
      </c>
      <c r="AC48" s="82">
        <v>618.77673504957511</v>
      </c>
      <c r="AD48" s="82">
        <v>565.99313734221084</v>
      </c>
      <c r="AE48" s="82">
        <v>559.80441902629161</v>
      </c>
      <c r="AF48" s="82">
        <v>541.85854079476019</v>
      </c>
      <c r="AG48" s="82">
        <v>636.31687559148349</v>
      </c>
      <c r="AH48" s="82">
        <v>624.00997036279216</v>
      </c>
      <c r="AI48" s="82">
        <v>591.25497075114868</v>
      </c>
      <c r="AJ48" s="82">
        <v>506.42344967866063</v>
      </c>
      <c r="AK48" s="959">
        <v>506.4234496786604</v>
      </c>
      <c r="AL48" s="766">
        <f>mm!$BR$106</f>
        <v>-1.7194261224688086E-2</v>
      </c>
      <c r="AM48" s="766">
        <f>mm!$BO$105</f>
        <v>9.4089430290012349E-2</v>
      </c>
      <c r="AO48" s="95"/>
      <c r="AP48" s="95"/>
      <c r="AQ48" s="152"/>
      <c r="AR48" s="152"/>
      <c r="AS48" s="152"/>
      <c r="AT48" s="152"/>
      <c r="AU48" s="152"/>
      <c r="AV48" s="152"/>
      <c r="AW48" s="152"/>
    </row>
    <row r="49" spans="1:49" ht="18.5">
      <c r="A49" s="79" t="s">
        <v>830</v>
      </c>
      <c r="B49" s="958">
        <v>2061.5138482892294</v>
      </c>
      <c r="C49" s="82">
        <v>1103.0789345887699</v>
      </c>
      <c r="D49" s="82">
        <v>243.25477088197565</v>
      </c>
      <c r="E49" s="82">
        <v>853.17758499560227</v>
      </c>
      <c r="F49" s="82">
        <v>842.88625746327671</v>
      </c>
      <c r="G49" s="82">
        <v>819.25278661682466</v>
      </c>
      <c r="H49" s="82">
        <v>719.8342149512639</v>
      </c>
      <c r="I49" s="82">
        <v>736.33751145195754</v>
      </c>
      <c r="J49" s="82">
        <v>746.31829146792609</v>
      </c>
      <c r="K49" s="82">
        <v>654.14563534000865</v>
      </c>
      <c r="L49" s="82">
        <v>602.04654174626285</v>
      </c>
      <c r="M49" s="82">
        <v>572.39896666948607</v>
      </c>
      <c r="N49" s="82">
        <v>552.45296634355157</v>
      </c>
      <c r="O49" s="82">
        <v>567.44955478161467</v>
      </c>
      <c r="P49" s="82">
        <v>727.4410655641102</v>
      </c>
      <c r="Q49" s="82">
        <v>773.69550703585071</v>
      </c>
      <c r="R49" s="82">
        <v>835.67206176609602</v>
      </c>
      <c r="S49" s="82">
        <v>847.51545424184155</v>
      </c>
      <c r="T49" s="82">
        <v>797.73881053386322</v>
      </c>
      <c r="U49" s="82">
        <v>715.7475394886643</v>
      </c>
      <c r="V49" s="82">
        <v>897.52450351600714</v>
      </c>
      <c r="W49" s="82">
        <v>903.79566700928626</v>
      </c>
      <c r="X49" s="82">
        <v>864.93561093682229</v>
      </c>
      <c r="Y49" s="82">
        <v>820.89324796923574</v>
      </c>
      <c r="Z49" s="82">
        <v>863.58370063170139</v>
      </c>
      <c r="AA49" s="82">
        <v>829.82091796332247</v>
      </c>
      <c r="AB49" s="82">
        <v>853.19822613192662</v>
      </c>
      <c r="AC49" s="82">
        <v>814.70942026710918</v>
      </c>
      <c r="AD49" s="82">
        <v>855.46518577648339</v>
      </c>
      <c r="AE49" s="82">
        <v>828.07068683233854</v>
      </c>
      <c r="AF49" s="82">
        <v>762.55287026504436</v>
      </c>
      <c r="AG49" s="82">
        <v>863.15871956974775</v>
      </c>
      <c r="AH49" s="82">
        <v>753.04614225292323</v>
      </c>
      <c r="AI49" s="82">
        <v>776.50695633311682</v>
      </c>
      <c r="AJ49" s="82">
        <v>721.4012809830524</v>
      </c>
      <c r="AK49" s="959">
        <v>723.19924719190055</v>
      </c>
      <c r="AL49" s="766">
        <f>mm!$CA$106</f>
        <v>-4.1802811420100839E-5</v>
      </c>
      <c r="AM49" s="766">
        <f>mm!$BX$105</f>
        <v>8.1217125236959148E-2</v>
      </c>
      <c r="AO49" s="95"/>
      <c r="AP49" s="95"/>
      <c r="AQ49" s="152"/>
      <c r="AR49" s="152"/>
      <c r="AS49" s="152"/>
      <c r="AT49" s="152"/>
      <c r="AU49" s="152"/>
      <c r="AV49" s="152"/>
      <c r="AW49" s="152"/>
    </row>
    <row r="50" spans="1:49" ht="16.5">
      <c r="A50" s="967" t="s">
        <v>837</v>
      </c>
    </row>
    <row r="51" spans="1:49" ht="17">
      <c r="A51" s="44" t="s">
        <v>715</v>
      </c>
    </row>
    <row r="55" spans="1:49">
      <c r="A55" s="812" t="s">
        <v>635</v>
      </c>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797"/>
      <c r="AA55" s="797"/>
      <c r="AB55" s="797"/>
      <c r="AC55" s="797"/>
      <c r="AD55" s="797"/>
      <c r="AE55" s="797"/>
      <c r="AF55" s="797"/>
      <c r="AG55" s="797"/>
      <c r="AH55" s="103"/>
      <c r="AI55" s="103"/>
      <c r="AJ55" s="103"/>
      <c r="AK55" s="103"/>
    </row>
    <row r="56" spans="1:49">
      <c r="A56" s="813"/>
      <c r="B56" s="67">
        <f t="shared" ref="B56:AK56" si="8">B20</f>
        <v>1990</v>
      </c>
      <c r="C56" s="67">
        <f t="shared" si="8"/>
        <v>1991</v>
      </c>
      <c r="D56" s="67">
        <f t="shared" si="8"/>
        <v>1992</v>
      </c>
      <c r="E56" s="67">
        <f t="shared" si="8"/>
        <v>1993</v>
      </c>
      <c r="F56" s="67">
        <f t="shared" si="8"/>
        <v>1994</v>
      </c>
      <c r="G56" s="67">
        <f t="shared" si="8"/>
        <v>1995</v>
      </c>
      <c r="H56" s="67">
        <f t="shared" si="8"/>
        <v>1996</v>
      </c>
      <c r="I56" s="67">
        <f t="shared" si="8"/>
        <v>1997</v>
      </c>
      <c r="J56" s="67">
        <f t="shared" si="8"/>
        <v>1998</v>
      </c>
      <c r="K56" s="67">
        <f t="shared" si="8"/>
        <v>1999</v>
      </c>
      <c r="L56" s="67">
        <f t="shared" si="8"/>
        <v>2000</v>
      </c>
      <c r="M56" s="67">
        <f t="shared" si="8"/>
        <v>2001</v>
      </c>
      <c r="N56" s="67">
        <f t="shared" si="8"/>
        <v>2002</v>
      </c>
      <c r="O56" s="67">
        <f t="shared" si="8"/>
        <v>2003</v>
      </c>
      <c r="P56" s="67">
        <f t="shared" si="8"/>
        <v>2004</v>
      </c>
      <c r="Q56" s="67">
        <f t="shared" si="8"/>
        <v>2005</v>
      </c>
      <c r="R56" s="67">
        <f t="shared" si="8"/>
        <v>2006</v>
      </c>
      <c r="S56" s="67">
        <f t="shared" si="8"/>
        <v>2007</v>
      </c>
      <c r="T56" s="67">
        <f t="shared" si="8"/>
        <v>2008</v>
      </c>
      <c r="U56" s="67">
        <f t="shared" si="8"/>
        <v>2009</v>
      </c>
      <c r="V56" s="67">
        <f t="shared" si="8"/>
        <v>2010</v>
      </c>
      <c r="W56" s="67">
        <f t="shared" si="8"/>
        <v>2011</v>
      </c>
      <c r="X56" s="67">
        <f t="shared" si="8"/>
        <v>2012</v>
      </c>
      <c r="Y56" s="67">
        <f t="shared" si="8"/>
        <v>2013</v>
      </c>
      <c r="Z56" s="67">
        <f t="shared" si="8"/>
        <v>2014</v>
      </c>
      <c r="AA56" s="67">
        <f t="shared" si="8"/>
        <v>2015</v>
      </c>
      <c r="AB56" s="67">
        <f t="shared" si="8"/>
        <v>2016</v>
      </c>
      <c r="AC56" s="67">
        <f t="shared" si="8"/>
        <v>2017</v>
      </c>
      <c r="AD56" s="67">
        <f t="shared" si="8"/>
        <v>2018</v>
      </c>
      <c r="AE56" s="67">
        <f t="shared" si="8"/>
        <v>2019</v>
      </c>
      <c r="AF56" s="67">
        <f t="shared" si="8"/>
        <v>2020</v>
      </c>
      <c r="AG56" s="67">
        <f t="shared" si="8"/>
        <v>2021</v>
      </c>
      <c r="AH56" s="67">
        <f t="shared" si="8"/>
        <v>2022</v>
      </c>
      <c r="AI56" s="67">
        <f t="shared" si="8"/>
        <v>2023</v>
      </c>
      <c r="AJ56" s="67">
        <f t="shared" si="8"/>
        <v>2024</v>
      </c>
      <c r="AK56" s="805">
        <f t="shared" si="8"/>
        <v>2025</v>
      </c>
    </row>
    <row r="57" spans="1:49">
      <c r="A57" s="806"/>
      <c r="B57" s="74" t="s">
        <v>633</v>
      </c>
      <c r="C57" s="75"/>
      <c r="D57" s="75"/>
      <c r="E57" s="75"/>
      <c r="F57" s="75"/>
      <c r="G57" s="75"/>
      <c r="H57" s="75"/>
      <c r="I57" s="75"/>
      <c r="J57" s="75"/>
      <c r="K57" s="75"/>
      <c r="L57" s="75"/>
      <c r="M57" s="75"/>
      <c r="N57" s="75"/>
      <c r="O57" s="75"/>
      <c r="P57" s="75"/>
      <c r="Q57" s="75"/>
      <c r="R57" s="75"/>
      <c r="S57" s="75"/>
      <c r="T57" s="75"/>
      <c r="U57" s="75"/>
      <c r="V57" s="76"/>
      <c r="W57" s="76"/>
      <c r="X57" s="76"/>
      <c r="Y57" s="76"/>
      <c r="Z57" s="76"/>
      <c r="AA57" s="76"/>
      <c r="AB57" s="76"/>
      <c r="AC57" s="76"/>
      <c r="AD57" s="76"/>
      <c r="AE57" s="76"/>
      <c r="AF57" s="76"/>
      <c r="AG57" s="76"/>
      <c r="AH57" s="76"/>
      <c r="AI57" s="76"/>
      <c r="AJ57" s="76"/>
      <c r="AK57" s="307"/>
    </row>
    <row r="58" spans="1:49">
      <c r="A58" s="79" t="s">
        <v>5</v>
      </c>
      <c r="B58" s="807">
        <v>10.114641791999327</v>
      </c>
      <c r="C58" s="807">
        <v>10.16341680434739</v>
      </c>
      <c r="D58" s="807">
        <v>10.172717475743752</v>
      </c>
      <c r="E58" s="807">
        <v>10.035019604914822</v>
      </c>
      <c r="F58" s="807">
        <v>10.065666027190478</v>
      </c>
      <c r="G58" s="807">
        <v>10.037259480571015</v>
      </c>
      <c r="H58" s="807">
        <v>10.050345748036086</v>
      </c>
      <c r="I58" s="807">
        <v>10.062923547849799</v>
      </c>
      <c r="J58" s="807">
        <v>10.015647944661303</v>
      </c>
      <c r="K58" s="807">
        <v>9.9539463403336796</v>
      </c>
      <c r="L58" s="807">
        <v>10.098282905538774</v>
      </c>
      <c r="M58" s="807">
        <v>10.25165229294532</v>
      </c>
      <c r="N58" s="807">
        <v>10.483782594265643</v>
      </c>
      <c r="O58" s="807">
        <v>10.402614373096872</v>
      </c>
      <c r="P58" s="807">
        <v>10.678496584131574</v>
      </c>
      <c r="Q58" s="807">
        <v>10.728937042651781</v>
      </c>
      <c r="R58" s="807">
        <v>10.542281176532052</v>
      </c>
      <c r="S58" s="807">
        <v>10.788258302251386</v>
      </c>
      <c r="T58" s="807">
        <v>10.979766064584524</v>
      </c>
      <c r="U58" s="807">
        <v>10.731354107017523</v>
      </c>
      <c r="V58" s="807">
        <v>10.492255659980911</v>
      </c>
      <c r="W58" s="807">
        <v>10.292107598346078</v>
      </c>
      <c r="X58" s="807">
        <v>10.114127699543115</v>
      </c>
      <c r="Y58" s="807">
        <v>10.352175874582528</v>
      </c>
      <c r="Z58" s="808">
        <v>10.267634133598454</v>
      </c>
      <c r="AA58" s="808">
        <v>10.44594113771922</v>
      </c>
      <c r="AB58" s="808">
        <v>10.352362305818273</v>
      </c>
      <c r="AC58" s="808">
        <v>10.308148857302731</v>
      </c>
      <c r="AD58" s="808">
        <v>10.425524476542993</v>
      </c>
      <c r="AE58" s="808">
        <v>10.940882307351673</v>
      </c>
      <c r="AF58" s="808">
        <v>11.42176022312632</v>
      </c>
      <c r="AG58" s="808">
        <v>11.244988016546237</v>
      </c>
      <c r="AH58" s="807">
        <v>11.108689749443538</v>
      </c>
      <c r="AI58" s="807">
        <v>10.955702916560027</v>
      </c>
      <c r="AJ58" s="807">
        <v>10.808061472563876</v>
      </c>
      <c r="AK58" s="933">
        <v>10.808061472563878</v>
      </c>
    </row>
    <row r="59" spans="1:49">
      <c r="A59" s="79" t="s">
        <v>6</v>
      </c>
      <c r="B59" s="807">
        <v>7.972096560462429</v>
      </c>
      <c r="C59" s="807">
        <v>8.024665092003751</v>
      </c>
      <c r="D59" s="807">
        <v>7.9325974415637415</v>
      </c>
      <c r="E59" s="807">
        <v>7.9169097215249904</v>
      </c>
      <c r="F59" s="807">
        <v>7.7565907055304422</v>
      </c>
      <c r="G59" s="807">
        <v>7.7913979204638215</v>
      </c>
      <c r="H59" s="807">
        <v>7.6563251749270425</v>
      </c>
      <c r="I59" s="807">
        <v>7.4320953315140228</v>
      </c>
      <c r="J59" s="807">
        <v>7.507658660680514</v>
      </c>
      <c r="K59" s="807">
        <v>7.4290498454596507</v>
      </c>
      <c r="L59" s="807">
        <v>7.1877814880665891</v>
      </c>
      <c r="M59" s="807">
        <v>6.7894858484892158</v>
      </c>
      <c r="N59" s="807">
        <v>7.1812116039377898</v>
      </c>
      <c r="O59" s="807">
        <v>6.2719474964916078</v>
      </c>
      <c r="P59" s="807">
        <v>7.4739484159893852</v>
      </c>
      <c r="Q59" s="807">
        <v>7.3194383045808129</v>
      </c>
      <c r="R59" s="807">
        <v>7.0945628605419397</v>
      </c>
      <c r="S59" s="807">
        <v>7.0548649126725334</v>
      </c>
      <c r="T59" s="807">
        <v>6.9690139393391197</v>
      </c>
      <c r="U59" s="807">
        <v>6.956722308205304</v>
      </c>
      <c r="V59" s="807">
        <v>6.9495634961196933</v>
      </c>
      <c r="W59" s="807">
        <v>6.879783869660141</v>
      </c>
      <c r="X59" s="807">
        <v>6.9142508071497941</v>
      </c>
      <c r="Y59" s="807">
        <v>6.6650201116380332</v>
      </c>
      <c r="Z59" s="808">
        <v>6.7351138504921666</v>
      </c>
      <c r="AA59" s="808">
        <v>6.5375167909861167</v>
      </c>
      <c r="AB59" s="808">
        <v>6.5181571071530264</v>
      </c>
      <c r="AC59" s="808">
        <v>6.5474905749568002</v>
      </c>
      <c r="AD59" s="808">
        <v>6.5434139165689551</v>
      </c>
      <c r="AE59" s="808">
        <v>6.559799031774439</v>
      </c>
      <c r="AF59" s="808">
        <v>6.5776141952161531</v>
      </c>
      <c r="AG59" s="808">
        <v>6.5315658077062633</v>
      </c>
      <c r="AH59" s="807">
        <v>6.4180198002789259</v>
      </c>
      <c r="AI59" s="807">
        <v>6.4318697635304387</v>
      </c>
      <c r="AJ59" s="807">
        <v>6.4309535229386601</v>
      </c>
      <c r="AK59" s="933">
        <v>6.4309535229386592</v>
      </c>
    </row>
    <row r="60" spans="1:49">
      <c r="A60" s="79" t="s">
        <v>7</v>
      </c>
      <c r="B60" s="807">
        <v>9.998210533788578</v>
      </c>
      <c r="C60" s="807">
        <v>9.7842370654667814</v>
      </c>
      <c r="D60" s="807">
        <v>9.1588794270591336</v>
      </c>
      <c r="E60" s="807">
        <v>9.4425375164795895</v>
      </c>
      <c r="F60" s="807">
        <v>9.5254751334152363</v>
      </c>
      <c r="G60" s="807">
        <v>9.9121960195060819</v>
      </c>
      <c r="H60" s="807">
        <v>10.452233569811453</v>
      </c>
      <c r="I60" s="807">
        <v>9.2644726406520306</v>
      </c>
      <c r="J60" s="807">
        <v>9.9976879470386386</v>
      </c>
      <c r="K60" s="807">
        <v>8.5860531150921986</v>
      </c>
      <c r="L60" s="807">
        <v>8.0921046211233509</v>
      </c>
      <c r="M60" s="807">
        <v>7.2532132813722532</v>
      </c>
      <c r="N60" s="807">
        <v>7.3564065181538778</v>
      </c>
      <c r="O60" s="807">
        <v>7.0807205127812978</v>
      </c>
      <c r="P60" s="807">
        <v>9.1905955750678761</v>
      </c>
      <c r="Q60" s="807">
        <v>9.4990726149230298</v>
      </c>
      <c r="R60" s="807">
        <v>9.5424606713468627</v>
      </c>
      <c r="S60" s="807">
        <v>9.3101382154049137</v>
      </c>
      <c r="T60" s="807">
        <v>9.1002804912136863</v>
      </c>
      <c r="U60" s="807">
        <v>9.0939853720050454</v>
      </c>
      <c r="V60" s="807">
        <v>9.3517374585246884</v>
      </c>
      <c r="W60" s="807">
        <v>9.0811309041835369</v>
      </c>
      <c r="X60" s="807">
        <v>9.2626020065458743</v>
      </c>
      <c r="Y60" s="807">
        <v>9.3219750427566996</v>
      </c>
      <c r="Z60" s="808">
        <v>9.9194504274995641</v>
      </c>
      <c r="AA60" s="808">
        <v>9.2185863772890233</v>
      </c>
      <c r="AB60" s="808">
        <v>9.0563509648127152</v>
      </c>
      <c r="AC60" s="808">
        <v>8.9882780047445756</v>
      </c>
      <c r="AD60" s="808">
        <v>9.7644252821852202</v>
      </c>
      <c r="AE60" s="808">
        <v>8.8083595355000117</v>
      </c>
      <c r="AF60" s="808">
        <v>8.9180677716272339</v>
      </c>
      <c r="AG60" s="808">
        <v>10.03065787352431</v>
      </c>
      <c r="AH60" s="807">
        <v>9.5339149784770676</v>
      </c>
      <c r="AI60" s="807">
        <v>8.823038947206209</v>
      </c>
      <c r="AJ60" s="807">
        <v>9.394456127323517</v>
      </c>
      <c r="AK60" s="933">
        <v>9.394456127323517</v>
      </c>
    </row>
    <row r="61" spans="1:49">
      <c r="A61" s="79" t="s">
        <v>8</v>
      </c>
      <c r="B61" s="807">
        <v>8.5031631839632009</v>
      </c>
      <c r="C61" s="807">
        <v>8.5202704232167044</v>
      </c>
      <c r="D61" s="807">
        <v>8.4613616671786662</v>
      </c>
      <c r="E61" s="807">
        <v>8.4380648661760471</v>
      </c>
      <c r="F61" s="807">
        <v>8.3996147708689151</v>
      </c>
      <c r="G61" s="807">
        <v>8.3731141640027005</v>
      </c>
      <c r="H61" s="807">
        <v>8.392898327258985</v>
      </c>
      <c r="I61" s="807">
        <v>8.3918881725427674</v>
      </c>
      <c r="J61" s="807">
        <v>8.3746656353164965</v>
      </c>
      <c r="K61" s="807">
        <v>8.4981357867387022</v>
      </c>
      <c r="L61" s="807">
        <v>8.7884441044744577</v>
      </c>
      <c r="M61" s="807">
        <v>8.7756443623431046</v>
      </c>
      <c r="N61" s="807">
        <v>8.2478932311272146</v>
      </c>
      <c r="O61" s="807">
        <v>8.1935661659484591</v>
      </c>
      <c r="P61" s="807">
        <v>9.1372513814392899</v>
      </c>
      <c r="Q61" s="807">
        <v>9.1369761041674682</v>
      </c>
      <c r="R61" s="807">
        <v>9.401209770488153</v>
      </c>
      <c r="S61" s="807">
        <v>9.3715979331094417</v>
      </c>
      <c r="T61" s="807">
        <v>9.1013497789818931</v>
      </c>
      <c r="U61" s="807">
        <v>9.0463025510140991</v>
      </c>
      <c r="V61" s="807">
        <v>9.1197099359208256</v>
      </c>
      <c r="W61" s="807">
        <v>8.2195363710049119</v>
      </c>
      <c r="X61" s="807">
        <v>8.3144707555575241</v>
      </c>
      <c r="Y61" s="807">
        <v>7.3137582456259098</v>
      </c>
      <c r="Z61" s="808">
        <v>7.6794197297237137</v>
      </c>
      <c r="AA61" s="808">
        <v>7.6236279860526253</v>
      </c>
      <c r="AB61" s="808">
        <v>7.2587582052668154</v>
      </c>
      <c r="AC61" s="808">
        <v>7.2991686752887732</v>
      </c>
      <c r="AD61" s="808">
        <v>7.094653845232231</v>
      </c>
      <c r="AE61" s="808">
        <v>7.2162514629566852</v>
      </c>
      <c r="AF61" s="808">
        <v>6.8566801312924595</v>
      </c>
      <c r="AG61" s="808">
        <v>7.5499657741495501</v>
      </c>
      <c r="AH61" s="807">
        <v>7.1496250653782454</v>
      </c>
      <c r="AI61" s="807">
        <v>7.1776746724529605</v>
      </c>
      <c r="AJ61" s="807">
        <v>6.725393322360615</v>
      </c>
      <c r="AK61" s="933">
        <v>6.7253933223606159</v>
      </c>
    </row>
    <row r="62" spans="1:49">
      <c r="A62" s="79" t="s">
        <v>749</v>
      </c>
      <c r="B62" s="807">
        <v>15.774087568028701</v>
      </c>
      <c r="C62" s="807">
        <v>10.827758516630336</v>
      </c>
      <c r="D62" s="807">
        <v>10.683146280767833</v>
      </c>
      <c r="E62" s="807">
        <v>10.209036208347012</v>
      </c>
      <c r="F62" s="807">
        <v>9.9660395387578298</v>
      </c>
      <c r="G62" s="807">
        <v>10.974509078336178</v>
      </c>
      <c r="H62" s="807">
        <v>10.187333086032105</v>
      </c>
      <c r="I62" s="807">
        <v>10.67497347633905</v>
      </c>
      <c r="J62" s="807">
        <v>9.811211668565381</v>
      </c>
      <c r="K62" s="807">
        <v>10.096726238057801</v>
      </c>
      <c r="L62" s="807">
        <v>9.5874247712814658</v>
      </c>
      <c r="M62" s="807">
        <v>9.146568154094334</v>
      </c>
      <c r="N62" s="807">
        <v>9.5660709967487758</v>
      </c>
      <c r="O62" s="807">
        <v>13.304132200966976</v>
      </c>
      <c r="P62" s="807">
        <v>14.546693588327177</v>
      </c>
      <c r="Q62" s="807">
        <v>14.465061621319157</v>
      </c>
      <c r="R62" s="807">
        <v>14.257521255639576</v>
      </c>
      <c r="S62" s="807">
        <v>15.338508473525081</v>
      </c>
      <c r="T62" s="807">
        <v>13.840791652698623</v>
      </c>
      <c r="U62" s="807">
        <v>13.608035474482664</v>
      </c>
      <c r="V62" s="807">
        <v>12.405418793055937</v>
      </c>
      <c r="W62" s="807">
        <v>13.239224861991413</v>
      </c>
      <c r="X62" s="807">
        <v>12.706316875611146</v>
      </c>
      <c r="Y62" s="807">
        <v>11.776717162481606</v>
      </c>
      <c r="Z62" s="808">
        <v>11.501817692237081</v>
      </c>
      <c r="AA62" s="808">
        <v>10.654499276202225</v>
      </c>
      <c r="AB62" s="808">
        <v>10.766116470763279</v>
      </c>
      <c r="AC62" s="808">
        <v>10.597620997730274</v>
      </c>
      <c r="AD62" s="808">
        <v>10.605279793874763</v>
      </c>
      <c r="AE62" s="808">
        <v>10.770431417521857</v>
      </c>
      <c r="AF62" s="808">
        <v>10.692751866717861</v>
      </c>
      <c r="AG62" s="808">
        <v>10.816411801207183</v>
      </c>
      <c r="AH62" s="807">
        <v>11.026171802302057</v>
      </c>
      <c r="AI62" s="807">
        <v>11.136357656076424</v>
      </c>
      <c r="AJ62" s="807">
        <v>11.015117419008449</v>
      </c>
      <c r="AK62" s="933">
        <v>11.015117419008448</v>
      </c>
    </row>
    <row r="63" spans="1:49">
      <c r="A63" s="79" t="s">
        <v>751</v>
      </c>
      <c r="B63" s="807">
        <v>20.726918027310674</v>
      </c>
      <c r="C63" s="807">
        <v>10.527383660111164</v>
      </c>
      <c r="D63" s="807">
        <v>9.935347131992641</v>
      </c>
      <c r="E63" s="807">
        <v>9.4953985561802003</v>
      </c>
      <c r="F63" s="807">
        <v>13.814330894730999</v>
      </c>
      <c r="G63" s="807">
        <v>23.016449353856565</v>
      </c>
      <c r="H63" s="807">
        <v>20.391688558304772</v>
      </c>
      <c r="I63" s="807">
        <v>22.672245837450589</v>
      </c>
      <c r="J63" s="807">
        <v>18.222582041298235</v>
      </c>
      <c r="K63" s="807">
        <v>23.395421404323159</v>
      </c>
      <c r="L63" s="807">
        <v>12.451342747695312</v>
      </c>
      <c r="M63" s="807">
        <v>10.453852049857609</v>
      </c>
      <c r="N63" s="807">
        <v>9.294335521828577</v>
      </c>
      <c r="O63" s="807">
        <v>18.164619161680868</v>
      </c>
      <c r="P63" s="807">
        <v>17.175492703332235</v>
      </c>
      <c r="Q63" s="807">
        <v>16.446846741239128</v>
      </c>
      <c r="R63" s="807">
        <v>16.207767789707518</v>
      </c>
      <c r="S63" s="807">
        <v>18.797111119084366</v>
      </c>
      <c r="T63" s="807">
        <v>16.103076923076909</v>
      </c>
      <c r="U63" s="807">
        <v>17.318891566265059</v>
      </c>
      <c r="V63" s="807">
        <v>15.808719165804037</v>
      </c>
      <c r="W63" s="807">
        <v>15.692699709006618</v>
      </c>
      <c r="X63" s="807">
        <v>15.780113295021017</v>
      </c>
      <c r="Y63" s="807">
        <v>15.275500584655779</v>
      </c>
      <c r="Z63" s="808">
        <v>14.963747983645749</v>
      </c>
      <c r="AA63" s="808">
        <v>14.776147503625463</v>
      </c>
      <c r="AB63" s="808">
        <v>14.644314725872215</v>
      </c>
      <c r="AC63" s="808">
        <v>14.345649579576333</v>
      </c>
      <c r="AD63" s="808">
        <v>14.322881907986329</v>
      </c>
      <c r="AE63" s="808">
        <v>14.966391764015448</v>
      </c>
      <c r="AF63" s="808">
        <v>14.498103098960991</v>
      </c>
      <c r="AG63" s="808">
        <v>14.354065475527179</v>
      </c>
      <c r="AH63" s="807">
        <v>14.293719026658717</v>
      </c>
      <c r="AI63" s="807">
        <v>14.879806701294655</v>
      </c>
      <c r="AJ63" s="807">
        <v>14.868964205655972</v>
      </c>
      <c r="AK63" s="933">
        <v>14.868964205655987</v>
      </c>
    </row>
    <row r="64" spans="1:49">
      <c r="A64" s="80" t="s">
        <v>614</v>
      </c>
      <c r="B64" s="814">
        <v>8.6988718667946401</v>
      </c>
      <c r="C64" s="814">
        <v>8.7066660926063317</v>
      </c>
      <c r="D64" s="814">
        <v>8.5553818584725096</v>
      </c>
      <c r="E64" s="814">
        <v>8.4699282656855441</v>
      </c>
      <c r="F64" s="814">
        <v>8.4367214768500354</v>
      </c>
      <c r="G64" s="814">
        <v>8.4459532004402949</v>
      </c>
      <c r="H64" s="814">
        <v>8.4070412159587651</v>
      </c>
      <c r="I64" s="814">
        <v>8.2583972430894228</v>
      </c>
      <c r="J64" s="814">
        <v>8.2673350571839599</v>
      </c>
      <c r="K64" s="814">
        <v>8.1944055003450558</v>
      </c>
      <c r="L64" s="814">
        <v>8.153330625217496</v>
      </c>
      <c r="M64" s="814">
        <v>7.9564875014733873</v>
      </c>
      <c r="N64" s="814">
        <v>8.0849303781316983</v>
      </c>
      <c r="O64" s="814">
        <v>7.6287279847227838</v>
      </c>
      <c r="P64" s="814">
        <v>8.6059453008708751</v>
      </c>
      <c r="Q64" s="814">
        <v>8.4017568370231697</v>
      </c>
      <c r="R64" s="814">
        <v>8.2568372534770447</v>
      </c>
      <c r="S64" s="814">
        <v>8.1774018232214498</v>
      </c>
      <c r="T64" s="814">
        <v>8.0670075195183681</v>
      </c>
      <c r="U64" s="814">
        <v>8.1036326252379265</v>
      </c>
      <c r="V64" s="814">
        <v>8.0221711590753912</v>
      </c>
      <c r="W64" s="814">
        <v>8.0157240046629923</v>
      </c>
      <c r="X64" s="814">
        <v>8.1381683290952669</v>
      </c>
      <c r="Y64" s="814">
        <v>8.0572086641607221</v>
      </c>
      <c r="Z64" s="816">
        <v>8.2333068686134752</v>
      </c>
      <c r="AA64" s="816">
        <v>7.9169178783377916</v>
      </c>
      <c r="AB64" s="816">
        <v>7.6762385686301551</v>
      </c>
      <c r="AC64" s="816">
        <v>7.5534956428677047</v>
      </c>
      <c r="AD64" s="816">
        <v>7.5727409680958013</v>
      </c>
      <c r="AE64" s="816">
        <v>7.4366511044437846</v>
      </c>
      <c r="AF64" s="816">
        <v>7.3973544826846691</v>
      </c>
      <c r="AG64" s="816">
        <v>7.3732581134807171</v>
      </c>
      <c r="AH64" s="814">
        <v>7.4063875022644492</v>
      </c>
      <c r="AI64" s="814">
        <v>7.3183828425580923</v>
      </c>
      <c r="AJ64" s="814">
        <v>7.0951441597843248</v>
      </c>
      <c r="AK64" s="934">
        <v>7.0707053880864441</v>
      </c>
    </row>
    <row r="65" spans="1:37">
      <c r="A65" s="806" t="s">
        <v>636</v>
      </c>
      <c r="B65" s="807">
        <v>8.6957475622834437</v>
      </c>
      <c r="C65" s="807">
        <v>8.7002018569125088</v>
      </c>
      <c r="D65" s="807">
        <v>8.5495459239543123</v>
      </c>
      <c r="E65" s="807">
        <v>8.4635475842252408</v>
      </c>
      <c r="F65" s="807">
        <v>8.4282368816065336</v>
      </c>
      <c r="G65" s="807">
        <v>8.4340847811447635</v>
      </c>
      <c r="H65" s="807">
        <v>8.3877420949491306</v>
      </c>
      <c r="I65" s="807">
        <v>8.2288917724248165</v>
      </c>
      <c r="J65" s="807">
        <v>8.2297156524992019</v>
      </c>
      <c r="K65" s="807">
        <v>8.1419527799288165</v>
      </c>
      <c r="L65" s="807">
        <v>8.0940157302861078</v>
      </c>
      <c r="M65" s="807">
        <v>7.9496055137751878</v>
      </c>
      <c r="N65" s="807">
        <v>8.0669596905520091</v>
      </c>
      <c r="O65" s="807">
        <v>7.563025506060236</v>
      </c>
      <c r="P65" s="807">
        <v>8.5093650617698824</v>
      </c>
      <c r="Q65" s="807">
        <v>8.2962933663254734</v>
      </c>
      <c r="R65" s="807">
        <v>8.1465900807054421</v>
      </c>
      <c r="S65" s="807">
        <v>8.0513350442699316</v>
      </c>
      <c r="T65" s="807">
        <v>7.9496759458102391</v>
      </c>
      <c r="U65" s="807">
        <v>7.9456850709542692</v>
      </c>
      <c r="V65" s="807">
        <v>7.8697284324461965</v>
      </c>
      <c r="W65" s="807">
        <v>7.7866265023293639</v>
      </c>
      <c r="X65" s="807">
        <v>7.8982501567497447</v>
      </c>
      <c r="Y65" s="807">
        <v>7.7486867632775294</v>
      </c>
      <c r="Z65" s="808">
        <v>7.9024881148276025</v>
      </c>
      <c r="AA65" s="808">
        <v>7.6699709058829404</v>
      </c>
      <c r="AB65" s="808">
        <v>7.4032654773801614</v>
      </c>
      <c r="AC65" s="808">
        <v>7.2991224896832057</v>
      </c>
      <c r="AD65" s="808">
        <v>7.2980573021033708</v>
      </c>
      <c r="AE65" s="808">
        <v>7.1329235973189951</v>
      </c>
      <c r="AF65" s="808">
        <v>7.0643401594998849</v>
      </c>
      <c r="AG65" s="808">
        <v>7.0520899050707762</v>
      </c>
      <c r="AH65" s="807">
        <v>7.1128949358012719</v>
      </c>
      <c r="AI65" s="807">
        <v>6.9802488961781153</v>
      </c>
      <c r="AJ65" s="807">
        <v>6.6824416967339086</v>
      </c>
      <c r="AK65" s="933">
        <v>6.655065310187652</v>
      </c>
    </row>
    <row r="66" spans="1:37">
      <c r="A66" s="806" t="s">
        <v>637</v>
      </c>
      <c r="B66" s="807">
        <v>11.002918166615745</v>
      </c>
      <c r="C66" s="807">
        <v>11.158826115223611</v>
      </c>
      <c r="D66" s="807">
        <v>11.403517479897491</v>
      </c>
      <c r="E66" s="807">
        <v>10.89649889411964</v>
      </c>
      <c r="F66" s="807">
        <v>8.197866810369435</v>
      </c>
      <c r="G66" s="807">
        <v>7.8351730960663906</v>
      </c>
      <c r="H66" s="807">
        <v>7.8727543392880248</v>
      </c>
      <c r="I66" s="807">
        <v>8.725833727911823</v>
      </c>
      <c r="J66" s="807">
        <v>8.0140887519778801</v>
      </c>
      <c r="K66" s="807">
        <v>7.4849276514633054</v>
      </c>
      <c r="L66" s="807">
        <v>8.8860613988716608</v>
      </c>
      <c r="M66" s="807">
        <v>8.7387968343536251</v>
      </c>
      <c r="N66" s="807">
        <v>9.6360405050435709</v>
      </c>
      <c r="O66" s="807">
        <v>12.092524320272993</v>
      </c>
      <c r="P66" s="807">
        <v>13.888014387975085</v>
      </c>
      <c r="Q66" s="807">
        <v>13.932468823836091</v>
      </c>
      <c r="R66" s="807">
        <v>13.724825435349796</v>
      </c>
      <c r="S66" s="807">
        <v>14.385228532718875</v>
      </c>
      <c r="T66" s="807">
        <v>13.203762056496368</v>
      </c>
      <c r="U66" s="807">
        <v>12.755183591795898</v>
      </c>
      <c r="V66" s="807">
        <v>11.648711625583129</v>
      </c>
      <c r="W66" s="807">
        <v>12.72654236433476</v>
      </c>
      <c r="X66" s="807">
        <v>12.159178946282589</v>
      </c>
      <c r="Y66" s="807">
        <v>11.313957775596457</v>
      </c>
      <c r="Z66" s="808">
        <v>11.055799443313868</v>
      </c>
      <c r="AA66" s="808">
        <v>10.155181746945784</v>
      </c>
      <c r="AB66" s="808">
        <v>10.289441067052797</v>
      </c>
      <c r="AC66" s="808">
        <v>10.140942977220618</v>
      </c>
      <c r="AD66" s="808">
        <v>10.153905139807948</v>
      </c>
      <c r="AE66" s="808">
        <v>10.282583934439229</v>
      </c>
      <c r="AF66" s="808">
        <v>10.250756231466436</v>
      </c>
      <c r="AG66" s="808">
        <v>10.397372389348625</v>
      </c>
      <c r="AH66" s="807">
        <v>10.600990605305185</v>
      </c>
      <c r="AI66" s="807">
        <v>10.604010567302433</v>
      </c>
      <c r="AJ66" s="807">
        <v>10.530033002395404</v>
      </c>
      <c r="AK66" s="933">
        <v>10.530033002395403</v>
      </c>
    </row>
    <row r="67" spans="1:37">
      <c r="A67" s="967"/>
    </row>
    <row r="68" spans="1:3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40"/>
    </row>
    <row r="69" spans="1:3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40"/>
    </row>
    <row r="70" spans="1:3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40"/>
    </row>
    <row r="71" spans="1:3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40"/>
    </row>
    <row r="72" spans="1:3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40"/>
    </row>
    <row r="999998" spans="1:1">
      <c r="A999998" s="818"/>
    </row>
    <row r="999999" spans="1:1">
      <c r="A999999" s="818"/>
    </row>
    <row r="1000000" spans="1:1">
      <c r="A1000000" s="818"/>
    </row>
    <row r="1000001" spans="1:1">
      <c r="A1000001" s="818"/>
    </row>
    <row r="1000002" spans="1:1">
      <c r="A1000002" s="818"/>
    </row>
    <row r="1000003" spans="1:1">
      <c r="A1000003" s="818"/>
    </row>
    <row r="1000004" spans="1:1">
      <c r="A1000004" s="818"/>
    </row>
  </sheetData>
  <sheetProtection algorithmName="SHA-512" hashValue="YESpvdkPs7Fk4GbibBeGW3lF1DbdyfwxI/CpSjnfPeFqV+widFucZHEML/D/U5YJ4WFdpA8+irOGECzlw+1/iA==" saltValue="mAWjvniiG/5np5q7MoQbIA==" spinCount="100000" sheet="1" objects="1" scenarios="1"/>
  <mergeCells count="3">
    <mergeCell ref="A4:A5"/>
    <mergeCell ref="AM4:AM5"/>
    <mergeCell ref="AL4:AL5"/>
  </mergeCells>
  <hyperlinks>
    <hyperlink ref="A1" location="Indice!A1" display="Torna indietro" xr:uid="{7D9001B7-1012-45AB-A4B6-4E3067B118D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20"/>
  <dimension ref="A1:W54"/>
  <sheetViews>
    <sheetView showGridLines="0" zoomScaleNormal="100" workbookViewId="0">
      <pane ySplit="4" topLeftCell="A5" activePane="bottomLeft" state="frozen"/>
      <selection activeCell="P19" sqref="P19"/>
      <selection pane="bottomLeft"/>
    </sheetView>
  </sheetViews>
  <sheetFormatPr defaultRowHeight="14.5"/>
  <cols>
    <col min="1" max="1" width="47.54296875" customWidth="1"/>
    <col min="2" max="2" width="8.453125" bestFit="1" customWidth="1"/>
    <col min="3" max="6" width="8.984375E-2" customWidth="1"/>
    <col min="7" max="7" width="8.453125" bestFit="1" customWidth="1"/>
    <col min="8" max="11" width="8.984375E-2" customWidth="1"/>
    <col min="12" max="12" width="8.453125" bestFit="1" customWidth="1"/>
    <col min="13" max="16" width="8.984375E-2" customWidth="1"/>
    <col min="17" max="17" width="8.453125" bestFit="1" customWidth="1"/>
    <col min="21" max="22" width="8.90625" style="306"/>
    <col min="23" max="23" width="10.81640625" bestFit="1" customWidth="1"/>
  </cols>
  <sheetData>
    <row r="1" spans="1:22" ht="15.5">
      <c r="A1" s="108" t="s">
        <v>694</v>
      </c>
      <c r="B1" s="546"/>
      <c r="C1" s="108"/>
    </row>
    <row r="2" spans="1:22" ht="15.5">
      <c r="A2" s="47" t="s">
        <v>792</v>
      </c>
    </row>
    <row r="3" spans="1:22" ht="15">
      <c r="A3" s="1093" t="s">
        <v>57</v>
      </c>
      <c r="B3" s="710" t="s">
        <v>78</v>
      </c>
      <c r="C3" s="711"/>
      <c r="D3" s="711"/>
      <c r="E3" s="711"/>
      <c r="F3" s="711"/>
      <c r="G3" s="711"/>
      <c r="H3" s="711"/>
      <c r="I3" s="711"/>
      <c r="J3" s="711"/>
      <c r="K3" s="711"/>
      <c r="L3" s="711"/>
      <c r="M3" s="711"/>
      <c r="N3" s="711"/>
      <c r="O3" s="711"/>
      <c r="P3" s="711"/>
      <c r="Q3" s="711"/>
      <c r="R3" s="711"/>
      <c r="S3" s="712"/>
      <c r="T3" s="713"/>
      <c r="U3" s="757"/>
      <c r="V3" s="757"/>
    </row>
    <row r="4" spans="1:22" ht="15.5">
      <c r="A4" s="1094"/>
      <c r="B4" s="503">
        <v>2005</v>
      </c>
      <c r="C4" s="503">
        <v>2006</v>
      </c>
      <c r="D4" s="503">
        <v>2007</v>
      </c>
      <c r="E4" s="503">
        <v>2008</v>
      </c>
      <c r="F4" s="503">
        <v>2009</v>
      </c>
      <c r="G4" s="503">
        <v>2010</v>
      </c>
      <c r="H4" s="503">
        <v>2011</v>
      </c>
      <c r="I4" s="503">
        <v>2012</v>
      </c>
      <c r="J4" s="503">
        <v>2013</v>
      </c>
      <c r="K4" s="503">
        <v>2014</v>
      </c>
      <c r="L4" s="503">
        <v>2015</v>
      </c>
      <c r="M4" s="503">
        <v>2016</v>
      </c>
      <c r="N4" s="503">
        <v>2017</v>
      </c>
      <c r="O4" s="503">
        <v>2018</v>
      </c>
      <c r="P4" s="503">
        <v>2019</v>
      </c>
      <c r="Q4" s="503">
        <v>2020</v>
      </c>
      <c r="R4" s="503">
        <v>2021</v>
      </c>
      <c r="S4" s="503">
        <v>2022</v>
      </c>
      <c r="T4" s="503">
        <f>+S4+1</f>
        <v>2023</v>
      </c>
      <c r="U4" s="503">
        <f>+T4+1</f>
        <v>2024</v>
      </c>
      <c r="V4" s="798">
        <v>2025</v>
      </c>
    </row>
    <row r="5" spans="1:22">
      <c r="A5" s="50" t="s">
        <v>58</v>
      </c>
      <c r="B5" s="51">
        <v>919.86301040038472</v>
      </c>
      <c r="C5" s="51">
        <v>898.57581152819716</v>
      </c>
      <c r="D5" s="51">
        <v>922.14202018328285</v>
      </c>
      <c r="E5" s="51">
        <v>934.78721528610481</v>
      </c>
      <c r="F5" s="51">
        <v>910.84520965267347</v>
      </c>
      <c r="G5" s="51">
        <v>889.01299148314058</v>
      </c>
      <c r="H5" s="51">
        <v>872.58147342777056</v>
      </c>
      <c r="I5" s="51">
        <v>860.79952351995178</v>
      </c>
      <c r="J5" s="51">
        <v>877.01461569859589</v>
      </c>
      <c r="K5" s="51">
        <v>875.63678060898326</v>
      </c>
      <c r="L5" s="51">
        <v>898.32302886903517</v>
      </c>
      <c r="M5" s="51">
        <v>895.25130873765625</v>
      </c>
      <c r="N5" s="51">
        <v>869.95041183168678</v>
      </c>
      <c r="O5" s="51">
        <v>884.44615731988006</v>
      </c>
      <c r="P5" s="51">
        <v>908.87712567892527</v>
      </c>
      <c r="Q5" s="51">
        <v>927.18176589332518</v>
      </c>
      <c r="R5" s="51">
        <v>934.77312959760673</v>
      </c>
      <c r="S5" s="51">
        <v>932.31341784665949</v>
      </c>
      <c r="T5" s="51">
        <v>917.12156981121166</v>
      </c>
      <c r="U5" s="51">
        <v>862.41226324509489</v>
      </c>
      <c r="V5" s="763">
        <v>862.41226324509501</v>
      </c>
    </row>
    <row r="6" spans="1:22">
      <c r="A6" s="50" t="s">
        <v>59</v>
      </c>
      <c r="B6" s="51" t="s">
        <v>854</v>
      </c>
      <c r="C6" s="51" t="s">
        <v>854</v>
      </c>
      <c r="D6" s="51">
        <v>758.51798690445787</v>
      </c>
      <c r="E6" s="51" t="s">
        <v>854</v>
      </c>
      <c r="F6" s="51">
        <v>868.74063665360165</v>
      </c>
      <c r="G6" s="51">
        <v>845.38734234475646</v>
      </c>
      <c r="H6" s="51" t="s">
        <v>854</v>
      </c>
      <c r="I6" s="51">
        <v>894.22904715941138</v>
      </c>
      <c r="J6" s="51">
        <v>881.37589639142629</v>
      </c>
      <c r="K6" s="51">
        <v>891.94804540563928</v>
      </c>
      <c r="L6" s="51">
        <v>1020.425567411062</v>
      </c>
      <c r="M6" s="51" t="s">
        <v>854</v>
      </c>
      <c r="N6" s="51">
        <v>970.85860157453317</v>
      </c>
      <c r="O6" s="51">
        <v>948.50196506659347</v>
      </c>
      <c r="P6" s="51" t="s">
        <v>854</v>
      </c>
      <c r="Q6" s="51" t="s">
        <v>854</v>
      </c>
      <c r="R6" s="51" t="s">
        <v>854</v>
      </c>
      <c r="S6" s="51" t="s">
        <v>854</v>
      </c>
      <c r="T6" s="51" t="s">
        <v>854</v>
      </c>
      <c r="U6" s="51" t="s">
        <v>854</v>
      </c>
      <c r="V6" s="763" t="s">
        <v>854</v>
      </c>
    </row>
    <row r="7" spans="1:22">
      <c r="A7" s="50" t="s">
        <v>60</v>
      </c>
      <c r="B7" s="51" t="s">
        <v>854</v>
      </c>
      <c r="C7" s="51" t="s">
        <v>854</v>
      </c>
      <c r="D7" s="51" t="s">
        <v>854</v>
      </c>
      <c r="E7" s="51" t="s">
        <v>854</v>
      </c>
      <c r="F7" s="51" t="s">
        <v>854</v>
      </c>
      <c r="G7" s="51" t="s">
        <v>854</v>
      </c>
      <c r="H7" s="51" t="s">
        <v>854</v>
      </c>
      <c r="I7" s="51" t="s">
        <v>854</v>
      </c>
      <c r="J7" s="51" t="s">
        <v>854</v>
      </c>
      <c r="K7" s="51" t="s">
        <v>854</v>
      </c>
      <c r="L7" s="51" t="s">
        <v>854</v>
      </c>
      <c r="M7" s="51" t="s">
        <v>854</v>
      </c>
      <c r="N7" s="51" t="s">
        <v>854</v>
      </c>
      <c r="O7" s="51" t="s">
        <v>854</v>
      </c>
      <c r="P7" s="51" t="s">
        <v>854</v>
      </c>
      <c r="Q7" s="51" t="s">
        <v>854</v>
      </c>
      <c r="R7" s="51" t="s">
        <v>854</v>
      </c>
      <c r="S7" s="51" t="s">
        <v>854</v>
      </c>
      <c r="T7" s="51" t="s">
        <v>854</v>
      </c>
      <c r="U7" s="51" t="s">
        <v>854</v>
      </c>
      <c r="V7" s="763" t="s">
        <v>854</v>
      </c>
    </row>
    <row r="8" spans="1:22">
      <c r="A8" s="50" t="s">
        <v>61</v>
      </c>
      <c r="B8" s="51" t="s">
        <v>854</v>
      </c>
      <c r="C8" s="51" t="s">
        <v>854</v>
      </c>
      <c r="D8" s="51" t="s">
        <v>854</v>
      </c>
      <c r="E8" s="51" t="s">
        <v>854</v>
      </c>
      <c r="F8" s="51">
        <v>907.76973967372442</v>
      </c>
      <c r="G8" s="51">
        <v>926.77345971662555</v>
      </c>
      <c r="H8" s="51">
        <v>1007.5142751219514</v>
      </c>
      <c r="I8" s="51">
        <v>946.4535894812683</v>
      </c>
      <c r="J8" s="51">
        <v>904.98632585267399</v>
      </c>
      <c r="K8" s="51">
        <v>908.13805741444867</v>
      </c>
      <c r="L8" s="51">
        <v>945.90377281690155</v>
      </c>
      <c r="M8" s="51">
        <v>919.74960557923271</v>
      </c>
      <c r="N8" s="51">
        <v>1010.6625046501707</v>
      </c>
      <c r="O8" s="51" t="s">
        <v>854</v>
      </c>
      <c r="P8" s="51" t="s">
        <v>854</v>
      </c>
      <c r="Q8" s="51" t="s">
        <v>854</v>
      </c>
      <c r="R8" s="51" t="s">
        <v>854</v>
      </c>
      <c r="S8" s="51" t="s">
        <v>854</v>
      </c>
      <c r="T8" s="51" t="s">
        <v>854</v>
      </c>
      <c r="U8" s="51" t="s">
        <v>854</v>
      </c>
      <c r="V8" s="763" t="s">
        <v>854</v>
      </c>
    </row>
    <row r="9" spans="1:22">
      <c r="A9" s="52" t="s">
        <v>5</v>
      </c>
      <c r="B9" s="53">
        <v>919.86301040038472</v>
      </c>
      <c r="C9" s="53">
        <v>898.57581152819716</v>
      </c>
      <c r="D9" s="53">
        <v>921.60269241366939</v>
      </c>
      <c r="E9" s="53">
        <v>934.78721528610481</v>
      </c>
      <c r="F9" s="53">
        <v>910.39956186582276</v>
      </c>
      <c r="G9" s="53">
        <v>889.47914790018706</v>
      </c>
      <c r="H9" s="53">
        <v>873.69470071894705</v>
      </c>
      <c r="I9" s="53">
        <v>862.45307697388535</v>
      </c>
      <c r="J9" s="53">
        <v>877.65336236047153</v>
      </c>
      <c r="K9" s="53">
        <v>876.4342238953144</v>
      </c>
      <c r="L9" s="53">
        <v>899.77381817586729</v>
      </c>
      <c r="M9" s="53">
        <v>895.42888298184539</v>
      </c>
      <c r="N9" s="53">
        <v>870.03937835503655</v>
      </c>
      <c r="O9" s="53">
        <v>884.45511791307888</v>
      </c>
      <c r="P9" s="53">
        <v>908.87712567892527</v>
      </c>
      <c r="Q9" s="53">
        <v>927.18176589332518</v>
      </c>
      <c r="R9" s="53">
        <v>934.77312959760673</v>
      </c>
      <c r="S9" s="53">
        <v>932.31341784665949</v>
      </c>
      <c r="T9" s="53">
        <v>917.12156981121166</v>
      </c>
      <c r="U9" s="53">
        <v>862.41226324509489</v>
      </c>
      <c r="V9" s="758">
        <v>862.41226324509501</v>
      </c>
    </row>
    <row r="10" spans="1:22">
      <c r="A10" s="50" t="s">
        <v>62</v>
      </c>
      <c r="B10" s="51">
        <v>400.5362568137042</v>
      </c>
      <c r="C10" s="51">
        <v>389.78025516354779</v>
      </c>
      <c r="D10" s="51">
        <v>387.26486770383264</v>
      </c>
      <c r="E10" s="51">
        <v>391.48799843886928</v>
      </c>
      <c r="F10" s="51">
        <v>391.34801783991605</v>
      </c>
      <c r="G10" s="51">
        <v>391.03106741154966</v>
      </c>
      <c r="H10" s="51">
        <v>384.33883950500382</v>
      </c>
      <c r="I10" s="51">
        <v>387.78837684033346</v>
      </c>
      <c r="J10" s="51">
        <v>372.78582123158014</v>
      </c>
      <c r="K10" s="51">
        <v>376.45818709320525</v>
      </c>
      <c r="L10" s="51">
        <v>367.51640695193237</v>
      </c>
      <c r="M10" s="51">
        <v>370.33463685932185</v>
      </c>
      <c r="N10" s="51">
        <v>370.77783966316287</v>
      </c>
      <c r="O10" s="51">
        <v>369.471765657204</v>
      </c>
      <c r="P10" s="51">
        <v>369.47090361206028</v>
      </c>
      <c r="Q10" s="51">
        <v>371.67283210895351</v>
      </c>
      <c r="R10" s="51">
        <v>372.62496473739247</v>
      </c>
      <c r="S10" s="51">
        <v>369.59996818488389</v>
      </c>
      <c r="T10" s="51">
        <v>371.88898839494607</v>
      </c>
      <c r="U10" s="51">
        <v>370.55863419222806</v>
      </c>
      <c r="V10" s="763">
        <v>370.558634192228</v>
      </c>
    </row>
    <row r="11" spans="1:22">
      <c r="A11" s="52" t="s">
        <v>63</v>
      </c>
      <c r="B11" s="53">
        <v>400.5362568137042</v>
      </c>
      <c r="C11" s="53">
        <v>389.78025516354779</v>
      </c>
      <c r="D11" s="53">
        <v>387.26486770383264</v>
      </c>
      <c r="E11" s="53">
        <v>391.48799843886928</v>
      </c>
      <c r="F11" s="53">
        <v>391.34801783991605</v>
      </c>
      <c r="G11" s="53">
        <v>391.03106741154966</v>
      </c>
      <c r="H11" s="53">
        <v>384.33883950500382</v>
      </c>
      <c r="I11" s="53">
        <v>387.78837684033346</v>
      </c>
      <c r="J11" s="53">
        <v>372.78582123158014</v>
      </c>
      <c r="K11" s="53">
        <v>376.45818709320525</v>
      </c>
      <c r="L11" s="53">
        <v>367.51640695193237</v>
      </c>
      <c r="M11" s="53">
        <v>370.33463685932185</v>
      </c>
      <c r="N11" s="53">
        <v>370.77783966316287</v>
      </c>
      <c r="O11" s="53">
        <v>369.471765657204</v>
      </c>
      <c r="P11" s="53">
        <v>369.47090361206028</v>
      </c>
      <c r="Q11" s="53">
        <v>371.67283210895351</v>
      </c>
      <c r="R11" s="53">
        <v>372.62496473739247</v>
      </c>
      <c r="S11" s="53">
        <v>369.59996818488389</v>
      </c>
      <c r="T11" s="53">
        <v>371.88898839494607</v>
      </c>
      <c r="U11" s="53">
        <v>370.55863419222806</v>
      </c>
      <c r="V11" s="758">
        <v>370.558634192228</v>
      </c>
    </row>
    <row r="12" spans="1:22">
      <c r="A12" s="50" t="s">
        <v>21</v>
      </c>
      <c r="B12" s="62" t="s">
        <v>21</v>
      </c>
      <c r="C12" s="62" t="s">
        <v>21</v>
      </c>
      <c r="D12" s="62" t="s">
        <v>21</v>
      </c>
      <c r="E12" s="62" t="s">
        <v>21</v>
      </c>
      <c r="F12" s="62" t="s">
        <v>21</v>
      </c>
      <c r="G12" s="62" t="s">
        <v>21</v>
      </c>
      <c r="H12" s="62" t="s">
        <v>21</v>
      </c>
      <c r="I12" s="62" t="s">
        <v>21</v>
      </c>
      <c r="J12" s="62" t="s">
        <v>21</v>
      </c>
      <c r="K12" s="62" t="s">
        <v>21</v>
      </c>
      <c r="L12" s="62" t="s">
        <v>21</v>
      </c>
      <c r="M12" s="62" t="s">
        <v>21</v>
      </c>
      <c r="N12" s="62" t="s">
        <v>21</v>
      </c>
      <c r="O12" s="62" t="s">
        <v>21</v>
      </c>
      <c r="P12" s="62" t="s">
        <v>21</v>
      </c>
      <c r="Q12" s="62" t="s">
        <v>21</v>
      </c>
      <c r="R12" s="62" t="s">
        <v>21</v>
      </c>
      <c r="S12" s="62" t="s">
        <v>21</v>
      </c>
      <c r="T12" s="62" t="s">
        <v>21</v>
      </c>
      <c r="U12" s="62" t="s">
        <v>21</v>
      </c>
      <c r="V12" s="764" t="s">
        <v>21</v>
      </c>
    </row>
    <row r="13" spans="1:22">
      <c r="A13" s="52" t="s">
        <v>64</v>
      </c>
      <c r="B13" s="53">
        <v>1906.2853366371291</v>
      </c>
      <c r="C13" s="53">
        <v>1867.0910392222877</v>
      </c>
      <c r="D13" s="53">
        <v>1794.6407810542585</v>
      </c>
      <c r="E13" s="53">
        <v>1690.7157184241219</v>
      </c>
      <c r="F13" s="53">
        <v>1620.2567651019049</v>
      </c>
      <c r="G13" s="53">
        <v>1664.9388174834778</v>
      </c>
      <c r="H13" s="53">
        <v>1629.8630145789484</v>
      </c>
      <c r="I13" s="53">
        <v>1495.8769747691595</v>
      </c>
      <c r="J13" s="53">
        <v>1606.0201425642711</v>
      </c>
      <c r="K13" s="53">
        <v>1793.9296662706413</v>
      </c>
      <c r="L13" s="53">
        <v>1624.8209309418553</v>
      </c>
      <c r="M13" s="53">
        <v>1639.4677875182267</v>
      </c>
      <c r="N13" s="53">
        <v>1498.3587269450604</v>
      </c>
      <c r="O13" s="53">
        <v>1651.213965273753</v>
      </c>
      <c r="P13" s="53">
        <v>1414.4751904845905</v>
      </c>
      <c r="Q13" s="53">
        <v>1382.3869362837449</v>
      </c>
      <c r="R13" s="53">
        <v>1745.815487030382</v>
      </c>
      <c r="S13" s="53">
        <v>1603.1342918827713</v>
      </c>
      <c r="T13" s="53">
        <v>1382.7474154987133</v>
      </c>
      <c r="U13" s="53">
        <v>1326.825564321329</v>
      </c>
      <c r="V13" s="758">
        <v>1326.825564321329</v>
      </c>
    </row>
    <row r="14" spans="1:22">
      <c r="A14" s="50" t="s">
        <v>118</v>
      </c>
      <c r="B14" s="51">
        <v>1250.4698711305914</v>
      </c>
      <c r="C14" s="51">
        <v>972.74470934725719</v>
      </c>
      <c r="D14" s="51">
        <v>1014.8624255758821</v>
      </c>
      <c r="E14" s="51" t="s">
        <v>854</v>
      </c>
      <c r="F14" s="51" t="s">
        <v>854</v>
      </c>
      <c r="G14" s="51" t="s">
        <v>854</v>
      </c>
      <c r="H14" s="51" t="s">
        <v>854</v>
      </c>
      <c r="I14" s="51" t="s">
        <v>854</v>
      </c>
      <c r="J14" s="51" t="s">
        <v>854</v>
      </c>
      <c r="K14" s="51" t="s">
        <v>854</v>
      </c>
      <c r="L14" s="51" t="s">
        <v>854</v>
      </c>
      <c r="M14" s="51" t="s">
        <v>854</v>
      </c>
      <c r="N14" s="51" t="s">
        <v>854</v>
      </c>
      <c r="O14" s="51" t="s">
        <v>854</v>
      </c>
      <c r="P14" s="51" t="s">
        <v>854</v>
      </c>
      <c r="Q14" s="51" t="s">
        <v>854</v>
      </c>
      <c r="R14" s="51" t="s">
        <v>854</v>
      </c>
      <c r="S14" s="51" t="s">
        <v>854</v>
      </c>
      <c r="T14" s="51" t="s">
        <v>854</v>
      </c>
      <c r="U14" s="51" t="s">
        <v>854</v>
      </c>
      <c r="V14" s="763" t="s">
        <v>854</v>
      </c>
    </row>
    <row r="15" spans="1:22" ht="13.25" customHeight="1">
      <c r="A15" s="50" t="s">
        <v>119</v>
      </c>
      <c r="B15" s="265">
        <v>895.79186628474895</v>
      </c>
      <c r="C15" s="265">
        <v>898.44728775701799</v>
      </c>
      <c r="D15" s="265">
        <v>904.10390709616865</v>
      </c>
      <c r="E15" s="265">
        <v>926.26308079507726</v>
      </c>
      <c r="F15" s="265">
        <v>895.35242672721961</v>
      </c>
      <c r="G15" s="265">
        <v>895.66787436735399</v>
      </c>
      <c r="H15" s="265">
        <v>908.05985484570624</v>
      </c>
      <c r="I15" s="265">
        <v>919.96444655407856</v>
      </c>
      <c r="J15" s="265">
        <v>860.02031957907093</v>
      </c>
      <c r="K15" s="265">
        <v>804.80591391291102</v>
      </c>
      <c r="L15" s="265">
        <v>758.28466299574188</v>
      </c>
      <c r="M15" s="265">
        <v>830.85673253338928</v>
      </c>
      <c r="N15" s="265">
        <v>846.32132459865932</v>
      </c>
      <c r="O15" s="265">
        <v>871.31728233225726</v>
      </c>
      <c r="P15" s="265">
        <v>802.35657119708844</v>
      </c>
      <c r="Q15" s="265">
        <v>788.72949998313265</v>
      </c>
      <c r="R15" s="265">
        <v>793.6623257002783</v>
      </c>
      <c r="S15" s="265">
        <v>830.00558640782128</v>
      </c>
      <c r="T15" s="265">
        <v>818.90965384564038</v>
      </c>
      <c r="U15" s="265">
        <v>819.81264160740966</v>
      </c>
      <c r="V15" s="763">
        <v>819.81264160740955</v>
      </c>
    </row>
    <row r="16" spans="1:22">
      <c r="A16" s="50" t="s">
        <v>120</v>
      </c>
      <c r="B16" s="265" t="s">
        <v>854</v>
      </c>
      <c r="C16" s="265" t="s">
        <v>854</v>
      </c>
      <c r="D16" s="265" t="s">
        <v>854</v>
      </c>
      <c r="E16" s="265">
        <v>1302.385031043721</v>
      </c>
      <c r="F16" s="265">
        <v>1395.9551786172492</v>
      </c>
      <c r="G16" s="265">
        <v>1313.1982743710137</v>
      </c>
      <c r="H16" s="265">
        <v>1309.6724472858364</v>
      </c>
      <c r="I16" s="265">
        <v>1366.9979870451493</v>
      </c>
      <c r="J16" s="265">
        <v>697.42481997198036</v>
      </c>
      <c r="K16" s="265">
        <v>685.87446984615656</v>
      </c>
      <c r="L16" s="265">
        <v>703.27060548716645</v>
      </c>
      <c r="M16" s="265">
        <v>685.87446984615656</v>
      </c>
      <c r="N16" s="265">
        <v>696.15353604072925</v>
      </c>
      <c r="O16" s="265">
        <v>696.89767650780834</v>
      </c>
      <c r="P16" s="265">
        <v>687.39704761451083</v>
      </c>
      <c r="Q16" s="265">
        <v>684.36453246239023</v>
      </c>
      <c r="R16" s="265">
        <v>702.95160863182639</v>
      </c>
      <c r="S16" s="265">
        <v>684.65760219688593</v>
      </c>
      <c r="T16" s="265">
        <v>669.4777802935921</v>
      </c>
      <c r="U16" s="265">
        <v>670.80401084633741</v>
      </c>
      <c r="V16" s="763">
        <v>670.80401084633741</v>
      </c>
    </row>
    <row r="17" spans="1:22">
      <c r="A17" s="50" t="s">
        <v>65</v>
      </c>
      <c r="B17" s="51" t="s">
        <v>854</v>
      </c>
      <c r="C17" s="51" t="s">
        <v>854</v>
      </c>
      <c r="D17" s="51" t="s">
        <v>854</v>
      </c>
      <c r="E17" s="51">
        <v>544.28399999999988</v>
      </c>
      <c r="F17" s="51">
        <v>498.92700000000013</v>
      </c>
      <c r="G17" s="51">
        <v>544.28399999999999</v>
      </c>
      <c r="H17" s="51">
        <v>498.92700000000002</v>
      </c>
      <c r="I17" s="51">
        <v>554.36333333333334</v>
      </c>
      <c r="J17" s="51">
        <v>537.30599999999993</v>
      </c>
      <c r="K17" s="51">
        <v>609.79966666666667</v>
      </c>
      <c r="L17" s="51">
        <v>352.18376470588237</v>
      </c>
      <c r="M17" s="51">
        <v>748.39050000000009</v>
      </c>
      <c r="N17" s="51">
        <v>449.03427636786176</v>
      </c>
      <c r="O17" s="51">
        <v>359.2127893842532</v>
      </c>
      <c r="P17" s="51">
        <v>449.03400819033487</v>
      </c>
      <c r="Q17" s="51" t="s">
        <v>854</v>
      </c>
      <c r="R17" s="51" t="s">
        <v>854</v>
      </c>
      <c r="S17" s="51" t="s">
        <v>854</v>
      </c>
      <c r="T17" s="51" t="s">
        <v>854</v>
      </c>
      <c r="U17" s="51" t="s">
        <v>854</v>
      </c>
      <c r="V17" s="763" t="s">
        <v>854</v>
      </c>
    </row>
    <row r="18" spans="1:22">
      <c r="A18" s="50" t="s">
        <v>66</v>
      </c>
      <c r="B18" s="51">
        <v>730.14053271394152</v>
      </c>
      <c r="C18" s="51">
        <v>732.93856178705994</v>
      </c>
      <c r="D18" s="51">
        <v>733.84265452314617</v>
      </c>
      <c r="E18" s="51">
        <v>734.67545216649262</v>
      </c>
      <c r="F18" s="51">
        <v>739.11686763045918</v>
      </c>
      <c r="G18" s="51">
        <v>789.83268851561695</v>
      </c>
      <c r="H18" s="51">
        <v>779.92777741750444</v>
      </c>
      <c r="I18" s="51">
        <v>1374.2496399108757</v>
      </c>
      <c r="J18" s="51">
        <v>790.27900990040314</v>
      </c>
      <c r="K18" s="51">
        <v>1557.8830550676219</v>
      </c>
      <c r="L18" s="51">
        <v>755.39093937860787</v>
      </c>
      <c r="M18" s="51" t="s">
        <v>854</v>
      </c>
      <c r="N18" s="51" t="s">
        <v>854</v>
      </c>
      <c r="O18" s="51" t="s">
        <v>854</v>
      </c>
      <c r="P18" s="51" t="s">
        <v>854</v>
      </c>
      <c r="Q18" s="51" t="s">
        <v>854</v>
      </c>
      <c r="R18" s="51" t="s">
        <v>854</v>
      </c>
      <c r="S18" s="51" t="s">
        <v>854</v>
      </c>
      <c r="T18" s="51" t="s">
        <v>854</v>
      </c>
      <c r="U18" s="51" t="s">
        <v>854</v>
      </c>
      <c r="V18" s="763" t="s">
        <v>854</v>
      </c>
    </row>
    <row r="19" spans="1:22">
      <c r="A19" s="50" t="s">
        <v>67</v>
      </c>
      <c r="B19" s="51">
        <v>319.3470197802198</v>
      </c>
      <c r="C19" s="51">
        <v>321.30861081081088</v>
      </c>
      <c r="D19" s="51">
        <v>338.95700830188684</v>
      </c>
      <c r="E19" s="51" t="s">
        <v>854</v>
      </c>
      <c r="F19" s="51" t="s">
        <v>854</v>
      </c>
      <c r="G19" s="51" t="s">
        <v>854</v>
      </c>
      <c r="H19" s="51" t="s">
        <v>854</v>
      </c>
      <c r="I19" s="51" t="s">
        <v>854</v>
      </c>
      <c r="J19" s="51" t="s">
        <v>854</v>
      </c>
      <c r="K19" s="51" t="s">
        <v>854</v>
      </c>
      <c r="L19" s="51" t="s">
        <v>854</v>
      </c>
      <c r="M19" s="51" t="s">
        <v>854</v>
      </c>
      <c r="N19" s="51">
        <v>649.89246467374721</v>
      </c>
      <c r="O19" s="51" t="s">
        <v>854</v>
      </c>
      <c r="P19" s="51" t="s">
        <v>854</v>
      </c>
      <c r="Q19" s="51" t="s">
        <v>854</v>
      </c>
      <c r="R19" s="51" t="s">
        <v>854</v>
      </c>
      <c r="S19" s="51" t="s">
        <v>854</v>
      </c>
      <c r="T19" s="51" t="s">
        <v>854</v>
      </c>
      <c r="U19" s="51" t="s">
        <v>854</v>
      </c>
      <c r="V19" s="763" t="s">
        <v>854</v>
      </c>
    </row>
    <row r="20" spans="1:22">
      <c r="A20" s="50" t="s">
        <v>68</v>
      </c>
      <c r="B20" s="51">
        <v>504.1738167938932</v>
      </c>
      <c r="C20" s="51">
        <v>420.5963462686567</v>
      </c>
      <c r="D20" s="51">
        <v>413.58360766773166</v>
      </c>
      <c r="E20" s="51">
        <v>420.20919941089841</v>
      </c>
      <c r="F20" s="51">
        <v>427.84544099660269</v>
      </c>
      <c r="G20" s="51">
        <v>419.22983967168267</v>
      </c>
      <c r="H20" s="51">
        <v>414.10276428571433</v>
      </c>
      <c r="I20" s="51">
        <v>381.00878045292012</v>
      </c>
      <c r="J20" s="51">
        <v>398.31282830769237</v>
      </c>
      <c r="K20" s="51">
        <v>435.62763191489364</v>
      </c>
      <c r="L20" s="51">
        <v>392.50651885714291</v>
      </c>
      <c r="M20" s="51">
        <v>404.71212255319153</v>
      </c>
      <c r="N20" s="51">
        <v>384.46533833012364</v>
      </c>
      <c r="O20" s="51">
        <v>395.24467252932777</v>
      </c>
      <c r="P20" s="51">
        <v>369.49159649773992</v>
      </c>
      <c r="Q20" s="51">
        <v>373.03599973590582</v>
      </c>
      <c r="R20" s="51">
        <v>432.01140380451739</v>
      </c>
      <c r="S20" s="51">
        <v>433.80174090405592</v>
      </c>
      <c r="T20" s="51">
        <v>423.45249175326666</v>
      </c>
      <c r="U20" s="51">
        <v>331.98933938629517</v>
      </c>
      <c r="V20" s="763">
        <v>331.98933938629517</v>
      </c>
    </row>
    <row r="21" spans="1:22">
      <c r="A21" s="50" t="s">
        <v>69</v>
      </c>
      <c r="B21" s="51">
        <v>448.12374159112358</v>
      </c>
      <c r="C21" s="51">
        <v>381.18232498902995</v>
      </c>
      <c r="D21" s="51">
        <v>474.8386607033442</v>
      </c>
      <c r="E21" s="51">
        <v>426.44672358958246</v>
      </c>
      <c r="F21" s="51">
        <v>492.61303301617835</v>
      </c>
      <c r="G21" s="51">
        <v>410.37394668438316</v>
      </c>
      <c r="H21" s="51">
        <v>384.93427519461926</v>
      </c>
      <c r="I21" s="51">
        <v>434.9975477936058</v>
      </c>
      <c r="J21" s="51">
        <v>347.18680711841523</v>
      </c>
      <c r="K21" s="51">
        <v>412.23458251661583</v>
      </c>
      <c r="L21" s="51">
        <v>330.03832661562421</v>
      </c>
      <c r="M21" s="51">
        <v>356.58727646515393</v>
      </c>
      <c r="N21" s="51">
        <v>355.8412985296149</v>
      </c>
      <c r="O21" s="51">
        <v>356.7045349410925</v>
      </c>
      <c r="P21" s="51">
        <v>347.50830827113219</v>
      </c>
      <c r="Q21" s="51">
        <v>328.20143827642221</v>
      </c>
      <c r="R21" s="51">
        <v>348.61516157857284</v>
      </c>
      <c r="S21" s="51">
        <v>330.15891421958906</v>
      </c>
      <c r="T21" s="51">
        <v>346.97956665817344</v>
      </c>
      <c r="U21" s="51">
        <v>324.73114634603479</v>
      </c>
      <c r="V21" s="763">
        <v>324.73114634603479</v>
      </c>
    </row>
    <row r="22" spans="1:22">
      <c r="A22" s="50" t="s">
        <v>70</v>
      </c>
      <c r="B22" s="51">
        <v>749.62750909090903</v>
      </c>
      <c r="C22" s="51">
        <v>810.16706574563204</v>
      </c>
      <c r="D22" s="51">
        <v>826.26771484560561</v>
      </c>
      <c r="E22" s="51">
        <v>851.29569365079351</v>
      </c>
      <c r="F22" s="51">
        <v>871.1049334867663</v>
      </c>
      <c r="G22" s="51">
        <v>783.23723864734313</v>
      </c>
      <c r="H22" s="51">
        <v>781.63941608002983</v>
      </c>
      <c r="I22" s="51">
        <v>786.95202064056934</v>
      </c>
      <c r="J22" s="51">
        <v>770.42413425572522</v>
      </c>
      <c r="K22" s="51">
        <v>740.4168944503059</v>
      </c>
      <c r="L22" s="51">
        <v>683.94675072160624</v>
      </c>
      <c r="M22" s="51">
        <v>721.17629999999986</v>
      </c>
      <c r="N22" s="51">
        <v>707.21818310958304</v>
      </c>
      <c r="O22" s="51">
        <v>730.5941939365249</v>
      </c>
      <c r="P22" s="51">
        <v>722.33513090323311</v>
      </c>
      <c r="Q22" s="51">
        <v>663.30607966222669</v>
      </c>
      <c r="R22" s="51">
        <v>627.75080886756609</v>
      </c>
      <c r="S22" s="51">
        <v>674.14705203383744</v>
      </c>
      <c r="T22" s="51">
        <v>652.41228270199838</v>
      </c>
      <c r="U22" s="51">
        <v>686.19740837704308</v>
      </c>
      <c r="V22" s="763">
        <v>686.19740837704296</v>
      </c>
    </row>
    <row r="23" spans="1:22">
      <c r="A23" s="50" t="s">
        <v>71</v>
      </c>
      <c r="B23" s="51" t="s">
        <v>854</v>
      </c>
      <c r="C23" s="51" t="s">
        <v>854</v>
      </c>
      <c r="D23" s="51" t="s">
        <v>854</v>
      </c>
      <c r="E23" s="51">
        <v>372.29025599999994</v>
      </c>
      <c r="F23" s="51">
        <v>545.99450911376493</v>
      </c>
      <c r="G23" s="51">
        <v>370.90721215805473</v>
      </c>
      <c r="H23" s="51">
        <v>373.93811889683349</v>
      </c>
      <c r="I23" s="51">
        <v>380.48532452830187</v>
      </c>
      <c r="J23" s="51">
        <v>430.36602256097564</v>
      </c>
      <c r="K23" s="51">
        <v>395.21258598726115</v>
      </c>
      <c r="L23" s="51" t="s">
        <v>854</v>
      </c>
      <c r="M23" s="51" t="s">
        <v>854</v>
      </c>
      <c r="N23" s="51" t="s">
        <v>854</v>
      </c>
      <c r="O23" s="51" t="s">
        <v>854</v>
      </c>
      <c r="P23" s="51" t="s">
        <v>854</v>
      </c>
      <c r="Q23" s="51" t="s">
        <v>854</v>
      </c>
      <c r="R23" s="51" t="s">
        <v>854</v>
      </c>
      <c r="S23" s="51" t="s">
        <v>854</v>
      </c>
      <c r="T23" s="51" t="s">
        <v>854</v>
      </c>
      <c r="U23" s="51" t="s">
        <v>854</v>
      </c>
      <c r="V23" s="763" t="s">
        <v>854</v>
      </c>
    </row>
    <row r="24" spans="1:22">
      <c r="A24" s="50" t="s">
        <v>117</v>
      </c>
      <c r="B24" s="51">
        <v>507.57853728813558</v>
      </c>
      <c r="C24" s="51">
        <v>505.57018116591917</v>
      </c>
      <c r="D24" s="51">
        <v>518.42768108108123</v>
      </c>
      <c r="E24" s="51">
        <v>502.03247633587802</v>
      </c>
      <c r="F24" s="51">
        <v>499.41151893687714</v>
      </c>
      <c r="G24" s="51">
        <v>502.25800754716983</v>
      </c>
      <c r="H24" s="51">
        <v>503.31317142857142</v>
      </c>
      <c r="I24" s="51">
        <v>514.04599999999994</v>
      </c>
      <c r="J24" s="51">
        <v>504.69970909090921</v>
      </c>
      <c r="K24" s="51">
        <v>506.20577586206895</v>
      </c>
      <c r="L24" s="51">
        <v>499.74357446808517</v>
      </c>
      <c r="M24" s="51">
        <v>500.45343749999995</v>
      </c>
      <c r="N24" s="51">
        <v>515.10866947711668</v>
      </c>
      <c r="O24" s="51">
        <v>482.67676518046386</v>
      </c>
      <c r="P24" s="51">
        <v>465.95285736317834</v>
      </c>
      <c r="Q24" s="51">
        <v>502.80602555468516</v>
      </c>
      <c r="R24" s="51">
        <v>470.52106565366699</v>
      </c>
      <c r="S24" s="51">
        <v>458.78187203221586</v>
      </c>
      <c r="T24" s="51">
        <v>475.52317708477398</v>
      </c>
      <c r="U24" s="51">
        <v>460.28965289437963</v>
      </c>
      <c r="V24" s="763">
        <v>460.28965289437957</v>
      </c>
    </row>
    <row r="25" spans="1:22">
      <c r="A25" s="50" t="s">
        <v>703</v>
      </c>
      <c r="B25" s="51">
        <v>613.38776867622414</v>
      </c>
      <c r="C25" s="51">
        <v>707.28923077037314</v>
      </c>
      <c r="D25" s="51">
        <v>698.38211307129848</v>
      </c>
      <c r="E25" s="51">
        <v>687.02956199249263</v>
      </c>
      <c r="F25" s="51">
        <v>561.43047489216815</v>
      </c>
      <c r="G25" s="51">
        <v>671.33059401710102</v>
      </c>
      <c r="H25" s="51">
        <v>540.96979901892473</v>
      </c>
      <c r="I25" s="51">
        <v>541.64533924502268</v>
      </c>
      <c r="J25" s="51">
        <v>540.42679462046169</v>
      </c>
      <c r="K25" s="51">
        <v>541.25202489350579</v>
      </c>
      <c r="L25" s="51">
        <v>521.1063064708776</v>
      </c>
      <c r="M25" s="51">
        <v>541.41375661112613</v>
      </c>
      <c r="N25" s="51">
        <v>537.32163420833297</v>
      </c>
      <c r="O25" s="51">
        <v>554.44160178840048</v>
      </c>
      <c r="P25" s="51">
        <v>541.63346323479414</v>
      </c>
      <c r="Q25" s="51">
        <v>521.14737565726273</v>
      </c>
      <c r="R25" s="51">
        <v>447.44493374922826</v>
      </c>
      <c r="S25" s="51">
        <v>514.65676735187105</v>
      </c>
      <c r="T25" s="51">
        <v>533.04528475615075</v>
      </c>
      <c r="U25" s="51">
        <v>506.12741739049193</v>
      </c>
      <c r="V25" s="763">
        <v>506.12741739049181</v>
      </c>
    </row>
    <row r="26" spans="1:22">
      <c r="A26" s="50" t="s">
        <v>121</v>
      </c>
      <c r="B26" s="51">
        <v>467.05298668050295</v>
      </c>
      <c r="C26" s="51">
        <v>500.83489433627727</v>
      </c>
      <c r="D26" s="51">
        <v>454.26417853178492</v>
      </c>
      <c r="E26" s="51">
        <v>407.92557013488766</v>
      </c>
      <c r="F26" s="51">
        <v>415.59875011778718</v>
      </c>
      <c r="G26" s="51">
        <v>1081.2961603067233</v>
      </c>
      <c r="H26" s="51">
        <v>1657.6362915181703</v>
      </c>
      <c r="I26" s="51">
        <v>1627.0322729153957</v>
      </c>
      <c r="J26" s="51">
        <v>323.03752314970609</v>
      </c>
      <c r="K26" s="51">
        <v>310.10769575058919</v>
      </c>
      <c r="L26" s="51">
        <v>464.96094720110898</v>
      </c>
      <c r="M26" s="51">
        <v>415.87377812077909</v>
      </c>
      <c r="N26" s="51">
        <v>421.82944587755003</v>
      </c>
      <c r="O26" s="51">
        <v>412.89805301672897</v>
      </c>
      <c r="P26" s="51">
        <v>474.79534752988377</v>
      </c>
      <c r="Q26" s="51">
        <v>423.29003014124925</v>
      </c>
      <c r="R26" s="51">
        <v>430.55711855028795</v>
      </c>
      <c r="S26" s="51">
        <v>394.7457347283239</v>
      </c>
      <c r="T26" s="51">
        <v>442.1161451237341</v>
      </c>
      <c r="U26" s="51">
        <v>472.56625283851929</v>
      </c>
      <c r="V26" s="763">
        <v>472.56625283851935</v>
      </c>
    </row>
    <row r="27" spans="1:22">
      <c r="A27" s="50" t="s">
        <v>72</v>
      </c>
      <c r="B27" s="51">
        <v>708.81400823210902</v>
      </c>
      <c r="C27" s="51">
        <v>726.60693789828213</v>
      </c>
      <c r="D27" s="51">
        <v>747.86117085156764</v>
      </c>
      <c r="E27" s="51" t="s">
        <v>854</v>
      </c>
      <c r="F27" s="51">
        <v>736.98757823393532</v>
      </c>
      <c r="G27" s="51" t="s">
        <v>854</v>
      </c>
      <c r="H27" s="51" t="s">
        <v>854</v>
      </c>
      <c r="I27" s="51" t="s">
        <v>854</v>
      </c>
      <c r="J27" s="51" t="s">
        <v>854</v>
      </c>
      <c r="K27" s="51" t="s">
        <v>854</v>
      </c>
      <c r="L27" s="51" t="s">
        <v>854</v>
      </c>
      <c r="M27" s="51" t="s">
        <v>854</v>
      </c>
      <c r="N27" s="51" t="s">
        <v>854</v>
      </c>
      <c r="O27" s="51" t="s">
        <v>854</v>
      </c>
      <c r="P27" s="51" t="s">
        <v>854</v>
      </c>
      <c r="Q27" s="51" t="s">
        <v>854</v>
      </c>
      <c r="R27" s="51" t="s">
        <v>854</v>
      </c>
      <c r="S27" s="51" t="s">
        <v>854</v>
      </c>
      <c r="T27" s="51" t="s">
        <v>854</v>
      </c>
      <c r="U27" s="51" t="s">
        <v>854</v>
      </c>
      <c r="V27" s="763" t="s">
        <v>854</v>
      </c>
    </row>
    <row r="28" spans="1:22">
      <c r="A28" s="50" t="s">
        <v>73</v>
      </c>
      <c r="B28" s="51">
        <v>732.69000000000028</v>
      </c>
      <c r="C28" s="51" t="s">
        <v>854</v>
      </c>
      <c r="D28" s="51" t="s">
        <v>854</v>
      </c>
      <c r="E28" s="51" t="s">
        <v>854</v>
      </c>
      <c r="F28" s="51" t="s">
        <v>854</v>
      </c>
      <c r="G28" s="51" t="s">
        <v>854</v>
      </c>
      <c r="H28" s="51" t="s">
        <v>854</v>
      </c>
      <c r="I28" s="51" t="s">
        <v>854</v>
      </c>
      <c r="J28" s="51" t="s">
        <v>854</v>
      </c>
      <c r="K28" s="51" t="s">
        <v>854</v>
      </c>
      <c r="L28" s="51" t="s">
        <v>854</v>
      </c>
      <c r="M28" s="51" t="s">
        <v>854</v>
      </c>
      <c r="N28" s="51" t="s">
        <v>854</v>
      </c>
      <c r="O28" s="51" t="s">
        <v>854</v>
      </c>
      <c r="P28" s="51" t="s">
        <v>854</v>
      </c>
      <c r="Q28" s="51" t="s">
        <v>854</v>
      </c>
      <c r="R28" s="51" t="s">
        <v>854</v>
      </c>
      <c r="S28" s="51" t="s">
        <v>854</v>
      </c>
      <c r="T28" s="51" t="s">
        <v>854</v>
      </c>
      <c r="U28" s="51" t="s">
        <v>854</v>
      </c>
      <c r="V28" s="763" t="s">
        <v>854</v>
      </c>
    </row>
    <row r="29" spans="1:22">
      <c r="A29" s="50" t="s">
        <v>74</v>
      </c>
      <c r="B29" s="51">
        <v>634.94987586206901</v>
      </c>
      <c r="C29" s="51">
        <v>874.85175203619895</v>
      </c>
      <c r="D29" s="51">
        <v>977.10149058295963</v>
      </c>
      <c r="E29" s="51">
        <v>1022.9748000000001</v>
      </c>
      <c r="F29" s="51" t="s">
        <v>854</v>
      </c>
      <c r="G29" s="51" t="s">
        <v>854</v>
      </c>
      <c r="H29" s="51" t="s">
        <v>854</v>
      </c>
      <c r="I29" s="51" t="s">
        <v>854</v>
      </c>
      <c r="J29" s="51" t="s">
        <v>854</v>
      </c>
      <c r="K29" s="51" t="s">
        <v>854</v>
      </c>
      <c r="L29" s="51" t="s">
        <v>854</v>
      </c>
      <c r="M29" s="51" t="s">
        <v>854</v>
      </c>
      <c r="N29" s="51" t="s">
        <v>854</v>
      </c>
      <c r="O29" s="51" t="s">
        <v>854</v>
      </c>
      <c r="P29" s="51" t="s">
        <v>854</v>
      </c>
      <c r="Q29" s="51" t="s">
        <v>854</v>
      </c>
      <c r="R29" s="51" t="s">
        <v>854</v>
      </c>
      <c r="S29" s="51" t="s">
        <v>854</v>
      </c>
      <c r="T29" s="51" t="s">
        <v>854</v>
      </c>
      <c r="U29" s="51" t="s">
        <v>854</v>
      </c>
      <c r="V29" s="763" t="s">
        <v>854</v>
      </c>
    </row>
    <row r="30" spans="1:22">
      <c r="A30" s="52" t="s">
        <v>75</v>
      </c>
      <c r="B30" s="55">
        <v>675.12940388539357</v>
      </c>
      <c r="C30" s="55">
        <v>704.80077272103563</v>
      </c>
      <c r="D30" s="55">
        <v>712.37587403352256</v>
      </c>
      <c r="E30" s="55">
        <v>697.50213522700176</v>
      </c>
      <c r="F30" s="55">
        <v>664.70746118338116</v>
      </c>
      <c r="G30" s="55">
        <v>691.08248870890748</v>
      </c>
      <c r="H30" s="55">
        <v>621.24716692697336</v>
      </c>
      <c r="I30" s="55">
        <v>637.77602239044882</v>
      </c>
      <c r="J30" s="55">
        <v>565.12038940152206</v>
      </c>
      <c r="K30" s="55">
        <v>583.61797920133347</v>
      </c>
      <c r="L30" s="55">
        <v>561.75420141910467</v>
      </c>
      <c r="M30" s="55">
        <v>547.63710139238685</v>
      </c>
      <c r="N30" s="55">
        <v>546.99833065966607</v>
      </c>
      <c r="O30" s="55">
        <v>543.19532532520293</v>
      </c>
      <c r="P30" s="55">
        <v>535.24302028429724</v>
      </c>
      <c r="Q30" s="55">
        <v>516.95116729375934</v>
      </c>
      <c r="R30" s="55">
        <v>521.23430915876861</v>
      </c>
      <c r="S30" s="55">
        <v>536.59845075152919</v>
      </c>
      <c r="T30" s="55">
        <v>537.96976351225942</v>
      </c>
      <c r="U30" s="55">
        <v>497.18780223654159</v>
      </c>
      <c r="V30" s="759">
        <v>497.18780223654147</v>
      </c>
    </row>
    <row r="31" spans="1:22">
      <c r="A31" s="50" t="s">
        <v>716</v>
      </c>
      <c r="B31" s="96" t="s">
        <v>854</v>
      </c>
      <c r="C31" s="96" t="s">
        <v>854</v>
      </c>
      <c r="D31" s="96" t="s">
        <v>854</v>
      </c>
      <c r="E31" s="96">
        <v>665.83299538657479</v>
      </c>
      <c r="F31" s="96">
        <v>746.91215665053051</v>
      </c>
      <c r="G31" s="96">
        <v>780.10573994008416</v>
      </c>
      <c r="H31" s="96">
        <v>796.60176061960703</v>
      </c>
      <c r="I31" s="96">
        <v>797.86276000880036</v>
      </c>
      <c r="J31" s="96">
        <v>851.35734313428168</v>
      </c>
      <c r="K31" s="96">
        <v>789.61153161643745</v>
      </c>
      <c r="L31" s="96">
        <v>783.56128810840244</v>
      </c>
      <c r="M31" s="96">
        <v>788.37659376874728</v>
      </c>
      <c r="N31" s="96">
        <v>727.58592524500648</v>
      </c>
      <c r="O31" s="96">
        <v>679.55827336496827</v>
      </c>
      <c r="P31" s="96">
        <v>814.53533794849022</v>
      </c>
      <c r="Q31" s="96">
        <v>741.79866878619566</v>
      </c>
      <c r="R31" s="96">
        <v>767.94950518953829</v>
      </c>
      <c r="S31" s="96">
        <v>803.85454191103861</v>
      </c>
      <c r="T31" s="96">
        <v>800.36891092062501</v>
      </c>
      <c r="U31" s="96">
        <v>658.11938902098279</v>
      </c>
      <c r="V31" s="96">
        <v>650.9016301495069</v>
      </c>
    </row>
    <row r="32" spans="1:22">
      <c r="A32" s="50" t="s">
        <v>717</v>
      </c>
      <c r="B32" s="96" t="s">
        <v>854</v>
      </c>
      <c r="C32" s="96" t="s">
        <v>854</v>
      </c>
      <c r="D32" s="96" t="s">
        <v>854</v>
      </c>
      <c r="E32" s="96" t="s">
        <v>854</v>
      </c>
      <c r="F32" s="96" t="s">
        <v>854</v>
      </c>
      <c r="G32" s="96">
        <v>0</v>
      </c>
      <c r="H32" s="96">
        <v>0</v>
      </c>
      <c r="I32" s="96">
        <v>0</v>
      </c>
      <c r="J32" s="96">
        <v>0</v>
      </c>
      <c r="K32" s="96">
        <v>0</v>
      </c>
      <c r="L32" s="96">
        <v>0</v>
      </c>
      <c r="M32" s="96">
        <v>0</v>
      </c>
      <c r="N32" s="96">
        <v>0</v>
      </c>
      <c r="O32" s="96">
        <v>0</v>
      </c>
      <c r="P32" s="96">
        <v>0</v>
      </c>
      <c r="Q32" s="96">
        <v>0</v>
      </c>
      <c r="R32" s="96">
        <v>653.97053068199261</v>
      </c>
      <c r="S32" s="96">
        <v>677.55206417607053</v>
      </c>
      <c r="T32" s="96">
        <v>673.43116591718535</v>
      </c>
      <c r="U32" s="96">
        <v>537.43045207674231</v>
      </c>
      <c r="V32" s="96">
        <v>531.53631876599354</v>
      </c>
    </row>
    <row r="33" spans="1:23">
      <c r="A33" s="50" t="s">
        <v>133</v>
      </c>
      <c r="B33" s="96">
        <v>0</v>
      </c>
      <c r="C33" s="96">
        <v>0</v>
      </c>
      <c r="D33" s="96">
        <v>0</v>
      </c>
      <c r="E33" s="96">
        <v>1105.901819798883</v>
      </c>
      <c r="F33" s="96">
        <v>1090.3282239385794</v>
      </c>
      <c r="G33" s="96">
        <v>1366.5715200000002</v>
      </c>
      <c r="H33" s="96">
        <v>1488.8139568976217</v>
      </c>
      <c r="I33" s="96">
        <v>1426.5251927159534</v>
      </c>
      <c r="J33" s="96">
        <v>1024.8478911300342</v>
      </c>
      <c r="K33" s="96">
        <v>1090.3892579999999</v>
      </c>
      <c r="L33" s="96">
        <v>1111.287314716981</v>
      </c>
      <c r="M33" s="96">
        <v>1040.6782479726965</v>
      </c>
      <c r="N33" s="96">
        <v>996.08320261818653</v>
      </c>
      <c r="O33" s="96">
        <v>973.85203006225242</v>
      </c>
      <c r="P33" s="96">
        <v>878.9656405936546</v>
      </c>
      <c r="Q33" s="96">
        <v>910.93473021469504</v>
      </c>
      <c r="R33" s="96">
        <v>907.28504635642662</v>
      </c>
      <c r="S33" s="96">
        <v>920.57163042658499</v>
      </c>
      <c r="T33" s="96">
        <v>990.17066534224818</v>
      </c>
      <c r="U33" s="96">
        <v>912.9177646743799</v>
      </c>
      <c r="V33" s="96">
        <v>960.74129172102732</v>
      </c>
    </row>
    <row r="34" spans="1:23">
      <c r="A34" s="50" t="s">
        <v>76</v>
      </c>
      <c r="B34" s="51">
        <v>796.75060691859119</v>
      </c>
      <c r="C34" s="51">
        <v>783.72696793344608</v>
      </c>
      <c r="D34" s="51">
        <v>1089.4610273198323</v>
      </c>
      <c r="E34" s="51">
        <v>857.77867895193685</v>
      </c>
      <c r="F34" s="51">
        <v>785.17703272807296</v>
      </c>
      <c r="G34" s="51">
        <v>904.11825089746424</v>
      </c>
      <c r="H34" s="51">
        <v>822.41187786410285</v>
      </c>
      <c r="I34" s="51">
        <v>867.32735406304005</v>
      </c>
      <c r="J34" s="51">
        <v>833.02314680834911</v>
      </c>
      <c r="K34" s="51">
        <v>803.00375121760749</v>
      </c>
      <c r="L34" s="51">
        <v>805.93268814775627</v>
      </c>
      <c r="M34" s="51">
        <v>819.93665828695634</v>
      </c>
      <c r="N34" s="51">
        <v>804.05997801312901</v>
      </c>
      <c r="O34" s="51">
        <v>818.98760630387073</v>
      </c>
      <c r="P34" s="51">
        <v>835.6615219893024</v>
      </c>
      <c r="Q34" s="51">
        <v>827.46544316528866</v>
      </c>
      <c r="R34" s="51">
        <v>815.00875172015787</v>
      </c>
      <c r="S34" s="51">
        <v>820.41624375962624</v>
      </c>
      <c r="T34" s="51">
        <v>849.84547472845679</v>
      </c>
      <c r="U34" s="51">
        <v>824.43367006919743</v>
      </c>
      <c r="V34" s="763">
        <v>815.39190115104191</v>
      </c>
      <c r="W34" s="426"/>
    </row>
    <row r="35" spans="1:23" ht="24">
      <c r="A35" s="54" t="s">
        <v>753</v>
      </c>
      <c r="B35" s="55">
        <v>317.12613313443995</v>
      </c>
      <c r="C35" s="55">
        <v>318.11092539433054</v>
      </c>
      <c r="D35" s="55">
        <v>445.09395465908955</v>
      </c>
      <c r="E35" s="55">
        <v>356.43523817415553</v>
      </c>
      <c r="F35" s="55">
        <v>289.47363733971213</v>
      </c>
      <c r="G35" s="55">
        <v>328.85445751297351</v>
      </c>
      <c r="H35" s="55">
        <v>286.90120177760105</v>
      </c>
      <c r="I35" s="55">
        <v>262.74072767413492</v>
      </c>
      <c r="J35" s="55">
        <v>194.54606868526571</v>
      </c>
      <c r="K35" s="55">
        <v>183.62156330786357</v>
      </c>
      <c r="L35" s="55">
        <v>176.90253325274094</v>
      </c>
      <c r="M35" s="55">
        <v>183.294886922594</v>
      </c>
      <c r="N35" s="55">
        <v>177.58834984887446</v>
      </c>
      <c r="O35" s="55">
        <v>179.4885777542064</v>
      </c>
      <c r="P35" s="55">
        <v>181.9174386739914</v>
      </c>
      <c r="Q35" s="55">
        <v>176.12107418379031</v>
      </c>
      <c r="R35" s="55">
        <v>176.99569679563109</v>
      </c>
      <c r="S35" s="55">
        <v>193.30927917316615</v>
      </c>
      <c r="T35" s="55">
        <v>217.27750481068546</v>
      </c>
      <c r="U35" s="55">
        <v>188.80209980681815</v>
      </c>
      <c r="V35" s="759">
        <v>188.80209980681818</v>
      </c>
    </row>
    <row r="36" spans="1:23">
      <c r="A36" s="423"/>
      <c r="B36" s="424"/>
      <c r="C36" s="424"/>
      <c r="D36" s="424"/>
      <c r="E36" s="424"/>
      <c r="F36" s="424"/>
      <c r="G36" s="424"/>
      <c r="H36" s="424"/>
      <c r="I36" s="424"/>
      <c r="J36" s="424"/>
      <c r="K36" s="425"/>
      <c r="L36" s="56"/>
      <c r="M36" s="56"/>
      <c r="N36" s="56"/>
      <c r="O36" s="56"/>
      <c r="P36" s="56"/>
      <c r="Q36" s="56"/>
      <c r="R36" s="56"/>
      <c r="S36" s="56"/>
      <c r="T36" s="56"/>
      <c r="U36" s="56"/>
      <c r="V36" s="760"/>
    </row>
    <row r="37" spans="1:23">
      <c r="A37" s="52" t="s">
        <v>754</v>
      </c>
      <c r="B37" s="55">
        <v>583.10743675776428</v>
      </c>
      <c r="C37" s="55">
        <v>574.00775122847188</v>
      </c>
      <c r="D37" s="55">
        <v>560.54992807517726</v>
      </c>
      <c r="E37" s="55">
        <v>555.58716979680321</v>
      </c>
      <c r="F37" s="55">
        <v>546.65394318176743</v>
      </c>
      <c r="G37" s="55">
        <v>548.71253654067812</v>
      </c>
      <c r="H37" s="55">
        <v>549.31687759980628</v>
      </c>
      <c r="I37" s="55">
        <v>564.60620335237616</v>
      </c>
      <c r="J37" s="55">
        <v>557.92508330447913</v>
      </c>
      <c r="K37" s="55">
        <v>577.99712174293427</v>
      </c>
      <c r="L37" s="55">
        <v>547.60614524247296</v>
      </c>
      <c r="M37" s="55">
        <v>521.69420556750106</v>
      </c>
      <c r="N37" s="55">
        <v>496.11836645096122</v>
      </c>
      <c r="O37" s="55">
        <v>499.26106708855639</v>
      </c>
      <c r="P37" s="55">
        <v>467.27586408808406</v>
      </c>
      <c r="Q37" s="55">
        <v>454.39897196236006</v>
      </c>
      <c r="R37" s="55">
        <v>456.75809863938161</v>
      </c>
      <c r="S37" s="55">
        <v>477.28927175241148</v>
      </c>
      <c r="T37" s="55">
        <v>460.24459987155439</v>
      </c>
      <c r="U37" s="55">
        <v>418.07725051101505</v>
      </c>
      <c r="V37" s="759">
        <v>413.27189752295021</v>
      </c>
    </row>
    <row r="38" spans="1:23">
      <c r="A38" s="52" t="s">
        <v>755</v>
      </c>
      <c r="B38" s="55">
        <v>571.94388687640355</v>
      </c>
      <c r="C38" s="55">
        <v>562.43342162720228</v>
      </c>
      <c r="D38" s="55">
        <v>549.07324544446772</v>
      </c>
      <c r="E38" s="55">
        <v>542.90262198517496</v>
      </c>
      <c r="F38" s="55">
        <v>528.42709835768972</v>
      </c>
      <c r="G38" s="55">
        <v>526.31278015343082</v>
      </c>
      <c r="H38" s="55">
        <v>523.27761164996912</v>
      </c>
      <c r="I38" s="55">
        <v>532.20051778834147</v>
      </c>
      <c r="J38" s="55">
        <v>508.5175238657676</v>
      </c>
      <c r="K38" s="55">
        <v>516.53742327027976</v>
      </c>
      <c r="L38" s="55">
        <v>492.30278179801905</v>
      </c>
      <c r="M38" s="55">
        <v>470.66104108873679</v>
      </c>
      <c r="N38" s="55">
        <v>450.18648326345703</v>
      </c>
      <c r="O38" s="55">
        <v>449.51733448035259</v>
      </c>
      <c r="P38" s="55">
        <v>420.57379487934037</v>
      </c>
      <c r="Q38" s="55">
        <v>405.19183200859817</v>
      </c>
      <c r="R38" s="55">
        <v>410.84231967688788</v>
      </c>
      <c r="S38" s="55">
        <v>435.08334003427979</v>
      </c>
      <c r="T38" s="55">
        <v>414.90312101526052</v>
      </c>
      <c r="U38" s="55">
        <v>370.69254703068754</v>
      </c>
      <c r="V38" s="759">
        <v>366.46139476038991</v>
      </c>
    </row>
    <row r="39" spans="1:23" ht="24">
      <c r="A39" s="54" t="s">
        <v>756</v>
      </c>
      <c r="B39" s="55">
        <v>560.15846300526971</v>
      </c>
      <c r="C39" s="55">
        <v>550.82008683434651</v>
      </c>
      <c r="D39" s="55">
        <v>537.80355274685428</v>
      </c>
      <c r="E39" s="55">
        <v>531.67157669035862</v>
      </c>
      <c r="F39" s="55">
        <v>516.25904849073709</v>
      </c>
      <c r="G39" s="55">
        <v>514.35538046192551</v>
      </c>
      <c r="H39" s="55">
        <v>510.64264253968719</v>
      </c>
      <c r="I39" s="55">
        <v>518.86482597933252</v>
      </c>
      <c r="J39" s="55">
        <v>494.03050005084202</v>
      </c>
      <c r="K39" s="55">
        <v>499.75427634180062</v>
      </c>
      <c r="L39" s="55">
        <v>476.94303732143777</v>
      </c>
      <c r="M39" s="55">
        <v>456.27340293620273</v>
      </c>
      <c r="N39" s="55">
        <v>437.24321188002693</v>
      </c>
      <c r="O39" s="55">
        <v>435.71456832853437</v>
      </c>
      <c r="P39" s="55">
        <v>407.91357437064858</v>
      </c>
      <c r="Q39" s="55">
        <v>392.15765972785391</v>
      </c>
      <c r="R39" s="55">
        <v>398.42243225510373</v>
      </c>
      <c r="S39" s="55">
        <v>422.6981673511965</v>
      </c>
      <c r="T39" s="55">
        <v>400.86869860459097</v>
      </c>
      <c r="U39" s="55">
        <v>357.35745644162745</v>
      </c>
      <c r="V39" s="759">
        <v>353.9383988668564</v>
      </c>
    </row>
    <row r="40" spans="1:23">
      <c r="A40" s="57"/>
      <c r="B40" s="58"/>
      <c r="C40" s="58"/>
      <c r="D40" s="58"/>
      <c r="E40" s="58"/>
      <c r="F40" s="59"/>
      <c r="G40" s="59"/>
      <c r="H40" s="59"/>
      <c r="I40" s="59"/>
      <c r="J40" s="59"/>
      <c r="K40" s="121"/>
      <c r="L40" s="59"/>
      <c r="M40" s="59"/>
      <c r="N40" s="59"/>
      <c r="O40" s="59"/>
      <c r="P40" s="59"/>
      <c r="Q40" s="59"/>
      <c r="R40" s="59"/>
      <c r="S40" s="59"/>
      <c r="T40" s="59"/>
      <c r="U40" s="59"/>
      <c r="V40" s="761"/>
    </row>
    <row r="41" spans="1:23">
      <c r="A41" s="60" t="s">
        <v>77</v>
      </c>
      <c r="B41" s="55">
        <v>487.61681276682515</v>
      </c>
      <c r="C41" s="55">
        <v>479.21320165023042</v>
      </c>
      <c r="D41" s="55">
        <v>473.43818809681329</v>
      </c>
      <c r="E41" s="55">
        <v>452.51697596031022</v>
      </c>
      <c r="F41" s="55">
        <v>415.35383656814196</v>
      </c>
      <c r="G41" s="55">
        <v>407.36296262807946</v>
      </c>
      <c r="H41" s="55">
        <v>397.73631189338033</v>
      </c>
      <c r="I41" s="55">
        <v>389.46379405567012</v>
      </c>
      <c r="J41" s="55">
        <v>340.86702405386484</v>
      </c>
      <c r="K41" s="55">
        <v>327.19574248569887</v>
      </c>
      <c r="L41" s="55">
        <v>335.79995128618555</v>
      </c>
      <c r="M41" s="55">
        <v>325.98029179355058</v>
      </c>
      <c r="N41" s="55">
        <v>320.76804897053989</v>
      </c>
      <c r="O41" s="55">
        <v>300.8258447874249</v>
      </c>
      <c r="P41" s="55">
        <v>281.9021120402586</v>
      </c>
      <c r="Q41" s="55">
        <v>263.70148073625455</v>
      </c>
      <c r="R41" s="55">
        <v>271.59223412862536</v>
      </c>
      <c r="S41" s="55">
        <v>307.28517507746801</v>
      </c>
      <c r="T41" s="55">
        <v>256.34982212837758</v>
      </c>
      <c r="U41" s="55">
        <v>209.41601472227433</v>
      </c>
      <c r="V41" s="759">
        <v>213.80024791045423</v>
      </c>
    </row>
    <row r="42" spans="1:23">
      <c r="A42" s="61" t="s">
        <v>757</v>
      </c>
      <c r="B42" s="61"/>
      <c r="C42" s="61"/>
    </row>
    <row r="43" spans="1:23">
      <c r="A43" s="61" t="s">
        <v>758</v>
      </c>
      <c r="B43" s="61"/>
      <c r="C43" s="61"/>
    </row>
    <row r="44" spans="1:23">
      <c r="A44" s="61" t="s">
        <v>759</v>
      </c>
      <c r="B44" s="61"/>
      <c r="C44" s="61"/>
    </row>
    <row r="45" spans="1:23">
      <c r="A45" s="61" t="s">
        <v>615</v>
      </c>
      <c r="B45" s="61"/>
      <c r="C45" s="61"/>
    </row>
    <row r="47" spans="1:23">
      <c r="G47" s="107"/>
      <c r="H47" s="107"/>
      <c r="I47" s="107"/>
      <c r="J47" s="107"/>
      <c r="K47" s="107"/>
      <c r="L47" s="107"/>
      <c r="M47" s="107"/>
      <c r="N47" s="107"/>
      <c r="O47" s="107"/>
      <c r="P47" s="107"/>
      <c r="Q47" s="107"/>
      <c r="R47" s="107"/>
      <c r="S47" s="107"/>
      <c r="T47" s="107"/>
      <c r="U47" s="762"/>
      <c r="V47" s="762"/>
    </row>
    <row r="54" spans="2:2">
      <c r="B54" s="107"/>
    </row>
  </sheetData>
  <sheetProtection algorithmName="SHA-512" hashValue="Bp2w5Hog1PXqufjPr86rhEThzemKXnPQ5PP8P8Hum4OJrisKMgLuFpYS+RRWVkxYDDaB/am1tlCrBtUoxfLHlQ==" saltValue="X3sX8og2sWDZXzwzrl7y7A==" spinCount="100000" sheet="1" objects="1" scenarios="1"/>
  <mergeCells count="1">
    <mergeCell ref="A3:A4"/>
  </mergeCells>
  <hyperlinks>
    <hyperlink ref="A1" location="Indice!A1" display="Torna indietro" xr:uid="{2591B7EF-D67F-4BDC-AFED-80E2FE7D7D2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8"/>
  <dimension ref="A1:AJ87"/>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ColWidth="9.1796875" defaultRowHeight="15.5"/>
  <cols>
    <col min="1" max="1" width="28.54296875" style="12" customWidth="1"/>
    <col min="2" max="2" width="15.36328125" style="12" customWidth="1"/>
    <col min="3" max="5" width="14.1796875" style="12" customWidth="1"/>
    <col min="6" max="6" width="14.1796875" customWidth="1"/>
    <col min="7" max="9" width="14.1796875" style="12" customWidth="1"/>
    <col min="10" max="10" width="9.36328125" bestFit="1" customWidth="1"/>
    <col min="11" max="11" width="7.36328125" bestFit="1" customWidth="1"/>
    <col min="12" max="17" width="7.36328125" style="12" bestFit="1" customWidth="1"/>
    <col min="18" max="18" width="10.54296875" style="12" bestFit="1" customWidth="1"/>
    <col min="19" max="19" width="10.81640625" style="12" bestFit="1" customWidth="1"/>
    <col min="21" max="27" width="9.1796875" style="12"/>
    <col min="28" max="28" width="11.1796875" style="12" bestFit="1" customWidth="1"/>
    <col min="29" max="16384" width="9.1796875" style="12"/>
  </cols>
  <sheetData>
    <row r="1" spans="1:29">
      <c r="A1" s="108" t="s">
        <v>694</v>
      </c>
      <c r="B1" s="546"/>
      <c r="S1" s="186"/>
    </row>
    <row r="2" spans="1:29">
      <c r="M2" s="186"/>
    </row>
    <row r="3" spans="1:29" ht="17.5">
      <c r="A3" s="47" t="s">
        <v>791</v>
      </c>
      <c r="R3" s="186"/>
    </row>
    <row r="4" spans="1:29" ht="66.650000000000006" customHeight="1">
      <c r="A4" s="1095" t="s">
        <v>50</v>
      </c>
      <c r="B4" s="708" t="s">
        <v>551</v>
      </c>
      <c r="C4" s="708" t="s">
        <v>156</v>
      </c>
      <c r="D4" s="708" t="s">
        <v>155</v>
      </c>
      <c r="E4" s="708" t="s">
        <v>547</v>
      </c>
      <c r="F4" s="708" t="s">
        <v>535</v>
      </c>
      <c r="G4" s="708" t="s">
        <v>548</v>
      </c>
      <c r="H4" s="708" t="s">
        <v>549</v>
      </c>
      <c r="I4" s="708" t="s">
        <v>550</v>
      </c>
      <c r="N4" s="186"/>
      <c r="O4" s="186"/>
    </row>
    <row r="5" spans="1:29" ht="20" customHeight="1">
      <c r="A5" s="1096"/>
      <c r="B5" s="1097" t="s">
        <v>52</v>
      </c>
      <c r="C5" s="1098"/>
      <c r="D5" s="1098"/>
      <c r="E5" s="1098"/>
      <c r="F5" s="1098"/>
      <c r="G5" s="1098"/>
      <c r="H5" s="1098"/>
      <c r="I5" s="1099"/>
      <c r="P5" s="186"/>
    </row>
    <row r="6" spans="1:29">
      <c r="A6" s="45">
        <v>1990</v>
      </c>
      <c r="B6" s="150">
        <v>641.93412084697889</v>
      </c>
      <c r="C6" s="150">
        <v>641.74869793512244</v>
      </c>
      <c r="D6" s="150">
        <v>536.8093409756965</v>
      </c>
      <c r="E6" s="150">
        <v>522.99271682228914</v>
      </c>
      <c r="F6" s="729">
        <v>457.62586748487661</v>
      </c>
      <c r="G6" s="729">
        <v>708.96430485884855</v>
      </c>
      <c r="H6" s="729">
        <v>593.03378797824359</v>
      </c>
      <c r="I6" s="731" t="s">
        <v>21</v>
      </c>
      <c r="J6" s="709"/>
      <c r="K6" s="709"/>
      <c r="L6" s="709"/>
      <c r="M6" s="709"/>
      <c r="N6" s="709"/>
      <c r="O6" s="709"/>
      <c r="P6" s="709"/>
      <c r="Q6" s="709"/>
      <c r="R6" s="421"/>
      <c r="S6" s="421"/>
      <c r="T6" s="421"/>
      <c r="U6" s="421"/>
      <c r="V6" s="421"/>
      <c r="W6" s="421"/>
      <c r="X6" s="421"/>
      <c r="Y6" s="421"/>
      <c r="Z6" s="421"/>
      <c r="AA6" s="421"/>
      <c r="AB6" s="491"/>
      <c r="AC6" s="109"/>
    </row>
    <row r="7" spans="1:29">
      <c r="A7" s="45">
        <v>1991</v>
      </c>
      <c r="B7" s="729">
        <v>640.98652573906975</v>
      </c>
      <c r="C7" s="729">
        <v>640.60938767225525</v>
      </c>
      <c r="D7" s="729">
        <v>507.38608353442606</v>
      </c>
      <c r="E7" s="729">
        <v>495.50482818688403</v>
      </c>
      <c r="F7" s="729">
        <v>433.463943865891</v>
      </c>
      <c r="G7" s="729">
        <v>708.42104089505153</v>
      </c>
      <c r="H7" s="729">
        <v>561.09539502567782</v>
      </c>
      <c r="I7" s="731" t="s">
        <v>21</v>
      </c>
      <c r="J7" s="709"/>
      <c r="K7" s="709"/>
      <c r="L7" s="709"/>
      <c r="M7" s="709"/>
      <c r="N7" s="709"/>
      <c r="O7" s="709"/>
      <c r="P7" s="709"/>
      <c r="Q7" s="709"/>
      <c r="R7" s="421"/>
      <c r="S7" s="421"/>
      <c r="T7" s="421"/>
      <c r="U7" s="421"/>
      <c r="V7" s="421"/>
      <c r="W7" s="421"/>
      <c r="X7" s="421"/>
      <c r="Y7" s="421"/>
      <c r="Z7" s="491"/>
      <c r="AA7" s="491"/>
      <c r="AC7" s="109"/>
    </row>
    <row r="8" spans="1:29">
      <c r="A8" s="45">
        <v>1992</v>
      </c>
      <c r="B8" s="729">
        <v>623.5246790649278</v>
      </c>
      <c r="C8" s="729">
        <v>623.20058347924908</v>
      </c>
      <c r="D8" s="729">
        <v>495.37992380881008</v>
      </c>
      <c r="E8" s="729">
        <v>483.64861894716125</v>
      </c>
      <c r="F8" s="729">
        <v>423.94558715251532</v>
      </c>
      <c r="G8" s="729">
        <v>692.69823751163017</v>
      </c>
      <c r="H8" s="729">
        <v>550.62336143084553</v>
      </c>
      <c r="I8" s="731" t="s">
        <v>21</v>
      </c>
      <c r="J8" s="709"/>
      <c r="K8" s="709"/>
      <c r="L8" s="709"/>
      <c r="M8" s="709"/>
      <c r="N8" s="709"/>
      <c r="O8" s="709"/>
      <c r="P8" s="709"/>
      <c r="Q8" s="709"/>
      <c r="R8" s="421"/>
      <c r="S8" s="421"/>
      <c r="T8" s="421"/>
      <c r="U8" s="421"/>
      <c r="V8" s="421"/>
      <c r="W8" s="421"/>
      <c r="X8" s="421"/>
      <c r="Y8" s="421"/>
      <c r="Z8" s="491"/>
      <c r="AA8" s="491"/>
      <c r="AC8" s="109"/>
    </row>
    <row r="9" spans="1:29">
      <c r="A9" s="45">
        <v>1993</v>
      </c>
      <c r="B9" s="729">
        <v>607.74333808760105</v>
      </c>
      <c r="C9" s="729">
        <v>607.3814162426354</v>
      </c>
      <c r="D9" s="729">
        <v>482.70438813070314</v>
      </c>
      <c r="E9" s="729">
        <v>463.26879234194615</v>
      </c>
      <c r="F9" s="729">
        <v>405.52304630594915</v>
      </c>
      <c r="G9" s="729">
        <v>679.34705320771866</v>
      </c>
      <c r="H9" s="729">
        <v>539.89765718487138</v>
      </c>
      <c r="I9" s="731" t="s">
        <v>21</v>
      </c>
      <c r="J9" s="709"/>
      <c r="K9" s="709"/>
      <c r="L9" s="709"/>
      <c r="M9" s="709"/>
      <c r="N9" s="709"/>
      <c r="O9" s="709"/>
      <c r="P9" s="709"/>
      <c r="Q9" s="709"/>
      <c r="R9" s="421"/>
      <c r="S9" s="421"/>
      <c r="T9" s="421"/>
      <c r="U9" s="421"/>
      <c r="V9" s="421"/>
      <c r="W9" s="421"/>
      <c r="X9" s="421"/>
      <c r="Y9" s="421"/>
      <c r="Z9" s="491"/>
      <c r="AA9" s="491"/>
      <c r="AC9" s="109"/>
    </row>
    <row r="10" spans="1:29">
      <c r="A10" s="45">
        <v>1994</v>
      </c>
      <c r="B10" s="730">
        <v>607.68274991203043</v>
      </c>
      <c r="C10" s="730">
        <v>607.04242700909947</v>
      </c>
      <c r="D10" s="730">
        <v>479.41128414487207</v>
      </c>
      <c r="E10" s="730">
        <v>463.57309033349492</v>
      </c>
      <c r="F10" s="730">
        <v>408.3390693273787</v>
      </c>
      <c r="G10" s="730">
        <v>677.5022253034108</v>
      </c>
      <c r="H10" s="730">
        <v>535.0568549944993</v>
      </c>
      <c r="I10" s="732" t="s">
        <v>21</v>
      </c>
      <c r="J10" s="709"/>
      <c r="K10" s="709"/>
      <c r="L10" s="709"/>
      <c r="M10" s="709"/>
      <c r="N10" s="709"/>
      <c r="O10" s="709"/>
      <c r="P10" s="709"/>
      <c r="Q10" s="709"/>
      <c r="R10" s="421"/>
      <c r="S10" s="421"/>
      <c r="T10" s="421"/>
      <c r="U10" s="421"/>
      <c r="V10" s="421"/>
      <c r="W10" s="421"/>
      <c r="X10" s="421"/>
      <c r="Y10" s="421"/>
      <c r="Z10" s="491"/>
      <c r="AA10" s="491"/>
      <c r="AC10" s="109"/>
    </row>
    <row r="11" spans="1:29">
      <c r="A11" s="45">
        <v>1995</v>
      </c>
      <c r="B11" s="729">
        <v>611.04803890719609</v>
      </c>
      <c r="C11" s="729">
        <v>610.10431732806762</v>
      </c>
      <c r="D11" s="729">
        <v>504.10530664028494</v>
      </c>
      <c r="E11" s="729">
        <v>491.47287356565187</v>
      </c>
      <c r="F11" s="729">
        <v>431.82189249478546</v>
      </c>
      <c r="G11" s="729">
        <v>680.41520372675518</v>
      </c>
      <c r="H11" s="729">
        <v>562.20043880290734</v>
      </c>
      <c r="I11" s="731" t="s">
        <v>21</v>
      </c>
      <c r="J11" s="709"/>
      <c r="K11" s="709"/>
      <c r="L11" s="709"/>
      <c r="M11" s="709"/>
      <c r="N11" s="709"/>
      <c r="O11" s="709"/>
      <c r="P11" s="709"/>
      <c r="Q11" s="709"/>
      <c r="R11" s="421"/>
      <c r="S11" s="421"/>
      <c r="T11" s="421"/>
      <c r="U11" s="421"/>
      <c r="V11" s="421"/>
      <c r="W11" s="421"/>
      <c r="X11" s="421"/>
      <c r="Y11" s="421"/>
      <c r="Z11" s="491"/>
      <c r="AA11" s="491"/>
      <c r="AC11" s="109"/>
    </row>
    <row r="12" spans="1:29">
      <c r="A12" s="45">
        <v>1996</v>
      </c>
      <c r="B12" s="729">
        <v>603.90088403600578</v>
      </c>
      <c r="C12" s="729">
        <v>602.39044540472401</v>
      </c>
      <c r="D12" s="729">
        <v>487.03209145729716</v>
      </c>
      <c r="E12" s="729">
        <v>474.0499920878085</v>
      </c>
      <c r="F12" s="729">
        <v>417.76222060954098</v>
      </c>
      <c r="G12" s="729">
        <v>673.6757635446545</v>
      </c>
      <c r="H12" s="729">
        <v>544.66620210552173</v>
      </c>
      <c r="I12" s="731" t="s">
        <v>21</v>
      </c>
      <c r="J12" s="709"/>
      <c r="K12" s="709"/>
      <c r="L12" s="709"/>
      <c r="M12" s="709"/>
      <c r="N12" s="709"/>
      <c r="O12" s="709"/>
      <c r="P12" s="709"/>
      <c r="Q12" s="709"/>
      <c r="R12" s="421"/>
      <c r="S12" s="421"/>
      <c r="T12" s="421"/>
      <c r="U12" s="421"/>
      <c r="V12" s="421"/>
      <c r="W12" s="421"/>
      <c r="X12" s="421"/>
      <c r="Y12" s="421"/>
      <c r="Z12" s="491"/>
      <c r="AA12" s="491"/>
      <c r="AC12" s="109"/>
    </row>
    <row r="13" spans="1:29">
      <c r="A13" s="45">
        <v>1997</v>
      </c>
      <c r="B13" s="729">
        <v>589.48805317830136</v>
      </c>
      <c r="C13" s="729">
        <v>587.45108075099927</v>
      </c>
      <c r="D13" s="729">
        <v>478.69768171490199</v>
      </c>
      <c r="E13" s="729">
        <v>465.20504312874408</v>
      </c>
      <c r="F13" s="729">
        <v>410.20490698956127</v>
      </c>
      <c r="G13" s="729">
        <v>659.8581428037412</v>
      </c>
      <c r="H13" s="729">
        <v>537.7001993375161</v>
      </c>
      <c r="I13" s="731" t="s">
        <v>21</v>
      </c>
      <c r="J13" s="709"/>
      <c r="K13" s="709"/>
      <c r="L13" s="709"/>
      <c r="M13" s="709"/>
      <c r="N13" s="709"/>
      <c r="O13" s="709"/>
      <c r="P13" s="709"/>
      <c r="Q13" s="709"/>
      <c r="R13" s="421"/>
      <c r="S13" s="421"/>
      <c r="T13" s="421"/>
      <c r="U13" s="421"/>
      <c r="V13" s="421"/>
      <c r="W13" s="421"/>
      <c r="X13" s="421"/>
      <c r="Y13" s="421"/>
      <c r="Z13" s="491"/>
      <c r="AA13" s="491"/>
      <c r="AC13" s="109"/>
    </row>
    <row r="14" spans="1:29">
      <c r="A14" s="45">
        <v>1998</v>
      </c>
      <c r="B14" s="150">
        <v>589.90392145618421</v>
      </c>
      <c r="C14" s="150">
        <v>587.07741786568204</v>
      </c>
      <c r="D14" s="150">
        <v>481.36140455194908</v>
      </c>
      <c r="E14" s="150">
        <v>468.15734061033561</v>
      </c>
      <c r="F14" s="150">
        <v>411.16685158167479</v>
      </c>
      <c r="G14" s="150">
        <v>660.21973933186496</v>
      </c>
      <c r="H14" s="150">
        <v>541.3328657625508</v>
      </c>
      <c r="I14" s="733" t="s">
        <v>21</v>
      </c>
      <c r="J14" s="709"/>
      <c r="K14" s="709"/>
      <c r="L14" s="709"/>
      <c r="M14" s="709"/>
      <c r="N14" s="709"/>
      <c r="O14" s="709"/>
      <c r="P14" s="709"/>
      <c r="Q14" s="709"/>
      <c r="R14" s="421"/>
      <c r="S14" s="421"/>
      <c r="T14" s="421"/>
      <c r="U14" s="421"/>
      <c r="V14" s="421"/>
      <c r="W14" s="421"/>
      <c r="X14" s="421"/>
      <c r="Y14" s="421"/>
      <c r="Z14" s="491"/>
      <c r="AA14" s="491"/>
      <c r="AC14" s="109"/>
    </row>
    <row r="15" spans="1:29">
      <c r="A15" s="45">
        <v>1999</v>
      </c>
      <c r="B15" s="730">
        <v>570.8093019805483</v>
      </c>
      <c r="C15" s="730">
        <v>566.72536451599149</v>
      </c>
      <c r="D15" s="730">
        <v>457.02932098500895</v>
      </c>
      <c r="E15" s="730">
        <v>443.30012093581399</v>
      </c>
      <c r="F15" s="730">
        <v>389.86126135531788</v>
      </c>
      <c r="G15" s="730">
        <v>641.97865987846069</v>
      </c>
      <c r="H15" s="730">
        <v>517.71649794022892</v>
      </c>
      <c r="I15" s="732" t="s">
        <v>21</v>
      </c>
      <c r="J15" s="709"/>
      <c r="K15" s="709"/>
      <c r="L15" s="709"/>
      <c r="M15" s="709"/>
      <c r="N15" s="709"/>
      <c r="O15" s="709"/>
      <c r="P15" s="709"/>
      <c r="Q15" s="709"/>
      <c r="R15" s="421"/>
      <c r="S15" s="421"/>
      <c r="T15" s="421"/>
      <c r="U15" s="421"/>
      <c r="V15" s="421"/>
      <c r="W15" s="421"/>
      <c r="X15" s="421"/>
      <c r="Y15" s="421"/>
      <c r="Z15" s="491"/>
      <c r="AA15" s="491"/>
      <c r="AC15" s="109"/>
    </row>
    <row r="16" spans="1:29">
      <c r="A16" s="45">
        <v>2000</v>
      </c>
      <c r="B16" s="150">
        <v>560.28572296324592</v>
      </c>
      <c r="C16" s="150">
        <v>556.46192751543117</v>
      </c>
      <c r="D16" s="150">
        <v>454.45026692745</v>
      </c>
      <c r="E16" s="150">
        <v>439.19303374249989</v>
      </c>
      <c r="F16" s="150">
        <v>386.93946433989311</v>
      </c>
      <c r="G16" s="150">
        <v>633.74990967798033</v>
      </c>
      <c r="H16" s="150">
        <v>517.56966896970471</v>
      </c>
      <c r="I16" s="733" t="s">
        <v>21</v>
      </c>
      <c r="J16" s="709"/>
      <c r="K16" s="709"/>
      <c r="L16" s="709"/>
      <c r="M16" s="709"/>
      <c r="N16" s="709"/>
      <c r="O16" s="709"/>
      <c r="P16" s="709"/>
      <c r="Q16" s="709"/>
      <c r="R16" s="421"/>
      <c r="S16" s="421"/>
      <c r="T16" s="421"/>
      <c r="U16" s="421"/>
      <c r="V16" s="421"/>
      <c r="W16" s="421"/>
      <c r="X16" s="421"/>
      <c r="Y16" s="421"/>
      <c r="Z16" s="491"/>
      <c r="AA16" s="491"/>
      <c r="AC16" s="109"/>
    </row>
    <row r="17" spans="1:29">
      <c r="A17" s="45">
        <v>2001</v>
      </c>
      <c r="B17" s="150">
        <v>559.43701760780345</v>
      </c>
      <c r="C17" s="150">
        <v>554.44406154261401</v>
      </c>
      <c r="D17" s="150">
        <v>447.35655336189274</v>
      </c>
      <c r="E17" s="150">
        <v>426.04949968705915</v>
      </c>
      <c r="F17" s="150">
        <v>376.36437157375781</v>
      </c>
      <c r="G17" s="150">
        <v>629.00576676883998</v>
      </c>
      <c r="H17" s="150">
        <v>507.51711738702704</v>
      </c>
      <c r="I17" s="733" t="s">
        <v>21</v>
      </c>
      <c r="J17" s="709"/>
      <c r="K17" s="709"/>
      <c r="L17" s="709"/>
      <c r="M17" s="709"/>
      <c r="N17" s="709"/>
      <c r="O17" s="709"/>
      <c r="P17" s="709"/>
      <c r="Q17" s="709"/>
      <c r="R17" s="421"/>
      <c r="S17" s="421"/>
      <c r="T17" s="421"/>
      <c r="U17" s="421"/>
      <c r="V17" s="421"/>
      <c r="W17" s="421"/>
      <c r="X17" s="421"/>
      <c r="Y17" s="421"/>
      <c r="Z17" s="491"/>
      <c r="AA17" s="491"/>
      <c r="AC17" s="109"/>
    </row>
    <row r="18" spans="1:29">
      <c r="A18" s="45">
        <v>2002</v>
      </c>
      <c r="B18" s="150">
        <v>572.25604130731972</v>
      </c>
      <c r="C18" s="150">
        <v>565.57297249393037</v>
      </c>
      <c r="D18" s="150">
        <v>472.63303709890403</v>
      </c>
      <c r="E18" s="150">
        <v>450.82315848289375</v>
      </c>
      <c r="F18" s="150">
        <v>395.67597799487453</v>
      </c>
      <c r="G18" s="150">
        <v>639.84430013663234</v>
      </c>
      <c r="H18" s="150">
        <v>534.69944560910687</v>
      </c>
      <c r="I18" s="733" t="s">
        <v>21</v>
      </c>
      <c r="J18" s="709"/>
      <c r="K18" s="709"/>
      <c r="L18" s="709"/>
      <c r="M18" s="709"/>
      <c r="N18" s="709"/>
      <c r="O18" s="709"/>
      <c r="P18" s="709"/>
      <c r="Q18" s="709"/>
      <c r="R18" s="421"/>
      <c r="S18" s="421"/>
      <c r="T18" s="421"/>
      <c r="U18" s="421"/>
      <c r="V18" s="421"/>
      <c r="W18" s="421"/>
      <c r="X18" s="421"/>
      <c r="Y18" s="421"/>
      <c r="Z18" s="491"/>
      <c r="AA18" s="491"/>
      <c r="AC18" s="109"/>
    </row>
    <row r="19" spans="1:29">
      <c r="A19" s="45">
        <v>2003</v>
      </c>
      <c r="B19" s="150">
        <v>540.7854986136249</v>
      </c>
      <c r="C19" s="150">
        <v>532.79561199459158</v>
      </c>
      <c r="D19" s="150">
        <v>451.85197498682885</v>
      </c>
      <c r="E19" s="150">
        <v>431.48775700210825</v>
      </c>
      <c r="F19" s="150">
        <v>380.0351532259287</v>
      </c>
      <c r="G19" s="150">
        <v>602.31243247863199</v>
      </c>
      <c r="H19" s="150">
        <v>510.80762687916723</v>
      </c>
      <c r="I19" s="733" t="s">
        <v>21</v>
      </c>
      <c r="J19" s="709"/>
      <c r="K19" s="709"/>
      <c r="L19" s="709"/>
      <c r="M19" s="709"/>
      <c r="N19" s="709"/>
      <c r="O19" s="709"/>
      <c r="P19" s="709"/>
      <c r="Q19" s="709"/>
      <c r="R19" s="421"/>
      <c r="S19" s="421"/>
      <c r="T19" s="421"/>
      <c r="U19" s="421"/>
      <c r="V19" s="421"/>
      <c r="W19" s="421"/>
      <c r="X19" s="421"/>
      <c r="Y19" s="421"/>
      <c r="Z19" s="491"/>
      <c r="AA19" s="491"/>
      <c r="AC19" s="109"/>
    </row>
    <row r="20" spans="1:29">
      <c r="A20" s="45">
        <v>2004</v>
      </c>
      <c r="B20" s="150">
        <v>608.7583289666477</v>
      </c>
      <c r="C20" s="150">
        <v>597.63099970252586</v>
      </c>
      <c r="D20" s="150">
        <v>497.31009128591432</v>
      </c>
      <c r="E20" s="150">
        <v>483.04194201361975</v>
      </c>
      <c r="F20" s="150">
        <v>427.5622838453553</v>
      </c>
      <c r="G20" s="150">
        <v>559.74855428966464</v>
      </c>
      <c r="H20" s="150">
        <v>479.98735280264907</v>
      </c>
      <c r="I20" s="734">
        <v>382.68986222722663</v>
      </c>
      <c r="J20" s="709"/>
      <c r="K20" s="709"/>
      <c r="L20" s="709"/>
      <c r="M20" s="709"/>
      <c r="N20" s="709"/>
      <c r="O20" s="709"/>
      <c r="P20" s="709"/>
      <c r="Q20" s="709"/>
      <c r="R20" s="421"/>
      <c r="S20" s="421"/>
      <c r="T20" s="421"/>
      <c r="U20" s="421"/>
      <c r="V20" s="421"/>
      <c r="W20" s="421"/>
      <c r="X20" s="421"/>
      <c r="Y20" s="421"/>
      <c r="Z20" s="491"/>
      <c r="AA20" s="491"/>
      <c r="AC20" s="109"/>
    </row>
    <row r="21" spans="1:29">
      <c r="A21" s="45">
        <v>2005</v>
      </c>
      <c r="B21" s="150">
        <v>583.10731930340819</v>
      </c>
      <c r="C21" s="150">
        <v>571.94377387630698</v>
      </c>
      <c r="D21" s="150">
        <v>487.61673063162397</v>
      </c>
      <c r="E21" s="150">
        <v>467.14999905583437</v>
      </c>
      <c r="F21" s="150">
        <v>415.08706769453994</v>
      </c>
      <c r="G21" s="150">
        <v>514.66306357324743</v>
      </c>
      <c r="H21" s="150">
        <v>450.39296217940154</v>
      </c>
      <c r="I21" s="150">
        <v>244.35811829796287</v>
      </c>
      <c r="J21" s="709"/>
      <c r="K21" s="709"/>
      <c r="L21" s="709"/>
      <c r="M21" s="709"/>
      <c r="N21" s="709"/>
      <c r="O21" s="709"/>
      <c r="P21" s="709"/>
      <c r="Q21" s="709"/>
      <c r="R21" s="421"/>
      <c r="S21" s="421"/>
      <c r="T21" s="421"/>
      <c r="U21" s="421"/>
      <c r="V21" s="421"/>
      <c r="W21" s="421"/>
      <c r="X21" s="421"/>
      <c r="Y21" s="421"/>
      <c r="Z21" s="491"/>
      <c r="AA21" s="491"/>
      <c r="AB21" s="457"/>
      <c r="AC21" s="109"/>
    </row>
    <row r="22" spans="1:29">
      <c r="A22" s="45">
        <v>2006</v>
      </c>
      <c r="B22" s="150">
        <v>574.00775122847188</v>
      </c>
      <c r="C22" s="150">
        <v>562.43342162720228</v>
      </c>
      <c r="D22" s="150">
        <v>479.21320165023036</v>
      </c>
      <c r="E22" s="150">
        <v>464.31207518609426</v>
      </c>
      <c r="F22" s="150">
        <v>415.33801142722967</v>
      </c>
      <c r="G22" s="150">
        <v>506.60973238067334</v>
      </c>
      <c r="H22" s="150">
        <v>443.54314973069307</v>
      </c>
      <c r="I22" s="150">
        <v>254.40212905187903</v>
      </c>
      <c r="J22" s="709"/>
      <c r="K22" s="709"/>
      <c r="L22" s="709"/>
      <c r="M22" s="709"/>
      <c r="N22" s="709"/>
      <c r="O22" s="709"/>
      <c r="P22" s="709"/>
      <c r="Q22" s="709"/>
      <c r="R22" s="421"/>
      <c r="S22" s="421"/>
      <c r="T22" s="421"/>
      <c r="U22" s="421"/>
      <c r="V22" s="421"/>
      <c r="W22" s="421"/>
      <c r="X22" s="421"/>
      <c r="Y22" s="421"/>
      <c r="Z22" s="491"/>
      <c r="AA22" s="491"/>
      <c r="AB22" s="457"/>
      <c r="AC22" s="109"/>
    </row>
    <row r="23" spans="1:29">
      <c r="A23" s="45">
        <v>2007</v>
      </c>
      <c r="B23" s="150">
        <v>560.54988500946115</v>
      </c>
      <c r="C23" s="150">
        <v>549.07320412415152</v>
      </c>
      <c r="D23" s="150">
        <v>473.43815737621657</v>
      </c>
      <c r="E23" s="150">
        <v>457.50969165836347</v>
      </c>
      <c r="F23" s="150">
        <v>408.97721735923921</v>
      </c>
      <c r="G23" s="150">
        <v>497.27210303286694</v>
      </c>
      <c r="H23" s="150">
        <v>439.42863935619613</v>
      </c>
      <c r="I23" s="150">
        <v>254.81570180840444</v>
      </c>
      <c r="J23" s="709"/>
      <c r="K23" s="709"/>
      <c r="L23" s="709"/>
      <c r="M23" s="709"/>
      <c r="N23" s="709"/>
      <c r="O23" s="709"/>
      <c r="P23" s="709"/>
      <c r="Q23" s="709"/>
      <c r="R23" s="421"/>
      <c r="S23" s="421"/>
      <c r="T23" s="421"/>
      <c r="U23" s="421"/>
      <c r="V23" s="421"/>
      <c r="W23" s="421"/>
      <c r="X23" s="421"/>
      <c r="Y23" s="421"/>
      <c r="Z23" s="491"/>
      <c r="AA23" s="491"/>
      <c r="AB23" s="457"/>
      <c r="AC23" s="109"/>
    </row>
    <row r="24" spans="1:29">
      <c r="A24" s="45">
        <v>2008</v>
      </c>
      <c r="B24" s="730">
        <v>555.58716979680321</v>
      </c>
      <c r="C24" s="730">
        <v>542.90262198517496</v>
      </c>
      <c r="D24" s="730">
        <v>452.51697596031028</v>
      </c>
      <c r="E24" s="730">
        <v>444.70023242580504</v>
      </c>
      <c r="F24" s="730">
        <v>399.15158074934544</v>
      </c>
      <c r="G24" s="730">
        <v>492.42736858768831</v>
      </c>
      <c r="H24" s="730">
        <v>422.70013440134949</v>
      </c>
      <c r="I24" s="730">
        <v>253.0512429616507</v>
      </c>
      <c r="J24" s="709"/>
      <c r="K24" s="709"/>
      <c r="L24" s="709"/>
      <c r="M24" s="709"/>
      <c r="N24" s="709"/>
      <c r="O24" s="709"/>
      <c r="P24" s="709"/>
      <c r="Q24" s="709"/>
      <c r="R24" s="421"/>
      <c r="S24" s="421"/>
      <c r="T24" s="421"/>
      <c r="U24" s="421"/>
      <c r="V24" s="421"/>
      <c r="W24" s="421"/>
      <c r="X24" s="421"/>
      <c r="Y24" s="421"/>
      <c r="Z24" s="491"/>
      <c r="AA24" s="491"/>
      <c r="AB24" s="457"/>
      <c r="AC24" s="109"/>
    </row>
    <row r="25" spans="1:29">
      <c r="A25" s="45">
        <v>2009</v>
      </c>
      <c r="B25" s="150">
        <v>546.65376851773942</v>
      </c>
      <c r="C25" s="150">
        <v>528.42693514697487</v>
      </c>
      <c r="D25" s="150">
        <v>415.35373573228645</v>
      </c>
      <c r="E25" s="150">
        <v>399.3158978075362</v>
      </c>
      <c r="F25" s="150">
        <v>357.04706380530746</v>
      </c>
      <c r="G25" s="150">
        <v>479.83122076121771</v>
      </c>
      <c r="H25" s="150">
        <v>392.38882638454493</v>
      </c>
      <c r="I25" s="150">
        <v>260.55631670292331</v>
      </c>
      <c r="J25" s="709"/>
      <c r="K25" s="709"/>
      <c r="L25" s="709"/>
      <c r="M25" s="709"/>
      <c r="N25" s="709"/>
      <c r="O25" s="709"/>
      <c r="P25" s="709"/>
      <c r="Q25" s="709"/>
      <c r="R25" s="421"/>
      <c r="S25" s="421"/>
      <c r="T25" s="421"/>
      <c r="U25" s="421"/>
      <c r="V25" s="421"/>
      <c r="W25" s="421"/>
      <c r="X25" s="421"/>
      <c r="Y25" s="421"/>
      <c r="Z25" s="491"/>
      <c r="AA25" s="491"/>
      <c r="AB25" s="457"/>
      <c r="AC25" s="109"/>
    </row>
    <row r="26" spans="1:29">
      <c r="A26" s="45">
        <v>2010</v>
      </c>
      <c r="B26" s="150">
        <v>548.71268496992889</v>
      </c>
      <c r="C26" s="150">
        <v>526.3129167115593</v>
      </c>
      <c r="D26" s="150">
        <v>407.36304443551535</v>
      </c>
      <c r="E26" s="150">
        <v>392.75865789104358</v>
      </c>
      <c r="F26" s="150">
        <v>352.92496973754436</v>
      </c>
      <c r="G26" s="150">
        <v>472.05655453920804</v>
      </c>
      <c r="H26" s="150">
        <v>382.27311196070917</v>
      </c>
      <c r="I26" s="150">
        <v>249.01244681412823</v>
      </c>
      <c r="J26" s="709"/>
      <c r="K26" s="709"/>
      <c r="L26" s="709"/>
      <c r="M26" s="709"/>
      <c r="N26" s="709"/>
      <c r="O26" s="709"/>
      <c r="P26" s="709"/>
      <c r="Q26" s="709"/>
      <c r="R26" s="421"/>
      <c r="S26" s="421"/>
      <c r="T26" s="421"/>
      <c r="U26" s="421"/>
      <c r="V26" s="421"/>
      <c r="W26" s="421"/>
      <c r="X26" s="421"/>
      <c r="Y26" s="421"/>
      <c r="Z26" s="491"/>
      <c r="AA26" s="491"/>
      <c r="AB26" s="457"/>
      <c r="AC26" s="109"/>
    </row>
    <row r="27" spans="1:29">
      <c r="A27" s="45">
        <v>2011</v>
      </c>
      <c r="B27" s="150">
        <v>549.31637291011464</v>
      </c>
      <c r="C27" s="150">
        <v>523.27715367380472</v>
      </c>
      <c r="D27" s="150">
        <v>397.73604730598964</v>
      </c>
      <c r="E27" s="150">
        <v>381.08161740581158</v>
      </c>
      <c r="F27" s="150">
        <v>343.38028807130354</v>
      </c>
      <c r="G27" s="150">
        <v>462.22851544666651</v>
      </c>
      <c r="H27" s="150">
        <v>369.77155588839383</v>
      </c>
      <c r="I27" s="150">
        <v>229.54246949846558</v>
      </c>
      <c r="J27" s="709"/>
      <c r="K27" s="709"/>
      <c r="L27" s="709"/>
      <c r="M27" s="709"/>
      <c r="N27" s="709"/>
      <c r="O27" s="709"/>
      <c r="P27" s="709"/>
      <c r="Q27" s="709"/>
      <c r="R27" s="421"/>
      <c r="S27" s="421"/>
      <c r="T27" s="421"/>
      <c r="U27" s="421"/>
      <c r="V27" s="421"/>
      <c r="W27" s="421"/>
      <c r="X27" s="421"/>
      <c r="Y27" s="421"/>
      <c r="Z27" s="491"/>
      <c r="AA27" s="491"/>
      <c r="AB27" s="457"/>
      <c r="AC27" s="109"/>
    </row>
    <row r="28" spans="1:29">
      <c r="A28" s="45">
        <v>2012</v>
      </c>
      <c r="B28" s="150">
        <v>564.60606569377455</v>
      </c>
      <c r="C28" s="150">
        <v>532.20039547814781</v>
      </c>
      <c r="D28" s="150">
        <v>389.46372855491978</v>
      </c>
      <c r="E28" s="150">
        <v>376.88875791521474</v>
      </c>
      <c r="F28" s="150">
        <v>338.3174549888185</v>
      </c>
      <c r="G28" s="150">
        <v>469.70370843117945</v>
      </c>
      <c r="H28" s="150">
        <v>363.83343981804967</v>
      </c>
      <c r="I28" s="150">
        <v>228.86589057372697</v>
      </c>
      <c r="J28" s="709"/>
      <c r="K28" s="709"/>
      <c r="L28" s="709"/>
      <c r="M28" s="709"/>
      <c r="N28" s="709"/>
      <c r="O28" s="709"/>
      <c r="P28" s="709"/>
      <c r="Q28" s="709"/>
      <c r="R28" s="421"/>
      <c r="S28" s="421"/>
      <c r="T28" s="421"/>
      <c r="U28" s="421"/>
      <c r="V28" s="421"/>
      <c r="W28" s="421"/>
      <c r="X28" s="421"/>
      <c r="Y28" s="421"/>
      <c r="Z28" s="491"/>
      <c r="AA28" s="491"/>
      <c r="AB28" s="457"/>
      <c r="AC28" s="109"/>
    </row>
    <row r="29" spans="1:29">
      <c r="A29" s="45">
        <v>2013</v>
      </c>
      <c r="B29" s="150">
        <v>557.92508330447913</v>
      </c>
      <c r="C29" s="150">
        <v>508.5175238657676</v>
      </c>
      <c r="D29" s="150">
        <v>340.86702405386484</v>
      </c>
      <c r="E29" s="150">
        <v>330.11106225365205</v>
      </c>
      <c r="F29" s="150">
        <v>295.76611055650386</v>
      </c>
      <c r="G29" s="150">
        <v>440.89345360960425</v>
      </c>
      <c r="H29" s="150">
        <v>320.29176094403186</v>
      </c>
      <c r="I29" s="150">
        <v>220.04963320796452</v>
      </c>
      <c r="J29" s="709"/>
      <c r="K29" s="709"/>
      <c r="L29" s="709"/>
      <c r="M29" s="709"/>
      <c r="N29" s="709"/>
      <c r="O29" s="709"/>
      <c r="P29" s="709"/>
      <c r="Q29" s="709"/>
      <c r="R29" s="421"/>
      <c r="S29" s="421"/>
      <c r="T29" s="421"/>
      <c r="U29" s="421"/>
      <c r="V29" s="421"/>
      <c r="W29" s="421"/>
      <c r="X29" s="421"/>
      <c r="Y29" s="421"/>
      <c r="Z29" s="491"/>
      <c r="AA29" s="491"/>
      <c r="AB29" s="457"/>
      <c r="AC29" s="109"/>
    </row>
    <row r="30" spans="1:29">
      <c r="A30" s="45">
        <v>2014</v>
      </c>
      <c r="B30" s="150">
        <v>577.99620392705185</v>
      </c>
      <c r="C30" s="150">
        <v>516.53669026369857</v>
      </c>
      <c r="D30" s="150">
        <v>327.19544836891782</v>
      </c>
      <c r="E30" s="150">
        <v>312.61915584070766</v>
      </c>
      <c r="F30" s="150">
        <v>281.1341678679712</v>
      </c>
      <c r="G30" s="150">
        <v>442.10544887996338</v>
      </c>
      <c r="H30" s="150">
        <v>307.30457167193038</v>
      </c>
      <c r="I30" s="150">
        <v>208.9329182904215</v>
      </c>
      <c r="J30" s="709"/>
      <c r="K30" s="709"/>
      <c r="L30" s="709"/>
      <c r="M30" s="709"/>
      <c r="N30" s="709"/>
      <c r="O30" s="709"/>
      <c r="P30" s="709"/>
      <c r="Q30" s="709"/>
      <c r="R30" s="421"/>
      <c r="S30" s="421"/>
      <c r="T30" s="421"/>
      <c r="U30" s="421"/>
      <c r="V30" s="421"/>
      <c r="W30" s="421"/>
      <c r="X30" s="421"/>
      <c r="Y30" s="421"/>
      <c r="Z30" s="491"/>
      <c r="AA30" s="491"/>
      <c r="AB30" s="457"/>
      <c r="AC30" s="109"/>
    </row>
    <row r="31" spans="1:29">
      <c r="A31" s="45">
        <v>2015</v>
      </c>
      <c r="B31" s="150">
        <v>547.60614524247296</v>
      </c>
      <c r="C31" s="150">
        <v>492.30278179801905</v>
      </c>
      <c r="D31" s="150">
        <v>335.79995128618555</v>
      </c>
      <c r="E31" s="150">
        <v>318.15118482390039</v>
      </c>
      <c r="F31" s="150">
        <v>286.65564475685079</v>
      </c>
      <c r="G31" s="150">
        <v>428.4908367978332</v>
      </c>
      <c r="H31" s="150">
        <v>315.96164692313295</v>
      </c>
      <c r="I31" s="150">
        <v>221.71974237808936</v>
      </c>
      <c r="J31" s="709"/>
      <c r="K31" s="709"/>
      <c r="L31" s="709"/>
      <c r="M31" s="709"/>
      <c r="N31" s="709"/>
      <c r="O31" s="709"/>
      <c r="P31" s="709"/>
      <c r="Q31" s="709"/>
      <c r="R31" s="421"/>
      <c r="S31" s="421"/>
      <c r="T31" s="421"/>
      <c r="U31" s="421"/>
      <c r="V31" s="421"/>
      <c r="W31" s="421"/>
      <c r="X31" s="421"/>
      <c r="Y31" s="421"/>
      <c r="Z31" s="491"/>
      <c r="AA31" s="491"/>
      <c r="AB31" s="457"/>
      <c r="AC31" s="109"/>
    </row>
    <row r="32" spans="1:29">
      <c r="A32" s="45">
        <v>2016</v>
      </c>
      <c r="B32" s="150">
        <v>521.69420556750106</v>
      </c>
      <c r="C32" s="150">
        <v>470.66104108873679</v>
      </c>
      <c r="D32" s="150">
        <v>325.98029179355058</v>
      </c>
      <c r="E32" s="150">
        <v>317.63427507602239</v>
      </c>
      <c r="F32" s="150">
        <v>287.57260150805297</v>
      </c>
      <c r="G32" s="150">
        <v>412.74902528199857</v>
      </c>
      <c r="H32" s="150">
        <v>308.06424190877243</v>
      </c>
      <c r="I32" s="150">
        <v>223.55721578400576</v>
      </c>
      <c r="J32" s="709"/>
      <c r="K32" s="709"/>
      <c r="L32" s="709"/>
      <c r="M32" s="709"/>
      <c r="N32" s="709"/>
      <c r="O32" s="709"/>
      <c r="P32" s="709"/>
      <c r="Q32" s="709"/>
      <c r="R32" s="421"/>
      <c r="S32" s="421"/>
      <c r="T32" s="421"/>
      <c r="U32" s="421"/>
      <c r="V32" s="421"/>
      <c r="W32" s="421"/>
      <c r="X32" s="421"/>
      <c r="Y32" s="421"/>
      <c r="Z32" s="491"/>
      <c r="AA32" s="491"/>
      <c r="AB32" s="457"/>
      <c r="AC32" s="109"/>
    </row>
    <row r="33" spans="1:36">
      <c r="A33" s="45">
        <v>2017</v>
      </c>
      <c r="B33" s="150">
        <v>496.11836645096122</v>
      </c>
      <c r="C33" s="150">
        <v>450.18648326345703</v>
      </c>
      <c r="D33" s="150">
        <v>320.76804897053978</v>
      </c>
      <c r="E33" s="150">
        <v>312.39874110051488</v>
      </c>
      <c r="F33" s="150">
        <v>282.98149118431195</v>
      </c>
      <c r="G33" s="150">
        <v>397.94799329025841</v>
      </c>
      <c r="H33" s="150">
        <v>303.22560580227633</v>
      </c>
      <c r="I33" s="150">
        <v>218.78581584324419</v>
      </c>
      <c r="J33" s="709"/>
      <c r="K33" s="709"/>
      <c r="L33" s="709"/>
      <c r="M33" s="709"/>
      <c r="N33" s="709"/>
      <c r="O33" s="709"/>
      <c r="P33" s="709"/>
      <c r="Q33" s="709"/>
      <c r="R33" s="421"/>
      <c r="S33" s="421"/>
      <c r="T33" s="421"/>
      <c r="U33" s="421"/>
      <c r="V33" s="421"/>
      <c r="W33" s="421"/>
      <c r="X33" s="421"/>
      <c r="Y33" s="421"/>
      <c r="Z33" s="491"/>
      <c r="AA33" s="491"/>
      <c r="AB33" s="457"/>
      <c r="AC33" s="109"/>
    </row>
    <row r="34" spans="1:36">
      <c r="A34" s="45">
        <v>2018</v>
      </c>
      <c r="B34" s="150">
        <v>499.26106708855639</v>
      </c>
      <c r="C34" s="150">
        <v>449.51733448035259</v>
      </c>
      <c r="D34" s="150">
        <v>300.8258447874249</v>
      </c>
      <c r="E34" s="150">
        <v>285.50826902086607</v>
      </c>
      <c r="F34" s="150">
        <v>259.74118310862605</v>
      </c>
      <c r="G34" s="150">
        <v>393.73491742102783</v>
      </c>
      <c r="H34" s="150">
        <v>285.83333563138297</v>
      </c>
      <c r="I34" s="150">
        <v>213.41403756840973</v>
      </c>
      <c r="J34" s="709"/>
      <c r="K34" s="709"/>
      <c r="L34" s="709"/>
      <c r="M34" s="709"/>
      <c r="N34" s="709"/>
      <c r="O34" s="709"/>
      <c r="P34" s="709"/>
      <c r="Q34" s="709"/>
      <c r="R34" s="421"/>
      <c r="S34" s="421"/>
      <c r="T34" s="421"/>
      <c r="U34" s="421"/>
      <c r="V34" s="421"/>
      <c r="W34" s="421"/>
      <c r="X34" s="421"/>
      <c r="Y34" s="421"/>
      <c r="Z34" s="491"/>
      <c r="AA34" s="491"/>
      <c r="AB34" s="457"/>
      <c r="AC34" s="109"/>
    </row>
    <row r="35" spans="1:36">
      <c r="A35" s="45">
        <v>2019</v>
      </c>
      <c r="B35" s="150">
        <v>467.27586408808406</v>
      </c>
      <c r="C35" s="150">
        <v>420.57379487934037</v>
      </c>
      <c r="D35" s="150">
        <v>281.9021120402586</v>
      </c>
      <c r="E35" s="150">
        <v>272.76178671426311</v>
      </c>
      <c r="F35" s="150">
        <v>248.26211885322749</v>
      </c>
      <c r="G35" s="150">
        <v>372.51685417387898</v>
      </c>
      <c r="H35" s="150">
        <v>270.69681755201674</v>
      </c>
      <c r="I35" s="150">
        <v>216.38342470700456</v>
      </c>
      <c r="J35" s="709"/>
      <c r="K35" s="709"/>
      <c r="L35" s="709"/>
      <c r="M35" s="709"/>
      <c r="N35" s="709"/>
      <c r="O35" s="709"/>
      <c r="P35" s="709"/>
      <c r="Q35" s="709"/>
      <c r="R35" s="421"/>
      <c r="S35" s="421"/>
      <c r="T35" s="421"/>
      <c r="U35" s="421"/>
      <c r="V35" s="421"/>
      <c r="W35" s="421"/>
      <c r="X35" s="421"/>
      <c r="Y35" s="421"/>
      <c r="Z35" s="491"/>
      <c r="AA35" s="491"/>
      <c r="AB35" s="457"/>
      <c r="AC35" s="109"/>
    </row>
    <row r="36" spans="1:36">
      <c r="A36" s="45">
        <v>2020</v>
      </c>
      <c r="B36" s="150">
        <v>454.39897196236006</v>
      </c>
      <c r="C36" s="150">
        <v>405.19183200859817</v>
      </c>
      <c r="D36" s="150">
        <v>263.70148073625455</v>
      </c>
      <c r="E36" s="150">
        <v>258.84494133941354</v>
      </c>
      <c r="F36" s="150">
        <v>235.50810306097284</v>
      </c>
      <c r="G36" s="150">
        <v>358.32548658719531</v>
      </c>
      <c r="H36" s="150">
        <v>255.15960876547709</v>
      </c>
      <c r="I36" s="150">
        <v>215.02901581967762</v>
      </c>
      <c r="J36" s="709"/>
      <c r="K36" s="709"/>
      <c r="L36" s="709"/>
      <c r="M36" s="709"/>
      <c r="N36" s="709"/>
      <c r="O36" s="709"/>
      <c r="P36" s="709"/>
      <c r="Q36" s="709"/>
      <c r="R36" s="421"/>
      <c r="S36" s="421"/>
      <c r="T36" s="421"/>
      <c r="U36" s="421"/>
      <c r="V36" s="421"/>
      <c r="W36" s="421"/>
      <c r="X36" s="421"/>
      <c r="Y36" s="421"/>
      <c r="Z36" s="491"/>
      <c r="AA36" s="491"/>
      <c r="AB36" s="457"/>
      <c r="AC36" s="109"/>
    </row>
    <row r="37" spans="1:36">
      <c r="A37" s="45">
        <v>2021</v>
      </c>
      <c r="B37" s="150">
        <v>456.75809863938161</v>
      </c>
      <c r="C37" s="150">
        <v>410.84231967688788</v>
      </c>
      <c r="D37" s="150">
        <v>271.59223412862542</v>
      </c>
      <c r="E37" s="150">
        <v>259.0385207996182</v>
      </c>
      <c r="F37" s="150">
        <v>235.26622413062736</v>
      </c>
      <c r="G37" s="150">
        <v>364.8741118091441</v>
      </c>
      <c r="H37" s="150">
        <v>261.90133872161925</v>
      </c>
      <c r="I37" s="150">
        <v>213.68655749380008</v>
      </c>
      <c r="J37" s="709"/>
      <c r="K37" s="709"/>
      <c r="L37" s="709"/>
      <c r="M37" s="709"/>
      <c r="N37" s="709"/>
      <c r="O37" s="709"/>
      <c r="P37" s="709"/>
      <c r="Q37" s="709"/>
      <c r="R37" s="421"/>
      <c r="S37" s="421"/>
      <c r="T37" s="421"/>
      <c r="U37" s="421"/>
      <c r="V37" s="421"/>
      <c r="W37" s="421"/>
      <c r="X37" s="421"/>
      <c r="Y37" s="421"/>
      <c r="Z37" s="491"/>
      <c r="AA37" s="491"/>
      <c r="AB37" s="457"/>
      <c r="AC37" s="109"/>
    </row>
    <row r="38" spans="1:36">
      <c r="A38" s="45">
        <v>2022</v>
      </c>
      <c r="B38" s="150">
        <v>477.28927175241148</v>
      </c>
      <c r="C38" s="150">
        <v>435.08334003427979</v>
      </c>
      <c r="D38" s="150">
        <v>307.28517507746807</v>
      </c>
      <c r="E38" s="150">
        <v>292.95868590678816</v>
      </c>
      <c r="F38" s="150">
        <v>265.35231044297581</v>
      </c>
      <c r="G38" s="150">
        <v>388.27977289488592</v>
      </c>
      <c r="H38" s="150">
        <v>293.31210392915784</v>
      </c>
      <c r="I38" s="150">
        <v>223.77342862477116</v>
      </c>
      <c r="J38" s="709"/>
      <c r="K38" s="709"/>
      <c r="L38" s="709"/>
      <c r="M38" s="709"/>
      <c r="N38" s="709"/>
      <c r="O38" s="709"/>
      <c r="P38" s="709"/>
      <c r="Q38" s="709"/>
      <c r="R38" s="421"/>
      <c r="S38" s="421"/>
      <c r="T38" s="421"/>
      <c r="U38" s="421"/>
      <c r="V38" s="421"/>
      <c r="W38" s="421"/>
      <c r="X38" s="421"/>
      <c r="Y38" s="421"/>
      <c r="Z38" s="491"/>
      <c r="AA38" s="491"/>
      <c r="AB38" s="109"/>
      <c r="AC38" s="109"/>
    </row>
    <row r="39" spans="1:36">
      <c r="A39" s="45">
        <f>A38+1</f>
        <v>2023</v>
      </c>
      <c r="B39" s="150">
        <v>460.24459987155439</v>
      </c>
      <c r="C39" s="150">
        <v>414.90312101526052</v>
      </c>
      <c r="D39" s="150">
        <v>256.34982212837758</v>
      </c>
      <c r="E39" s="150">
        <v>234.74146796238338</v>
      </c>
      <c r="F39" s="150">
        <v>213.36025694441119</v>
      </c>
      <c r="G39" s="150">
        <v>369.67254305958124</v>
      </c>
      <c r="H39" s="150">
        <v>251.28774098454818</v>
      </c>
      <c r="I39" s="150">
        <v>225.10011559505304</v>
      </c>
      <c r="J39" s="709"/>
      <c r="K39" s="709"/>
      <c r="L39" s="709"/>
      <c r="M39" s="709"/>
      <c r="N39" s="709"/>
      <c r="O39" s="709"/>
      <c r="P39" s="709"/>
      <c r="Q39" s="709"/>
      <c r="R39" s="421"/>
      <c r="S39" s="421"/>
      <c r="T39" s="421"/>
      <c r="U39" s="421"/>
      <c r="V39" s="421"/>
      <c r="W39" s="421"/>
      <c r="X39" s="421"/>
      <c r="Y39" s="421"/>
      <c r="Z39" s="491"/>
      <c r="AA39" s="491"/>
      <c r="AB39" s="109"/>
      <c r="AC39" s="109"/>
    </row>
    <row r="40" spans="1:36">
      <c r="A40" s="45">
        <f>A39+1</f>
        <v>2024</v>
      </c>
      <c r="B40" s="150">
        <v>418.07725051101505</v>
      </c>
      <c r="C40" s="150">
        <v>370.69254703068754</v>
      </c>
      <c r="D40" s="150">
        <v>209.41601472227433</v>
      </c>
      <c r="E40" s="150">
        <v>192.59512656547312</v>
      </c>
      <c r="F40" s="150">
        <v>175.17537280506093</v>
      </c>
      <c r="G40" s="150">
        <v>332.91981534015144</v>
      </c>
      <c r="H40" s="150">
        <v>211.42033422298996</v>
      </c>
      <c r="I40" s="150">
        <v>221.85259478809178</v>
      </c>
      <c r="J40" s="12"/>
      <c r="L40" s="457"/>
      <c r="M40" s="421"/>
      <c r="N40" s="421"/>
      <c r="O40" s="422"/>
      <c r="P40" s="421"/>
      <c r="Q40" s="109"/>
      <c r="R40" s="421"/>
      <c r="S40" s="421"/>
      <c r="T40" s="421"/>
      <c r="U40" s="421"/>
      <c r="V40" s="421"/>
      <c r="W40" s="421"/>
      <c r="X40" s="421"/>
      <c r="Y40" s="421"/>
      <c r="Z40" s="491"/>
      <c r="AA40" s="491"/>
      <c r="AB40" s="109"/>
      <c r="AC40" s="109"/>
    </row>
    <row r="41" spans="1:36">
      <c r="A41" s="817">
        <f>A40+1</f>
        <v>2025</v>
      </c>
      <c r="B41" s="311">
        <v>413.27188683245237</v>
      </c>
      <c r="C41" s="311">
        <v>366.46138635452036</v>
      </c>
      <c r="D41" s="311">
        <v>213.80024504929128</v>
      </c>
      <c r="E41" s="311">
        <v>199.61039761053482</v>
      </c>
      <c r="F41" s="311">
        <v>181.69907729273046</v>
      </c>
      <c r="G41" s="311">
        <v>333.20032796799092</v>
      </c>
      <c r="H41" s="311">
        <v>216.67400499772782</v>
      </c>
      <c r="I41" s="311">
        <v>231.70478191482766</v>
      </c>
      <c r="J41" s="12"/>
      <c r="L41" s="457"/>
      <c r="M41" s="421"/>
      <c r="N41" s="421"/>
      <c r="O41" s="421"/>
      <c r="P41" s="421"/>
      <c r="Q41" s="109"/>
      <c r="R41" s="421"/>
      <c r="S41" s="422"/>
      <c r="U41" s="109"/>
      <c r="V41" s="109"/>
      <c r="W41" s="109"/>
      <c r="X41" s="109"/>
      <c r="Y41" s="109"/>
      <c r="Z41" s="109"/>
      <c r="AA41" s="109"/>
      <c r="AB41" s="109"/>
      <c r="AC41" s="109"/>
    </row>
    <row r="42" spans="1:36" ht="18.5">
      <c r="A42" s="46" t="s">
        <v>157</v>
      </c>
      <c r="J42" s="12"/>
      <c r="L42" s="457"/>
      <c r="M42" s="421"/>
      <c r="N42" s="421"/>
      <c r="O42" s="421"/>
      <c r="P42" s="421"/>
      <c r="Q42" s="109"/>
      <c r="R42" s="421"/>
      <c r="S42" s="422"/>
      <c r="U42" s="109"/>
      <c r="V42" s="109"/>
      <c r="W42" s="109"/>
      <c r="X42" s="109"/>
      <c r="Y42" s="109"/>
      <c r="Z42" s="109"/>
      <c r="AA42" s="109"/>
      <c r="AB42" s="109"/>
      <c r="AC42" s="109"/>
    </row>
    <row r="43" spans="1:36" ht="18.5">
      <c r="A43" s="46" t="s">
        <v>570</v>
      </c>
      <c r="B43" s="101"/>
      <c r="J43" s="12"/>
      <c r="L43" s="457"/>
      <c r="M43" s="421"/>
      <c r="N43" s="421"/>
      <c r="O43" s="421"/>
      <c r="P43" s="421"/>
      <c r="Q43" s="109"/>
      <c r="R43" s="421"/>
      <c r="S43" s="422"/>
      <c r="U43" s="109"/>
      <c r="V43" s="109"/>
      <c r="W43" s="109"/>
      <c r="X43" s="109"/>
      <c r="Y43" s="109"/>
      <c r="Z43" s="109"/>
      <c r="AA43" s="109"/>
      <c r="AB43" s="109"/>
      <c r="AC43" s="109"/>
    </row>
    <row r="44" spans="1:36" ht="18.5">
      <c r="A44" s="46" t="s">
        <v>552</v>
      </c>
      <c r="J44" s="12"/>
      <c r="Q44" s="109"/>
      <c r="U44" s="109"/>
      <c r="V44" s="109"/>
      <c r="W44" s="109"/>
      <c r="X44" s="109"/>
    </row>
    <row r="45" spans="1:36" ht="18.5">
      <c r="A45" s="46" t="s">
        <v>553</v>
      </c>
      <c r="C45" s="382"/>
      <c r="D45" s="382"/>
      <c r="E45" s="382"/>
      <c r="G45" s="382"/>
      <c r="H45" s="382"/>
      <c r="I45" s="382"/>
      <c r="J45" s="12"/>
      <c r="Q45" s="109"/>
      <c r="U45" s="109"/>
      <c r="V45" s="109"/>
      <c r="W45" s="109"/>
      <c r="X45" s="109"/>
    </row>
    <row r="46" spans="1:36" ht="18.5">
      <c r="A46" s="46" t="s">
        <v>554</v>
      </c>
      <c r="C46" s="421"/>
      <c r="D46" s="421"/>
      <c r="E46" s="421"/>
      <c r="G46" s="421"/>
      <c r="H46" s="421"/>
      <c r="I46" s="421"/>
      <c r="J46" s="12"/>
      <c r="Q46" s="109"/>
      <c r="U46" s="109"/>
      <c r="V46" s="109"/>
      <c r="W46" s="109"/>
      <c r="X46" s="109"/>
    </row>
    <row r="47" spans="1:36">
      <c r="A47" s="12" t="s">
        <v>582</v>
      </c>
      <c r="F47" s="12"/>
      <c r="Q47" s="109"/>
      <c r="U47" s="109"/>
      <c r="V47" s="109"/>
      <c r="W47" s="109"/>
      <c r="X47" s="109"/>
    </row>
    <row r="48" spans="1:36">
      <c r="F48" s="12"/>
      <c r="K48" s="147"/>
      <c r="L48" s="152"/>
      <c r="M48" s="152"/>
      <c r="N48" s="152"/>
      <c r="O48" s="152"/>
      <c r="P48" s="152"/>
      <c r="Q48" s="152"/>
      <c r="R48" s="152"/>
      <c r="S48" s="152"/>
      <c r="T48" s="147"/>
      <c r="U48" s="152"/>
      <c r="V48" s="152"/>
      <c r="W48" s="152"/>
      <c r="X48" s="152"/>
      <c r="Y48" s="152"/>
      <c r="Z48" s="152"/>
      <c r="AA48" s="152"/>
      <c r="AB48" s="152"/>
      <c r="AC48" s="152"/>
      <c r="AD48" s="152"/>
      <c r="AE48" s="152"/>
      <c r="AF48" s="152"/>
      <c r="AG48" s="152"/>
      <c r="AH48" s="152"/>
      <c r="AI48" s="152"/>
      <c r="AJ48" s="152"/>
    </row>
    <row r="49" spans="6:36">
      <c r="F49" s="12"/>
      <c r="K49" s="147"/>
      <c r="L49" s="152"/>
      <c r="M49" s="152"/>
      <c r="N49" s="152"/>
      <c r="O49" s="152"/>
      <c r="P49" s="152"/>
      <c r="Q49" s="152"/>
      <c r="R49" s="152"/>
      <c r="S49" s="152"/>
      <c r="T49" s="147"/>
      <c r="U49" s="152"/>
      <c r="V49" s="152"/>
      <c r="W49" s="152"/>
      <c r="X49" s="152"/>
      <c r="Y49" s="152"/>
      <c r="Z49" s="152"/>
      <c r="AA49" s="152"/>
      <c r="AB49" s="152"/>
      <c r="AC49" s="152"/>
      <c r="AD49" s="152"/>
      <c r="AE49" s="152"/>
      <c r="AF49" s="152"/>
      <c r="AG49" s="152"/>
      <c r="AH49" s="152"/>
      <c r="AI49" s="152"/>
      <c r="AJ49" s="152"/>
    </row>
    <row r="50" spans="6:36">
      <c r="F50" s="12"/>
      <c r="K50" s="147"/>
      <c r="L50" s="152"/>
      <c r="M50" s="152"/>
      <c r="N50" s="152"/>
      <c r="O50" s="152"/>
      <c r="P50" s="152"/>
      <c r="Q50" s="152"/>
      <c r="R50" s="152"/>
      <c r="S50" s="152"/>
      <c r="T50" s="147"/>
      <c r="U50" s="152"/>
      <c r="V50" s="152"/>
      <c r="W50" s="152"/>
      <c r="X50" s="152"/>
      <c r="Y50" s="152"/>
      <c r="Z50" s="152"/>
      <c r="AA50" s="152"/>
      <c r="AB50" s="152"/>
      <c r="AC50" s="152"/>
      <c r="AD50" s="152"/>
      <c r="AE50" s="152"/>
      <c r="AF50" s="152"/>
      <c r="AG50" s="152"/>
      <c r="AH50" s="152"/>
      <c r="AI50" s="152"/>
      <c r="AJ50" s="152"/>
    </row>
    <row r="51" spans="6:36">
      <c r="F51" s="12"/>
      <c r="K51" s="147"/>
      <c r="L51" s="152"/>
      <c r="M51" s="152"/>
      <c r="N51" s="152"/>
      <c r="O51" s="152"/>
      <c r="P51" s="152"/>
      <c r="Q51" s="152"/>
      <c r="R51" s="152"/>
      <c r="S51" s="152"/>
      <c r="T51" s="147"/>
      <c r="U51" s="152"/>
      <c r="V51" s="152"/>
      <c r="W51" s="152"/>
      <c r="X51" s="152"/>
      <c r="Y51" s="152"/>
      <c r="Z51" s="152"/>
      <c r="AA51" s="152"/>
      <c r="AB51" s="152"/>
      <c r="AC51" s="152"/>
      <c r="AD51" s="152"/>
      <c r="AE51" s="152"/>
      <c r="AF51" s="152"/>
      <c r="AG51" s="152"/>
      <c r="AH51" s="152"/>
      <c r="AI51" s="152"/>
      <c r="AJ51" s="152"/>
    </row>
    <row r="52" spans="6:36">
      <c r="F52" s="12"/>
      <c r="K52" s="147"/>
      <c r="L52" s="152"/>
      <c r="M52" s="152"/>
      <c r="N52" s="152"/>
      <c r="O52" s="152"/>
      <c r="P52" s="152"/>
      <c r="Q52" s="152"/>
      <c r="R52" s="152"/>
      <c r="S52" s="152"/>
      <c r="T52" s="147"/>
      <c r="U52" s="152"/>
      <c r="V52" s="152"/>
      <c r="W52" s="152"/>
      <c r="X52" s="152"/>
      <c r="Y52" s="152"/>
      <c r="Z52" s="152"/>
      <c r="AA52" s="152"/>
      <c r="AB52" s="152"/>
      <c r="AC52" s="152"/>
      <c r="AD52" s="152"/>
      <c r="AE52" s="152"/>
      <c r="AF52" s="152"/>
      <c r="AG52" s="152"/>
      <c r="AH52" s="152"/>
      <c r="AI52" s="152"/>
      <c r="AJ52" s="152"/>
    </row>
    <row r="53" spans="6:36">
      <c r="F53" s="12"/>
    </row>
    <row r="54" spans="6:36">
      <c r="F54" s="12"/>
      <c r="J54" s="12"/>
      <c r="K54" s="152"/>
      <c r="L54" s="152"/>
      <c r="M54" s="152"/>
      <c r="N54" s="152"/>
      <c r="O54" s="728"/>
      <c r="P54" s="728"/>
      <c r="Q54" s="728"/>
      <c r="R54" s="728"/>
    </row>
    <row r="55" spans="6:36">
      <c r="F55" s="12"/>
      <c r="J55" s="12"/>
      <c r="K55" s="728"/>
      <c r="L55" s="728"/>
      <c r="M55" s="728"/>
      <c r="N55" s="728"/>
      <c r="O55" s="728"/>
      <c r="P55" s="728"/>
      <c r="Q55" s="728"/>
      <c r="R55" s="728"/>
    </row>
    <row r="56" spans="6:36">
      <c r="F56" s="12"/>
      <c r="J56" s="12"/>
      <c r="K56" s="728"/>
      <c r="L56" s="728"/>
      <c r="M56" s="728"/>
      <c r="N56" s="728"/>
      <c r="O56" s="728"/>
      <c r="P56" s="728"/>
      <c r="Q56" s="728"/>
      <c r="R56" s="728"/>
    </row>
    <row r="57" spans="6:36">
      <c r="F57" s="12"/>
      <c r="J57" s="12"/>
      <c r="K57" s="147"/>
      <c r="L57" s="147"/>
      <c r="M57" s="147"/>
      <c r="N57" s="147"/>
      <c r="O57" s="147"/>
      <c r="P57" s="147"/>
      <c r="Q57" s="147"/>
      <c r="R57" s="147"/>
    </row>
    <row r="58" spans="6:36">
      <c r="F58" s="12"/>
      <c r="J58" s="12"/>
      <c r="K58" s="728"/>
      <c r="L58" s="728"/>
      <c r="M58" s="728"/>
      <c r="N58" s="728"/>
      <c r="O58" s="728"/>
      <c r="P58" s="728"/>
      <c r="Q58" s="728"/>
      <c r="R58" s="728"/>
    </row>
    <row r="59" spans="6:36">
      <c r="F59" s="12"/>
      <c r="J59" s="12"/>
      <c r="K59" s="728"/>
      <c r="L59" s="728"/>
      <c r="M59" s="728"/>
      <c r="N59" s="728"/>
      <c r="O59" s="728"/>
      <c r="P59" s="728"/>
      <c r="Q59" s="728"/>
      <c r="R59" s="728"/>
    </row>
    <row r="60" spans="6:36">
      <c r="F60" s="12"/>
      <c r="J60" s="12"/>
      <c r="K60" s="728"/>
      <c r="L60" s="728"/>
      <c r="M60" s="728"/>
      <c r="N60" s="728"/>
      <c r="O60" s="728"/>
      <c r="P60" s="728"/>
      <c r="Q60" s="728"/>
      <c r="R60" s="728"/>
    </row>
    <row r="61" spans="6:36">
      <c r="F61" s="12"/>
      <c r="J61" s="12"/>
      <c r="K61" s="152"/>
      <c r="L61" s="152"/>
      <c r="M61" s="152"/>
      <c r="N61" s="152"/>
      <c r="O61" s="152"/>
      <c r="P61" s="152"/>
      <c r="Q61" s="152"/>
      <c r="R61" s="152"/>
    </row>
    <row r="62" spans="6:36">
      <c r="F62" s="12"/>
      <c r="J62" s="12"/>
      <c r="K62" s="147"/>
      <c r="L62" s="147"/>
      <c r="M62" s="147"/>
      <c r="N62" s="147"/>
      <c r="O62" s="147"/>
      <c r="P62" s="147"/>
      <c r="Q62" s="147"/>
      <c r="R62" s="147"/>
    </row>
    <row r="63" spans="6:36">
      <c r="F63" s="12"/>
      <c r="J63" s="12"/>
      <c r="K63" s="152"/>
      <c r="L63" s="152"/>
      <c r="M63" s="152"/>
      <c r="N63" s="152"/>
      <c r="O63" s="152"/>
      <c r="P63" s="152"/>
      <c r="Q63" s="152"/>
      <c r="R63" s="152"/>
    </row>
    <row r="64" spans="6:36">
      <c r="F64" s="12"/>
      <c r="J64" s="12"/>
      <c r="K64" s="152"/>
      <c r="L64" s="152"/>
      <c r="M64" s="152"/>
      <c r="N64" s="152"/>
      <c r="O64" s="152"/>
      <c r="P64" s="152"/>
      <c r="Q64" s="152"/>
      <c r="R64" s="152"/>
    </row>
    <row r="65" spans="2:18">
      <c r="F65" s="12"/>
      <c r="J65" s="12"/>
      <c r="K65" s="152"/>
      <c r="L65" s="152"/>
      <c r="M65" s="152"/>
      <c r="N65" s="152"/>
      <c r="O65" s="152"/>
      <c r="P65" s="152"/>
      <c r="Q65" s="152"/>
      <c r="R65" s="152"/>
    </row>
    <row r="66" spans="2:18">
      <c r="D66" s="152"/>
      <c r="E66" s="152"/>
      <c r="F66" s="152"/>
      <c r="G66" s="152"/>
      <c r="H66" s="152"/>
      <c r="I66" s="152"/>
      <c r="K66" s="152"/>
      <c r="L66" s="152"/>
      <c r="M66" s="152"/>
      <c r="N66" s="152"/>
      <c r="O66" s="152"/>
      <c r="P66" s="152"/>
      <c r="Q66" s="152"/>
      <c r="R66" s="152"/>
    </row>
    <row r="67" spans="2:18">
      <c r="D67" s="152"/>
      <c r="E67" s="152"/>
      <c r="F67" s="152"/>
      <c r="G67" s="152"/>
      <c r="H67" s="152"/>
      <c r="I67" s="152"/>
      <c r="K67" s="152"/>
      <c r="L67" s="152"/>
      <c r="M67" s="152"/>
      <c r="N67" s="152"/>
      <c r="O67" s="152"/>
      <c r="P67" s="152"/>
      <c r="Q67" s="152"/>
      <c r="R67" s="152"/>
    </row>
    <row r="68" spans="2:18">
      <c r="D68" s="152"/>
      <c r="E68" s="152"/>
      <c r="F68" s="152"/>
      <c r="G68" s="152"/>
      <c r="H68" s="152"/>
      <c r="I68" s="152"/>
      <c r="K68" s="152"/>
      <c r="L68" s="152"/>
      <c r="M68" s="152"/>
      <c r="N68" s="152"/>
      <c r="O68" s="152"/>
      <c r="P68" s="152"/>
      <c r="Q68" s="152"/>
      <c r="R68" s="152"/>
    </row>
    <row r="69" spans="2:18">
      <c r="B69" s="152"/>
      <c r="C69" s="152"/>
      <c r="D69" s="152"/>
      <c r="E69" s="152"/>
      <c r="F69" s="152"/>
      <c r="G69" s="152"/>
      <c r="H69" s="152"/>
      <c r="I69" s="152"/>
      <c r="K69" s="152"/>
      <c r="L69" s="152"/>
      <c r="M69" s="152"/>
      <c r="N69" s="152"/>
      <c r="O69" s="152"/>
      <c r="P69" s="152"/>
      <c r="Q69" s="152"/>
      <c r="R69" s="152"/>
    </row>
    <row r="70" spans="2:18">
      <c r="B70" s="152"/>
      <c r="C70" s="152"/>
      <c r="D70" s="152"/>
      <c r="E70" s="152"/>
      <c r="F70" s="152"/>
      <c r="G70" s="152"/>
      <c r="H70" s="152"/>
      <c r="I70" s="152"/>
      <c r="K70" s="152"/>
      <c r="L70" s="152"/>
      <c r="M70" s="152"/>
      <c r="N70" s="152"/>
      <c r="O70" s="152"/>
      <c r="P70" s="152"/>
      <c r="Q70" s="152"/>
      <c r="R70" s="152"/>
    </row>
    <row r="71" spans="2:18">
      <c r="B71" s="147"/>
      <c r="C71" s="147"/>
      <c r="D71" s="147"/>
      <c r="E71" s="147"/>
      <c r="F71" s="147"/>
      <c r="G71" s="147"/>
      <c r="H71" s="147"/>
      <c r="I71" s="147"/>
      <c r="K71" s="147"/>
      <c r="L71" s="147"/>
      <c r="M71" s="147"/>
      <c r="N71" s="147"/>
      <c r="O71" s="147"/>
      <c r="P71" s="147"/>
      <c r="Q71" s="147"/>
      <c r="R71" s="147"/>
    </row>
    <row r="72" spans="2:18">
      <c r="B72" s="152"/>
      <c r="C72" s="152"/>
      <c r="D72" s="152"/>
      <c r="E72" s="152"/>
      <c r="F72" s="152"/>
      <c r="G72" s="152"/>
      <c r="H72" s="152"/>
      <c r="I72" s="152"/>
      <c r="K72" s="152"/>
      <c r="L72" s="152"/>
      <c r="M72" s="152"/>
      <c r="N72" s="152"/>
      <c r="O72" s="152"/>
      <c r="P72" s="152"/>
      <c r="Q72" s="152"/>
      <c r="R72" s="152"/>
    </row>
    <row r="73" spans="2:18">
      <c r="B73" s="152"/>
      <c r="C73" s="152"/>
      <c r="D73" s="152"/>
      <c r="E73" s="152"/>
      <c r="F73" s="152"/>
      <c r="G73" s="152"/>
      <c r="H73" s="152"/>
      <c r="I73" s="152"/>
      <c r="K73" s="152"/>
      <c r="L73" s="152"/>
      <c r="M73" s="152"/>
      <c r="N73" s="152"/>
      <c r="O73" s="152"/>
      <c r="P73" s="152"/>
      <c r="Q73" s="152"/>
      <c r="R73" s="152"/>
    </row>
    <row r="74" spans="2:18">
      <c r="B74" s="152"/>
      <c r="C74" s="152"/>
      <c r="D74" s="152"/>
      <c r="E74" s="152"/>
      <c r="F74" s="152"/>
      <c r="G74" s="152"/>
      <c r="H74" s="152"/>
      <c r="I74" s="152"/>
      <c r="K74" s="152"/>
      <c r="L74" s="152"/>
      <c r="M74" s="152"/>
      <c r="N74" s="152"/>
      <c r="O74" s="152"/>
      <c r="P74" s="152"/>
      <c r="Q74" s="152"/>
      <c r="R74" s="152"/>
    </row>
    <row r="75" spans="2:18">
      <c r="B75" s="152"/>
      <c r="C75" s="152"/>
      <c r="D75" s="152"/>
      <c r="E75" s="152"/>
      <c r="F75" s="152"/>
      <c r="G75" s="152"/>
      <c r="H75" s="152"/>
      <c r="I75" s="152"/>
      <c r="K75" s="152"/>
      <c r="L75" s="152"/>
      <c r="M75" s="152"/>
      <c r="N75" s="152"/>
      <c r="O75" s="152"/>
      <c r="P75" s="152"/>
      <c r="Q75" s="152"/>
      <c r="R75" s="152"/>
    </row>
    <row r="76" spans="2:18">
      <c r="B76" s="152"/>
      <c r="C76" s="152"/>
      <c r="D76" s="152"/>
      <c r="E76" s="152"/>
      <c r="F76" s="152"/>
      <c r="G76" s="152"/>
      <c r="H76" s="152"/>
      <c r="I76" s="152"/>
      <c r="K76" s="152"/>
      <c r="L76" s="152"/>
      <c r="M76" s="152"/>
      <c r="N76" s="152"/>
      <c r="O76" s="152"/>
      <c r="P76" s="152"/>
      <c r="Q76" s="152"/>
      <c r="R76" s="152"/>
    </row>
    <row r="77" spans="2:18">
      <c r="B77" s="152"/>
      <c r="C77" s="152"/>
      <c r="D77" s="152"/>
      <c r="E77" s="152"/>
      <c r="F77" s="152"/>
      <c r="G77" s="152"/>
      <c r="H77" s="152"/>
      <c r="I77" s="152"/>
      <c r="K77" s="152"/>
      <c r="L77" s="152"/>
      <c r="M77" s="152"/>
      <c r="N77" s="152"/>
      <c r="O77" s="152"/>
      <c r="P77" s="152"/>
      <c r="Q77" s="152"/>
      <c r="R77" s="152"/>
    </row>
    <row r="78" spans="2:18">
      <c r="B78" s="152"/>
      <c r="C78" s="152"/>
      <c r="D78" s="152"/>
      <c r="E78" s="152"/>
      <c r="F78" s="152"/>
      <c r="G78" s="152"/>
      <c r="H78" s="152"/>
      <c r="I78" s="152"/>
      <c r="K78" s="152"/>
      <c r="L78" s="152"/>
      <c r="M78" s="152"/>
      <c r="N78" s="152"/>
      <c r="O78" s="152"/>
      <c r="P78" s="152"/>
      <c r="Q78" s="152"/>
      <c r="R78" s="152"/>
    </row>
    <row r="79" spans="2:18">
      <c r="B79" s="152"/>
      <c r="C79" s="152"/>
      <c r="D79" s="152"/>
      <c r="E79" s="152"/>
      <c r="F79" s="152"/>
      <c r="G79" s="152"/>
      <c r="H79" s="152"/>
      <c r="I79" s="152"/>
      <c r="K79" s="152"/>
      <c r="L79" s="152"/>
      <c r="M79" s="152"/>
      <c r="N79" s="152"/>
      <c r="O79" s="152"/>
      <c r="P79" s="152"/>
      <c r="Q79" s="152"/>
      <c r="R79" s="152"/>
    </row>
    <row r="80" spans="2:18">
      <c r="B80" s="152"/>
      <c r="C80" s="152"/>
      <c r="D80" s="152"/>
      <c r="E80" s="152"/>
      <c r="F80" s="152"/>
      <c r="G80" s="152"/>
      <c r="H80" s="152"/>
      <c r="I80" s="152"/>
      <c r="K80" s="152"/>
      <c r="L80" s="152"/>
      <c r="M80" s="152"/>
      <c r="N80" s="152"/>
      <c r="O80" s="152"/>
      <c r="P80" s="152"/>
      <c r="Q80" s="152"/>
      <c r="R80" s="152"/>
    </row>
    <row r="81" spans="2:18">
      <c r="B81" s="152"/>
      <c r="C81" s="152"/>
      <c r="D81" s="152"/>
      <c r="E81" s="152"/>
      <c r="F81" s="152"/>
      <c r="G81" s="152"/>
      <c r="H81" s="152"/>
      <c r="I81" s="152"/>
      <c r="K81" s="152"/>
      <c r="L81" s="152"/>
      <c r="M81" s="152"/>
      <c r="N81" s="152"/>
      <c r="O81" s="152"/>
      <c r="P81" s="152"/>
      <c r="Q81" s="152"/>
      <c r="R81" s="152"/>
    </row>
    <row r="82" spans="2:18">
      <c r="B82" s="152"/>
      <c r="C82" s="152"/>
      <c r="D82" s="152"/>
      <c r="E82" s="152"/>
      <c r="F82" s="152"/>
      <c r="G82" s="152"/>
      <c r="H82" s="152"/>
      <c r="I82" s="152"/>
      <c r="K82" s="152"/>
      <c r="L82" s="152"/>
      <c r="M82" s="152"/>
      <c r="N82" s="152"/>
      <c r="O82" s="152"/>
      <c r="P82" s="152"/>
      <c r="Q82" s="152"/>
      <c r="R82" s="152"/>
    </row>
    <row r="83" spans="2:18">
      <c r="B83" s="152"/>
      <c r="C83" s="152"/>
      <c r="D83" s="152"/>
      <c r="E83" s="152"/>
      <c r="F83" s="152"/>
      <c r="G83" s="152"/>
      <c r="H83" s="152"/>
      <c r="I83" s="152"/>
      <c r="K83" s="152"/>
      <c r="L83" s="152"/>
      <c r="M83" s="152"/>
      <c r="N83" s="152"/>
      <c r="O83" s="152"/>
      <c r="P83" s="152"/>
      <c r="Q83" s="152"/>
      <c r="R83" s="152"/>
    </row>
    <row r="84" spans="2:18">
      <c r="B84" s="152"/>
      <c r="C84" s="152"/>
      <c r="D84" s="152"/>
      <c r="E84" s="152"/>
      <c r="F84" s="152"/>
      <c r="G84" s="152"/>
      <c r="H84" s="152"/>
      <c r="I84" s="152"/>
      <c r="K84" s="152"/>
      <c r="L84" s="152"/>
      <c r="M84" s="152"/>
      <c r="N84" s="152"/>
      <c r="O84" s="152"/>
      <c r="P84" s="152"/>
      <c r="Q84" s="152"/>
      <c r="R84" s="152"/>
    </row>
    <row r="85" spans="2:18">
      <c r="B85" s="152"/>
      <c r="C85" s="152"/>
      <c r="D85" s="152"/>
      <c r="E85" s="152"/>
      <c r="F85" s="152"/>
      <c r="G85" s="152"/>
      <c r="H85" s="152"/>
      <c r="I85" s="152"/>
      <c r="K85" s="152"/>
      <c r="L85" s="152"/>
      <c r="M85" s="152"/>
      <c r="N85" s="152"/>
      <c r="O85" s="152"/>
      <c r="P85" s="152"/>
      <c r="Q85" s="152"/>
      <c r="R85" s="152"/>
    </row>
    <row r="86" spans="2:18">
      <c r="B86" s="152"/>
      <c r="C86" s="152"/>
      <c r="D86" s="152"/>
      <c r="E86" s="152"/>
      <c r="F86" s="152"/>
      <c r="G86" s="152"/>
      <c r="H86" s="152"/>
      <c r="I86" s="152"/>
      <c r="K86" s="152"/>
      <c r="L86" s="152"/>
      <c r="M86" s="152"/>
      <c r="N86" s="152"/>
      <c r="O86" s="152"/>
      <c r="P86" s="152"/>
      <c r="Q86" s="152"/>
      <c r="R86" s="152"/>
    </row>
    <row r="87" spans="2:18">
      <c r="B87" s="152"/>
      <c r="C87" s="152"/>
      <c r="D87" s="152"/>
      <c r="E87" s="152"/>
      <c r="F87" s="152"/>
      <c r="G87" s="152"/>
      <c r="H87" s="152"/>
      <c r="I87" s="152"/>
      <c r="K87" s="152"/>
      <c r="L87" s="152"/>
      <c r="M87" s="152"/>
      <c r="N87" s="152"/>
      <c r="O87" s="152"/>
      <c r="P87" s="152"/>
      <c r="Q87" s="152"/>
      <c r="R87" s="152"/>
    </row>
  </sheetData>
  <sheetProtection algorithmName="SHA-512" hashValue="LrfRcFewreNnF5LqVmbNLxri8Ass+IpKuGbjeNMe5Ulm3Y08bnVlP2xskeNbuBlF4d9/IUZ1jmHTskkgP32ySg==" saltValue="DpL13fiqPfkP7N/2NxcVkA==" spinCount="100000" sheet="1" objects="1" scenarios="1"/>
  <sortState xmlns:xlrd2="http://schemas.microsoft.com/office/spreadsheetml/2017/richdata2" ref="A27:I28">
    <sortCondition ref="A27"/>
  </sortState>
  <mergeCells count="2">
    <mergeCell ref="A4:A5"/>
    <mergeCell ref="B5:I5"/>
  </mergeCells>
  <hyperlinks>
    <hyperlink ref="A1" location="Indice!A1" display="Torna indietro" xr:uid="{C3DF4531-2E5F-487C-8307-CD2E7DCD1D2B}"/>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6"/>
  <dimension ref="A1:AC45"/>
  <sheetViews>
    <sheetView zoomScale="85" zoomScaleNormal="85" workbookViewId="0"/>
  </sheetViews>
  <sheetFormatPr defaultColWidth="12.81640625" defaultRowHeight="14.5"/>
  <cols>
    <col min="1" max="1" width="45.81640625" customWidth="1"/>
    <col min="2" max="2" width="10.1796875" bestFit="1" customWidth="1"/>
    <col min="3" max="8" width="8.54296875" bestFit="1" customWidth="1"/>
    <col min="9" max="9" width="8.54296875" customWidth="1"/>
    <col min="10" max="10" width="8.81640625" bestFit="1" customWidth="1"/>
    <col min="11" max="12" width="8.54296875" customWidth="1"/>
    <col min="13" max="14" width="8.54296875" bestFit="1" customWidth="1"/>
    <col min="15" max="15" width="7.81640625" customWidth="1"/>
    <col min="16" max="16" width="27.1796875" customWidth="1"/>
    <col min="17" max="19" width="8.54296875" customWidth="1"/>
    <col min="20" max="23" width="8.54296875" bestFit="1" customWidth="1"/>
    <col min="24" max="28" width="8.54296875" customWidth="1"/>
    <col min="29" max="29" width="8.54296875" style="403" customWidth="1"/>
  </cols>
  <sheetData>
    <row r="1" spans="1:29" ht="15.5">
      <c r="A1" s="108" t="s">
        <v>694</v>
      </c>
    </row>
    <row r="2" spans="1:29" ht="15.5">
      <c r="A2" s="108"/>
    </row>
    <row r="3" spans="1:29" s="70" customFormat="1" ht="16.25" customHeight="1" thickBot="1">
      <c r="A3" s="485" t="s">
        <v>561</v>
      </c>
      <c r="B3" s="486"/>
      <c r="C3" s="486"/>
      <c r="D3" s="486"/>
      <c r="E3" s="486"/>
      <c r="F3" s="486"/>
      <c r="G3" s="486"/>
      <c r="H3" s="486"/>
      <c r="I3" s="486"/>
      <c r="J3" s="510"/>
      <c r="K3" s="510"/>
      <c r="L3" s="510"/>
      <c r="M3" s="510"/>
      <c r="N3" s="510"/>
      <c r="P3" s="486" t="s">
        <v>567</v>
      </c>
      <c r="Q3" s="486"/>
      <c r="R3" s="486"/>
      <c r="S3" s="486"/>
      <c r="T3" s="486"/>
      <c r="U3" s="486"/>
      <c r="V3" s="486"/>
      <c r="W3" s="486"/>
      <c r="X3" s="486"/>
      <c r="Y3" s="486"/>
      <c r="AC3" s="61"/>
    </row>
    <row r="4" spans="1:29" s="70" customFormat="1" ht="15">
      <c r="A4" s="1100" t="s">
        <v>301</v>
      </c>
      <c r="B4" s="494">
        <v>2005</v>
      </c>
      <c r="C4" s="494">
        <v>2010</v>
      </c>
      <c r="D4" s="494">
        <v>2015</v>
      </c>
      <c r="E4" s="494">
        <v>2016</v>
      </c>
      <c r="F4" s="495">
        <v>2017</v>
      </c>
      <c r="G4" s="495">
        <v>2018</v>
      </c>
      <c r="H4" s="495">
        <v>2019</v>
      </c>
      <c r="I4" s="495">
        <v>2020</v>
      </c>
      <c r="J4" s="495">
        <v>2021</v>
      </c>
      <c r="K4" s="495">
        <v>2022</v>
      </c>
      <c r="L4" s="495">
        <v>2023</v>
      </c>
      <c r="M4" s="495">
        <v>2024</v>
      </c>
      <c r="N4" s="495" t="s">
        <v>584</v>
      </c>
      <c r="P4" s="1100" t="s">
        <v>301</v>
      </c>
      <c r="Q4" s="494">
        <v>2005</v>
      </c>
      <c r="R4" s="494">
        <v>2010</v>
      </c>
      <c r="S4" s="494">
        <v>2015</v>
      </c>
      <c r="T4" s="494">
        <v>2016</v>
      </c>
      <c r="U4" s="494">
        <v>2017</v>
      </c>
      <c r="V4" s="494">
        <v>2018</v>
      </c>
      <c r="W4" s="495">
        <v>2019</v>
      </c>
      <c r="X4" s="495">
        <v>2020</v>
      </c>
      <c r="Y4" s="495">
        <v>2021</v>
      </c>
      <c r="Z4" s="495">
        <v>2022</v>
      </c>
      <c r="AA4" s="495">
        <v>2023</v>
      </c>
      <c r="AB4" s="495">
        <f>M4</f>
        <v>2024</v>
      </c>
      <c r="AC4" s="495" t="str">
        <f>N4</f>
        <v>2025*</v>
      </c>
    </row>
    <row r="5" spans="1:29" s="70" customFormat="1" ht="17.75" customHeight="1" thickBot="1">
      <c r="A5" s="1101"/>
      <c r="B5" s="387" t="s">
        <v>308</v>
      </c>
      <c r="C5" s="387"/>
      <c r="D5" s="387"/>
      <c r="E5" s="387"/>
      <c r="F5" s="387"/>
      <c r="G5" s="388"/>
      <c r="H5" s="388"/>
      <c r="I5" s="388"/>
      <c r="J5" s="388"/>
      <c r="K5" s="388"/>
      <c r="L5" s="388"/>
      <c r="M5" s="388"/>
      <c r="N5" s="388"/>
      <c r="P5" s="1101"/>
      <c r="Q5" s="387" t="s">
        <v>308</v>
      </c>
      <c r="R5" s="387"/>
      <c r="S5" s="387"/>
      <c r="T5" s="387"/>
      <c r="U5" s="387"/>
      <c r="V5" s="387"/>
      <c r="W5" s="387"/>
      <c r="X5" s="387"/>
      <c r="Y5" s="387"/>
      <c r="Z5" s="387"/>
      <c r="AA5" s="387"/>
      <c r="AB5" s="387"/>
      <c r="AC5" s="551"/>
    </row>
    <row r="6" spans="1:29" s="70" customFormat="1" ht="18">
      <c r="A6" s="284" t="s">
        <v>309</v>
      </c>
      <c r="B6" s="437">
        <f>'6'!Q40</f>
        <v>157.84778723299399</v>
      </c>
      <c r="C6" s="437">
        <f>'6'!V40</f>
        <v>135.71613801439122</v>
      </c>
      <c r="D6" s="437">
        <f>'6'!AA40</f>
        <v>107.68978493520528</v>
      </c>
      <c r="E6" s="437">
        <f>'6'!AB40</f>
        <v>107.5109778953466</v>
      </c>
      <c r="F6" s="437">
        <f>'6'!AC40</f>
        <v>107.67043674035193</v>
      </c>
      <c r="G6" s="437">
        <f>'6'!AD40</f>
        <v>99.359484691639295</v>
      </c>
      <c r="H6" s="437">
        <f>'6'!AE40</f>
        <v>95.356720240993951</v>
      </c>
      <c r="I6" s="437">
        <f>'6'!AF40</f>
        <v>86.214712595397344</v>
      </c>
      <c r="J6" s="437">
        <f>'6'!AG40</f>
        <v>90.26704794038001</v>
      </c>
      <c r="K6" s="437">
        <f>'6'!AH40</f>
        <v>99.355642251774697</v>
      </c>
      <c r="L6" s="437">
        <f>'6'!AI40</f>
        <v>78.908276946229719</v>
      </c>
      <c r="M6" s="437">
        <f>'6'!AJ40</f>
        <v>67.849399312705742</v>
      </c>
      <c r="N6" s="947">
        <f>'6'!AK40</f>
        <v>70.760332159488414</v>
      </c>
      <c r="O6" s="705"/>
      <c r="P6" s="284" t="s">
        <v>328</v>
      </c>
      <c r="Q6" s="437">
        <f>'6'!Q11</f>
        <v>144.74312632555694</v>
      </c>
      <c r="R6" s="437">
        <f>'6'!V11</f>
        <v>121.70870410113133</v>
      </c>
      <c r="S6" s="437">
        <f>'6'!AA11</f>
        <v>94.548472304045845</v>
      </c>
      <c r="T6" s="437">
        <f>'6'!AB11</f>
        <v>93.863743159910342</v>
      </c>
      <c r="U6" s="437">
        <f>'6'!AC11</f>
        <v>94.307087279330361</v>
      </c>
      <c r="V6" s="437">
        <f>'6'!AD11</f>
        <v>86.635484742035814</v>
      </c>
      <c r="W6" s="437">
        <f>'6'!AE11</f>
        <v>82.320543725154124</v>
      </c>
      <c r="X6" s="437">
        <f>'6'!AF11</f>
        <v>73.463947603774983</v>
      </c>
      <c r="Y6" s="437">
        <f>'6'!AG11</f>
        <v>77.941350880268629</v>
      </c>
      <c r="Z6" s="437">
        <f>'6'!AH11</f>
        <v>86.672835637608543</v>
      </c>
      <c r="AA6" s="437">
        <f>'6'!AI11</f>
        <v>67.458154386279276</v>
      </c>
      <c r="AB6" s="437">
        <f>'6'!AJ11</f>
        <v>56.375005628189804</v>
      </c>
      <c r="AC6" s="947">
        <f>'6'!AK11</f>
        <v>58.615110514179463</v>
      </c>
    </row>
    <row r="7" spans="1:29" s="70" customFormat="1" ht="18">
      <c r="A7" s="284" t="s">
        <v>310</v>
      </c>
      <c r="B7" s="944">
        <f>Other!$C34/1000000*28</f>
        <v>0.17829768103949312</v>
      </c>
      <c r="C7" s="944">
        <f>Other!$H34/1000000*28</f>
        <v>0.1930906800417094</v>
      </c>
      <c r="D7" s="944">
        <f>Other!M34/1000000*28</f>
        <v>0.25192436121334338</v>
      </c>
      <c r="E7" s="944">
        <f>Other!N34/1000000*28</f>
        <v>0.25967087416951423</v>
      </c>
      <c r="F7" s="944">
        <f>Other!O34/1000000*28</f>
        <v>0.25773129328314992</v>
      </c>
      <c r="G7" s="944">
        <f>Other!P34/1000000*28</f>
        <v>0.24991899731226228</v>
      </c>
      <c r="H7" s="944">
        <f>Other!Q34/1000000*28</f>
        <v>0.25213537320473978</v>
      </c>
      <c r="I7" s="944">
        <f>Other!R34/1000000*28</f>
        <v>0.243059374002249</v>
      </c>
      <c r="J7" s="944">
        <f>Other!S34/1000000*28</f>
        <v>0.23757398698532409</v>
      </c>
      <c r="K7" s="944">
        <f>Other!T34/1000000*28</f>
        <v>0.23145779328199587</v>
      </c>
      <c r="L7" s="944">
        <f>Other!U34/1000000*28</f>
        <v>0.20300967916805199</v>
      </c>
      <c r="M7" s="944">
        <f>Other!V34/1000000*28</f>
        <v>0.20368243906511097</v>
      </c>
      <c r="N7" s="993">
        <f>N6*AVERAGE(K7:M7)/AVERAGE(K6:M6)</f>
        <v>0.18347523807166788</v>
      </c>
      <c r="O7" s="705"/>
      <c r="P7" s="284" t="s">
        <v>329</v>
      </c>
      <c r="Q7" s="944">
        <f>B7/'23'!B$6*'23'!B$11</f>
        <v>0.16121272943086457</v>
      </c>
      <c r="R7" s="944">
        <f>C7/'23'!G$6*'23'!G$11</f>
        <v>0.17117513917952243</v>
      </c>
      <c r="S7" s="944">
        <f>D7/'23'!L$6*'23'!L$11</f>
        <v>0.2159206953744367</v>
      </c>
      <c r="T7" s="944">
        <f>E7/'23'!M$6*'23'!M$11</f>
        <v>0.2221448172697856</v>
      </c>
      <c r="U7" s="944">
        <f>F7/'23'!N$6*'23'!N$11</f>
        <v>0.22152652204696482</v>
      </c>
      <c r="V7" s="944">
        <f>G7/'23'!O$6*'23'!O$11</f>
        <v>0.21306096266715663</v>
      </c>
      <c r="W7" s="944">
        <f>H7/'23'!P$6*'23'!P$11</f>
        <v>0.21456310397454323</v>
      </c>
      <c r="X7" s="944">
        <f>I7/'23'!Q$6*'23'!Q$11</f>
        <v>0.20484653280718892</v>
      </c>
      <c r="Y7" s="944">
        <f>J7/'23'!R$6*'23'!R$11</f>
        <v>0.20253416777915162</v>
      </c>
      <c r="Z7" s="944">
        <f>K7/'23'!S$6*'23'!S$11</f>
        <v>0.19919596209467141</v>
      </c>
      <c r="AA7" s="944">
        <f>L7/'23'!T$6*'23'!T$11</f>
        <v>0.17186903179450716</v>
      </c>
      <c r="AB7" s="944">
        <f>M7/'23'!U$6*'23'!U$11</f>
        <v>0.16940808353916961</v>
      </c>
      <c r="AC7" s="993">
        <f>N7/'23'!V$6*'23'!V$11</f>
        <v>0.15623426394902423</v>
      </c>
    </row>
    <row r="8" spans="1:29" s="70" customFormat="1" ht="18.5" thickBot="1">
      <c r="A8" s="285" t="s">
        <v>311</v>
      </c>
      <c r="B8" s="945">
        <f>Other!$C35/1000000*265</f>
        <v>0.43515657693884613</v>
      </c>
      <c r="C8" s="945">
        <f>Other!$H35/1000000*265</f>
        <v>0.45674452055519044</v>
      </c>
      <c r="D8" s="945">
        <f>Other!M35/1000000*265</f>
        <v>0.50103771565545474</v>
      </c>
      <c r="E8" s="945">
        <f>Other!N35/1000000*265</f>
        <v>0.49618036275348681</v>
      </c>
      <c r="F8" s="945">
        <f>Other!O35/1000000*265</f>
        <v>0.46733481867025017</v>
      </c>
      <c r="G8" s="945">
        <f>Other!P35/1000000*265</f>
        <v>0.44903435172516948</v>
      </c>
      <c r="H8" s="945">
        <f>Other!Q35/1000000*265</f>
        <v>0.41575226271144156</v>
      </c>
      <c r="I8" s="945">
        <f>Other!R35/1000000*265</f>
        <v>0.39204971235854863</v>
      </c>
      <c r="J8" s="945">
        <f>Other!S35/1000000*265</f>
        <v>0.37295375672004999</v>
      </c>
      <c r="K8" s="945">
        <f>Other!T35/1000000*265</f>
        <v>0.39908795500232325</v>
      </c>
      <c r="L8" s="945">
        <f>Other!U35/1000000*265</f>
        <v>0.33814710661915898</v>
      </c>
      <c r="M8" s="945">
        <f>Other!V35/1000000*265</f>
        <v>0.30375097724168498</v>
      </c>
      <c r="N8" s="994">
        <f>N6*AVERAGE(K8:M8)/AVERAGE(K6:M6)</f>
        <v>0.29929513091402377</v>
      </c>
      <c r="O8" s="705"/>
      <c r="P8" s="285" t="s">
        <v>330</v>
      </c>
      <c r="Q8" s="945">
        <f>B8/'23'!B$6*'23'!B$11</f>
        <v>0.39345873198745912</v>
      </c>
      <c r="R8" s="945">
        <f>C8/'23'!G$6*'23'!G$11</f>
        <v>0.40490461196071531</v>
      </c>
      <c r="S8" s="945">
        <f>D8/'23'!L$6*'23'!L$11</f>
        <v>0.42943211784718416</v>
      </c>
      <c r="T8" s="945">
        <f>E8/'23'!M$6*'23'!M$11</f>
        <v>0.424475391663582</v>
      </c>
      <c r="U8" s="945">
        <f>F8/'23'!N$6*'23'!N$11</f>
        <v>0.40168601838245588</v>
      </c>
      <c r="V8" s="945">
        <f>G8/'23'!O$6*'23'!O$11</f>
        <v>0.38281079981146782</v>
      </c>
      <c r="W8" s="945">
        <f>H8/'23'!P$6*'23'!P$11</f>
        <v>0.35379841724695266</v>
      </c>
      <c r="X8" s="945">
        <f>I8/'23'!Q$6*'23'!Q$11</f>
        <v>0.33041319469522423</v>
      </c>
      <c r="Y8" s="945">
        <f>J8/'23'!R$6*'23'!R$11</f>
        <v>0.31794675711726661</v>
      </c>
      <c r="Z8" s="945">
        <f>K8/'23'!S$6*'23'!S$11</f>
        <v>0.34346093095352448</v>
      </c>
      <c r="AA8" s="945">
        <f>L8/'23'!T$6*'23'!T$11</f>
        <v>0.28627706844775319</v>
      </c>
      <c r="AB8" s="945">
        <f>M8/'23'!U$6*'23'!U$11</f>
        <v>0.25263773923688282</v>
      </c>
      <c r="AC8" s="994">
        <f>N8/'23'!V$6*'23'!V$11</f>
        <v>0.25485812131015856</v>
      </c>
    </row>
    <row r="9" spans="1:29" s="70" customFormat="1" ht="15.5" thickBot="1">
      <c r="A9" s="285" t="s">
        <v>302</v>
      </c>
      <c r="B9" s="946">
        <f t="shared" ref="B9:H9" si="0">SUM(B6:B8)</f>
        <v>158.46124149097233</v>
      </c>
      <c r="C9" s="946">
        <f t="shared" si="0"/>
        <v>136.36597321498812</v>
      </c>
      <c r="D9" s="946">
        <f t="shared" si="0"/>
        <v>108.44274701207408</v>
      </c>
      <c r="E9" s="946">
        <f t="shared" si="0"/>
        <v>108.26682913226961</v>
      </c>
      <c r="F9" s="946">
        <f t="shared" si="0"/>
        <v>108.39550285230533</v>
      </c>
      <c r="G9" s="946">
        <f t="shared" si="0"/>
        <v>100.05843804067673</v>
      </c>
      <c r="H9" s="946">
        <f t="shared" si="0"/>
        <v>96.024607876910125</v>
      </c>
      <c r="I9" s="946">
        <f t="shared" ref="I9:N9" si="1">SUM(I6:I8)</f>
        <v>86.849821681758129</v>
      </c>
      <c r="J9" s="946">
        <f t="shared" si="1"/>
        <v>90.877575684085386</v>
      </c>
      <c r="K9" s="946">
        <f t="shared" si="1"/>
        <v>99.986188000059016</v>
      </c>
      <c r="L9" s="946">
        <f t="shared" si="1"/>
        <v>79.449433732016928</v>
      </c>
      <c r="M9" s="946">
        <f t="shared" si="1"/>
        <v>68.356832729012538</v>
      </c>
      <c r="N9" s="949">
        <f t="shared" si="1"/>
        <v>71.243102528474097</v>
      </c>
      <c r="P9" s="285" t="s">
        <v>302</v>
      </c>
      <c r="Q9" s="946">
        <f t="shared" ref="Q9:Y9" si="2">SUM(Q6:Q8)</f>
        <v>145.29779778697528</v>
      </c>
      <c r="R9" s="946">
        <f t="shared" si="2"/>
        <v>122.28478385227157</v>
      </c>
      <c r="S9" s="946">
        <f t="shared" si="2"/>
        <v>95.193825117267465</v>
      </c>
      <c r="T9" s="946">
        <f t="shared" si="2"/>
        <v>94.510363368843699</v>
      </c>
      <c r="U9" s="946">
        <f t="shared" si="2"/>
        <v>94.930299819759782</v>
      </c>
      <c r="V9" s="946">
        <f t="shared" si="2"/>
        <v>87.231356504514437</v>
      </c>
      <c r="W9" s="946">
        <f t="shared" si="2"/>
        <v>82.888905246375614</v>
      </c>
      <c r="X9" s="946">
        <f t="shared" si="2"/>
        <v>73.999207331277404</v>
      </c>
      <c r="Y9" s="946">
        <f t="shared" si="2"/>
        <v>78.461831805165048</v>
      </c>
      <c r="Z9" s="946">
        <f>SUM(Z6:Z8)</f>
        <v>87.215492530656746</v>
      </c>
      <c r="AA9" s="946">
        <f>SUM(AA6:AA8)</f>
        <v>67.916300486521536</v>
      </c>
      <c r="AB9" s="946">
        <f>SUM(AB6:AB8)</f>
        <v>56.797051450965853</v>
      </c>
      <c r="AC9" s="949">
        <f>SUM(AC6:AC8)</f>
        <v>59.026202899438644</v>
      </c>
    </row>
    <row r="10" spans="1:29" s="70" customFormat="1" ht="15.5">
      <c r="A10" s="12"/>
      <c r="B10" s="751">
        <f>(B7+B8)/B9</f>
        <v>3.871320533692072E-3</v>
      </c>
      <c r="C10" s="751">
        <f t="shared" ref="C10:N10" si="3">(C7+C8)/C9</f>
        <v>4.7653764738832651E-3</v>
      </c>
      <c r="D10" s="751">
        <f t="shared" si="3"/>
        <v>6.94340652201445E-3</v>
      </c>
      <c r="E10" s="751">
        <f t="shared" si="3"/>
        <v>6.9813741011993382E-3</v>
      </c>
      <c r="F10" s="751">
        <f t="shared" si="3"/>
        <v>6.6890792779599117E-3</v>
      </c>
      <c r="G10" s="751">
        <f t="shared" si="3"/>
        <v>6.9854513294849404E-3</v>
      </c>
      <c r="H10" s="751">
        <f t="shared" si="3"/>
        <v>6.9553799873082354E-3</v>
      </c>
      <c r="I10" s="751">
        <f t="shared" si="3"/>
        <v>7.3127275803514455E-3</v>
      </c>
      <c r="J10" s="751">
        <f t="shared" si="3"/>
        <v>6.7181341393583258E-3</v>
      </c>
      <c r="K10" s="751">
        <f t="shared" si="3"/>
        <v>6.3063285129336755E-3</v>
      </c>
      <c r="L10" s="751">
        <f t="shared" si="3"/>
        <v>6.8113359701534645E-3</v>
      </c>
      <c r="M10" s="751">
        <f t="shared" si="3"/>
        <v>7.4233020467524835E-3</v>
      </c>
      <c r="N10" s="751">
        <f t="shared" si="3"/>
        <v>6.7763804754676473E-3</v>
      </c>
      <c r="AC10" s="61"/>
    </row>
    <row r="11" spans="1:29" s="70" customFormat="1" ht="15.5">
      <c r="A11" s="12"/>
      <c r="B11" s="421">
        <f>'6'!B11*(1+B10)</f>
        <v>114.86225438881391</v>
      </c>
      <c r="C11" s="382"/>
      <c r="D11" s="382"/>
      <c r="E11" s="382"/>
      <c r="F11" s="382"/>
      <c r="G11" s="382"/>
      <c r="H11" s="382"/>
      <c r="I11" s="382"/>
      <c r="J11" s="382"/>
      <c r="K11" s="382"/>
      <c r="L11" s="382"/>
      <c r="M11" s="382"/>
      <c r="N11" s="382"/>
      <c r="AB11" s="1033"/>
      <c r="AC11" s="61"/>
    </row>
    <row r="12" spans="1:29" s="70" customFormat="1" ht="16" thickBot="1">
      <c r="A12" s="47" t="s">
        <v>389</v>
      </c>
      <c r="B12" s="12"/>
      <c r="C12" s="12"/>
      <c r="D12" s="12"/>
      <c r="E12" s="12"/>
      <c r="F12" s="12"/>
      <c r="G12" s="12"/>
      <c r="H12" s="12"/>
      <c r="I12" s="12"/>
      <c r="J12" s="558"/>
      <c r="K12" s="12"/>
      <c r="L12" s="12"/>
      <c r="M12" s="12"/>
      <c r="N12" s="12"/>
      <c r="O12" s="383"/>
      <c r="AC12" s="61"/>
    </row>
    <row r="13" spans="1:29" s="70" customFormat="1" ht="15.5">
      <c r="A13" s="1100" t="s">
        <v>303</v>
      </c>
      <c r="B13" s="494">
        <v>2005</v>
      </c>
      <c r="C13" s="494">
        <v>2010</v>
      </c>
      <c r="D13" s="496">
        <v>2015</v>
      </c>
      <c r="E13" s="496">
        <v>2016</v>
      </c>
      <c r="F13" s="496">
        <v>2017</v>
      </c>
      <c r="G13" s="496">
        <v>2018</v>
      </c>
      <c r="H13" s="496">
        <v>2019</v>
      </c>
      <c r="I13" s="496">
        <v>2020</v>
      </c>
      <c r="J13" s="496">
        <v>2021</v>
      </c>
      <c r="K13" s="496">
        <v>2022</v>
      </c>
      <c r="L13" s="496">
        <v>2023</v>
      </c>
      <c r="M13" s="496">
        <v>2024</v>
      </c>
      <c r="N13" s="12"/>
      <c r="AC13" s="61"/>
    </row>
    <row r="14" spans="1:29" s="70" customFormat="1" ht="16" thickBot="1">
      <c r="A14" s="1101"/>
      <c r="B14" s="387" t="s">
        <v>304</v>
      </c>
      <c r="C14" s="387"/>
      <c r="D14" s="387"/>
      <c r="E14" s="387"/>
      <c r="F14" s="387"/>
      <c r="G14" s="387"/>
      <c r="H14" s="387"/>
      <c r="I14" s="387"/>
      <c r="J14" s="387"/>
      <c r="K14" s="387"/>
      <c r="L14" s="387"/>
      <c r="M14" s="12"/>
      <c r="N14" s="12"/>
      <c r="AC14" s="61"/>
    </row>
    <row r="15" spans="1:29" s="70" customFormat="1" ht="18">
      <c r="A15" s="284" t="s">
        <v>312</v>
      </c>
      <c r="B15" s="438">
        <f>Other!$C30/1000</f>
        <v>129.12511144410377</v>
      </c>
      <c r="C15" s="438">
        <f>Other!$H30/1000</f>
        <v>102.21763149534843</v>
      </c>
      <c r="D15" s="438">
        <f>Other!M30/1000</f>
        <v>86.271414771999943</v>
      </c>
      <c r="E15" s="438">
        <f>Other!N30/1000</f>
        <v>82.940045425267712</v>
      </c>
      <c r="F15" s="438">
        <f>Other!O30/1000</f>
        <v>80.570357057719221</v>
      </c>
      <c r="G15" s="438">
        <f>Other!P30/1000</f>
        <v>75.892443953213487</v>
      </c>
      <c r="H15" s="438">
        <f>Other!Q30/1000</f>
        <v>74.068792565935155</v>
      </c>
      <c r="I15" s="438">
        <f>Other!R30/1000</f>
        <v>67.904307017653451</v>
      </c>
      <c r="J15" s="438">
        <f>Other!S30/1000</f>
        <v>68.744022734886443</v>
      </c>
      <c r="K15" s="438">
        <f>Other!T30/1000</f>
        <v>70.429615988152278</v>
      </c>
      <c r="L15" s="438">
        <f>Other!U30/1000</f>
        <v>62.009247707673275</v>
      </c>
      <c r="M15" s="438">
        <f>Other!V30/1000</f>
        <v>55.597342568359863</v>
      </c>
      <c r="N15" s="382"/>
      <c r="O15" s="383"/>
      <c r="P15" s="383"/>
      <c r="Q15" s="383"/>
      <c r="AC15" s="61"/>
    </row>
    <row r="16" spans="1:29" s="70" customFormat="1" ht="18">
      <c r="A16" s="284" t="s">
        <v>313</v>
      </c>
      <c r="B16" s="439">
        <f>Other!$C31/1000</f>
        <v>183.90635234145913</v>
      </c>
      <c r="C16" s="439">
        <f>Other!$H31/1000</f>
        <v>78.945477955774948</v>
      </c>
      <c r="D16" s="439">
        <f>Other!M31/1000</f>
        <v>32.517988367917511</v>
      </c>
      <c r="E16" s="439">
        <f>Other!N31/1000</f>
        <v>25.02990959347818</v>
      </c>
      <c r="F16" s="439">
        <f>Other!O31/1000</f>
        <v>22.478726709369234</v>
      </c>
      <c r="G16" s="439">
        <f>Other!P31/1000</f>
        <v>20.302974556885665</v>
      </c>
      <c r="H16" s="439">
        <f>Other!Q31/1000</f>
        <v>16.841741992455916</v>
      </c>
      <c r="I16" s="439">
        <f>Other!R31/1000</f>
        <v>14.422008128949171</v>
      </c>
      <c r="J16" s="439">
        <f>Other!S31/1000</f>
        <v>13.438821966591862</v>
      </c>
      <c r="K16" s="439">
        <f>Other!T31/1000</f>
        <v>16.825403079027375</v>
      </c>
      <c r="L16" s="439">
        <f>Other!U31/1000</f>
        <v>13.089882035763821</v>
      </c>
      <c r="M16" s="439">
        <f>Other!V31/1000</f>
        <v>10.030234581537879</v>
      </c>
      <c r="N16" s="382"/>
      <c r="O16" s="383"/>
      <c r="P16" s="383"/>
      <c r="Q16" s="383"/>
      <c r="AC16" s="61"/>
    </row>
    <row r="17" spans="1:29" s="70" customFormat="1" ht="30.5">
      <c r="A17" s="284" t="s">
        <v>305</v>
      </c>
      <c r="B17" s="439">
        <f>Other!$C32/1000</f>
        <v>17.8570223964511</v>
      </c>
      <c r="C17" s="439">
        <f>Other!$H32/1000</f>
        <v>25.056330749937288</v>
      </c>
      <c r="D17" s="439">
        <f>Other!M32/1000</f>
        <v>27.461421723208137</v>
      </c>
      <c r="E17" s="439">
        <f>Other!N32/1000</f>
        <v>29.889803654970354</v>
      </c>
      <c r="F17" s="439">
        <f>Other!O32/1000</f>
        <v>29.9865595003339</v>
      </c>
      <c r="G17" s="439">
        <f>Other!P32/1000</f>
        <v>29.665916686451897</v>
      </c>
      <c r="H17" s="439">
        <f>Other!Q32/1000</f>
        <v>30.724069769848391</v>
      </c>
      <c r="I17" s="439">
        <f>Other!R32/1000</f>
        <v>30.200557630924006</v>
      </c>
      <c r="J17" s="439">
        <f>Other!S32/1000</f>
        <v>29.390876385075838</v>
      </c>
      <c r="K17" s="439">
        <f>Other!T32/1000</f>
        <v>28.901966011222044</v>
      </c>
      <c r="L17" s="439">
        <f>Other!U32/1000</f>
        <v>28.9076008302604</v>
      </c>
      <c r="M17" s="439">
        <f>Other!V32/1000</f>
        <v>28.400098098359432</v>
      </c>
      <c r="N17" s="382"/>
      <c r="O17" s="383"/>
      <c r="P17" s="383"/>
      <c r="Q17" s="383"/>
      <c r="AC17" s="61"/>
    </row>
    <row r="18" spans="1:29" s="70" customFormat="1" ht="15.5">
      <c r="A18" s="284" t="s">
        <v>319</v>
      </c>
      <c r="B18" s="439">
        <f>Other!$C33/1000</f>
        <v>36.970470131027426</v>
      </c>
      <c r="C18" s="439">
        <f>Other!$H33/1000</f>
        <v>35.883923786052776</v>
      </c>
      <c r="D18" s="439">
        <f>Other!M33/1000</f>
        <v>32.146669189056958</v>
      </c>
      <c r="E18" s="439">
        <f>Other!N33/1000</f>
        <v>33.606310041226543</v>
      </c>
      <c r="F18" s="439">
        <f>Other!O33/1000</f>
        <v>34.658055341082509</v>
      </c>
      <c r="G18" s="439">
        <f>Other!P33/1000</f>
        <v>32.458366558748786</v>
      </c>
      <c r="H18" s="439">
        <f>Other!Q33/1000</f>
        <v>33.327747720442225</v>
      </c>
      <c r="I18" s="439">
        <f>Other!R33/1000</f>
        <v>31.246766120029093</v>
      </c>
      <c r="J18" s="439">
        <f>Other!S33/1000</f>
        <v>31.65841145514813</v>
      </c>
      <c r="K18" s="439">
        <f>Other!T33/1000</f>
        <v>31.645600242279876</v>
      </c>
      <c r="L18" s="439">
        <f>Other!U33/1000</f>
        <v>26.900412246632172</v>
      </c>
      <c r="M18" s="439">
        <f>Other!V33/1000</f>
        <v>25.343544200680263</v>
      </c>
      <c r="N18" s="382"/>
      <c r="O18" s="383"/>
      <c r="P18" s="383"/>
      <c r="Q18" s="383"/>
      <c r="AC18" s="61"/>
    </row>
    <row r="19" spans="1:29" s="70" customFormat="1" ht="18">
      <c r="A19" s="284" t="s">
        <v>314</v>
      </c>
      <c r="B19" s="439">
        <f>Other!$C36/1000</f>
        <v>0.23181134721780092</v>
      </c>
      <c r="C19" s="439">
        <f>Other!$H36/1000</f>
        <v>0.22917479528794457</v>
      </c>
      <c r="D19" s="439">
        <f>Other!M36/1000</f>
        <v>0.24098275684989801</v>
      </c>
      <c r="E19" s="439">
        <f>Other!N36/1000</f>
        <v>0.21065575728247626</v>
      </c>
      <c r="F19" s="439">
        <f>Other!O36/1000</f>
        <v>0.19150587730802074</v>
      </c>
      <c r="G19" s="439">
        <f>Other!P36/1000</f>
        <v>0.17230512333715695</v>
      </c>
      <c r="H19" s="439">
        <f>Other!Q36/1000</f>
        <v>0.13093780378260922</v>
      </c>
      <c r="I19" s="439">
        <f>Other!R36/1000</f>
        <v>0.10719569274299928</v>
      </c>
      <c r="J19" s="439">
        <f>Other!S36/1000</f>
        <v>0.10269301315338163</v>
      </c>
      <c r="K19" s="439">
        <f>Other!T36/1000</f>
        <v>0.14076964800185202</v>
      </c>
      <c r="L19" s="439">
        <f>Other!U36/1000</f>
        <v>9.5674641864038595E-2</v>
      </c>
      <c r="M19" s="439">
        <f>Other!V36/1000</f>
        <v>5.0354212405943517E-2</v>
      </c>
      <c r="N19" s="382"/>
      <c r="O19" s="383"/>
      <c r="P19" s="383"/>
      <c r="Q19" s="383"/>
      <c r="AC19" s="61"/>
    </row>
    <row r="20" spans="1:29" s="70" customFormat="1" ht="18.5" thickBot="1">
      <c r="A20" s="285" t="s">
        <v>315</v>
      </c>
      <c r="B20" s="440">
        <f>Other!$C37/1000</f>
        <v>5.9268176024470778</v>
      </c>
      <c r="C20" s="440">
        <f>Other!$H37/1000</f>
        <v>2.8653246418921907</v>
      </c>
      <c r="D20" s="440">
        <f>Other!M37/1000</f>
        <v>1.4223569546627475</v>
      </c>
      <c r="E20" s="440">
        <f>Other!N37/1000</f>
        <v>1.2553363125030856</v>
      </c>
      <c r="F20" s="440">
        <f>Other!O37/1000</f>
        <v>1.1928483793062916</v>
      </c>
      <c r="G20" s="440">
        <f>Other!P37/1000</f>
        <v>1.0308380301382216</v>
      </c>
      <c r="H20" s="440">
        <f>Other!Q37/1000</f>
        <v>0.95601141439973469</v>
      </c>
      <c r="I20" s="440">
        <f>Other!R37/1000</f>
        <v>0.82071138791396225</v>
      </c>
      <c r="J20" s="440">
        <f>Other!S37/1000</f>
        <v>0.85139076085688581</v>
      </c>
      <c r="K20" s="440">
        <f>Other!T37/1000</f>
        <v>0.913366829944814</v>
      </c>
      <c r="L20" s="440">
        <f>Other!U37/1000</f>
        <v>0.74480855331027174</v>
      </c>
      <c r="M20" s="440">
        <f>Other!V37/1000</f>
        <v>0.59766051966916389</v>
      </c>
      <c r="N20" s="382"/>
      <c r="O20" s="383"/>
      <c r="P20" s="383"/>
      <c r="Q20" s="383"/>
      <c r="AC20" s="61"/>
    </row>
    <row r="21" spans="1:29" s="70" customFormat="1" ht="15.5">
      <c r="B21" s="292"/>
      <c r="C21" s="292"/>
      <c r="D21" s="292"/>
      <c r="E21" s="292"/>
      <c r="F21" s="292"/>
      <c r="G21" s="12"/>
      <c r="H21" s="12"/>
      <c r="I21" s="12"/>
      <c r="J21" s="12"/>
      <c r="K21" s="12"/>
      <c r="L21" s="12"/>
      <c r="M21" s="12"/>
      <c r="N21" s="12"/>
      <c r="AC21" s="61"/>
    </row>
    <row r="22" spans="1:29" s="70" customFormat="1" ht="14">
      <c r="B22" s="291"/>
      <c r="C22" s="291"/>
      <c r="D22" s="291"/>
      <c r="E22" s="291"/>
      <c r="F22" s="291"/>
      <c r="G22" s="291"/>
      <c r="H22" s="291"/>
      <c r="I22" s="291"/>
      <c r="J22" s="291"/>
      <c r="K22" s="291"/>
      <c r="L22" s="291"/>
      <c r="M22" s="291"/>
      <c r="N22" s="291"/>
      <c r="AC22" s="61"/>
    </row>
    <row r="23" spans="1:29" s="70" customFormat="1" ht="16" thickBot="1">
      <c r="A23" s="47" t="s">
        <v>782</v>
      </c>
      <c r="P23" s="47" t="s">
        <v>783</v>
      </c>
      <c r="AC23" s="61"/>
    </row>
    <row r="24" spans="1:29" s="70" customFormat="1" ht="15">
      <c r="A24" s="1100" t="s">
        <v>301</v>
      </c>
      <c r="B24" s="494">
        <v>2005</v>
      </c>
      <c r="C24" s="494">
        <v>2010</v>
      </c>
      <c r="D24" s="494">
        <v>2015</v>
      </c>
      <c r="E24" s="494">
        <v>2016</v>
      </c>
      <c r="F24" s="494">
        <v>2017</v>
      </c>
      <c r="G24" s="494">
        <v>2018</v>
      </c>
      <c r="H24" s="495">
        <v>2019</v>
      </c>
      <c r="I24" s="495">
        <v>2020</v>
      </c>
      <c r="J24" s="495">
        <v>2021</v>
      </c>
      <c r="K24" s="495">
        <v>2022</v>
      </c>
      <c r="L24" s="495">
        <f>L4</f>
        <v>2023</v>
      </c>
      <c r="M24" s="495">
        <f>M4</f>
        <v>2024</v>
      </c>
      <c r="N24" s="495" t="str">
        <f>N4</f>
        <v>2025*</v>
      </c>
      <c r="P24" s="1100" t="s">
        <v>301</v>
      </c>
      <c r="Q24" s="494">
        <v>2005</v>
      </c>
      <c r="R24" s="494">
        <v>2010</v>
      </c>
      <c r="S24" s="494">
        <v>2015</v>
      </c>
      <c r="T24" s="494">
        <v>2016</v>
      </c>
      <c r="U24" s="494">
        <v>2017</v>
      </c>
      <c r="V24" s="494">
        <v>2018</v>
      </c>
      <c r="W24" s="495">
        <v>2019</v>
      </c>
      <c r="X24" s="495">
        <v>2020</v>
      </c>
      <c r="Y24" s="495">
        <v>2021</v>
      </c>
      <c r="Z24" s="495">
        <v>2022</v>
      </c>
      <c r="AA24" s="495">
        <v>2023</v>
      </c>
      <c r="AB24" s="495">
        <f>M24</f>
        <v>2024</v>
      </c>
      <c r="AC24" s="495" t="str">
        <f>N24</f>
        <v>2025*</v>
      </c>
    </row>
    <row r="25" spans="1:29" s="70" customFormat="1" ht="16.25" customHeight="1" thickBot="1">
      <c r="A25" s="1101"/>
      <c r="B25" s="387" t="s">
        <v>316</v>
      </c>
      <c r="C25" s="387"/>
      <c r="D25" s="387"/>
      <c r="E25" s="387"/>
      <c r="F25" s="387"/>
      <c r="G25" s="388"/>
      <c r="H25" s="388"/>
      <c r="I25" s="388"/>
      <c r="J25" s="388"/>
      <c r="K25" s="388"/>
      <c r="L25" s="388"/>
      <c r="M25" s="388"/>
      <c r="N25" s="388"/>
      <c r="P25" s="1101"/>
      <c r="Q25" s="387" t="s">
        <v>339</v>
      </c>
      <c r="R25" s="387"/>
      <c r="S25" s="387"/>
      <c r="T25" s="387"/>
      <c r="U25" s="387"/>
      <c r="V25" s="387"/>
      <c r="W25" s="387"/>
      <c r="X25" s="387"/>
      <c r="Y25" s="387"/>
      <c r="Z25" s="387"/>
      <c r="AA25" s="387"/>
      <c r="AB25" s="387"/>
      <c r="AC25" s="551"/>
    </row>
    <row r="26" spans="1:29" ht="18">
      <c r="A26" s="284" t="s">
        <v>309</v>
      </c>
      <c r="B26" s="437">
        <f>B6/('1'!Q$6-'1'!Q$7-'1'!Q$8+'1'!Q$9)*1000</f>
        <v>450.39296217940159</v>
      </c>
      <c r="C26" s="437">
        <f>C6/('1'!V$6-'1'!V$7-'1'!V$8+'1'!V$9)*1000</f>
        <v>382.27311196070917</v>
      </c>
      <c r="D26" s="437">
        <f>D6/('1'!AA$6-'1'!AA$7-'1'!AA$8+'1'!AA$9)*1000</f>
        <v>315.96164692313289</v>
      </c>
      <c r="E26" s="437">
        <f>E6/('1'!AB$6-'1'!AB$7-'1'!AB$8+'1'!AB$9)*1000</f>
        <v>308.06424190877243</v>
      </c>
      <c r="F26" s="437">
        <f>F6/('1'!AC$6-'1'!AC$7-'1'!AC$8+'1'!AC$9)*1000</f>
        <v>303.22560580227639</v>
      </c>
      <c r="G26" s="437">
        <f>G6/('1'!AD$6-'1'!AD$7-'1'!AD$8+'1'!AD$9)*1000</f>
        <v>285.83333563138297</v>
      </c>
      <c r="H26" s="437">
        <f>H6/('1'!AE$6-'1'!AE$7-'1'!AE$8+'1'!AE$9)*1000</f>
        <v>270.69681755201674</v>
      </c>
      <c r="I26" s="437">
        <f>I6/('1'!AF$6-'1'!AF$7-'1'!AF$8+'1'!AF$9)*1000</f>
        <v>255.15960876547706</v>
      </c>
      <c r="J26" s="437">
        <f>J6/('1'!AG$6-'1'!AG$7-'1'!AG$8+'1'!AG$9)*1000</f>
        <v>261.90133872161931</v>
      </c>
      <c r="K26" s="437">
        <f>K6/('1'!AH$6-'1'!AH$7-'1'!AH$8+'1'!AH$9)*1000</f>
        <v>293.31210392915779</v>
      </c>
      <c r="L26" s="437">
        <f>L6/('1'!AI$6-'1'!AI$7-'1'!AI$8+'1'!AI$9)*1000</f>
        <v>251.28774098454815</v>
      </c>
      <c r="M26" s="437">
        <f>M6/('1'!AJ$6-'1'!AJ$7-'1'!AJ$8+'1'!AJ$9)*1000</f>
        <v>211.42033422298994</v>
      </c>
      <c r="N26" s="947">
        <f>N6/('1'!AK$6-'1'!AK$7-'1'!AK$8+'1'!AK$9)*1000</f>
        <v>216.67400499772779</v>
      </c>
      <c r="P26" s="284" t="s">
        <v>328</v>
      </c>
      <c r="Q26" s="437">
        <f>Q6/('1'!Q$6-'1'!Q$7-'1'!Q$8)*1000</f>
        <v>487.61673063162402</v>
      </c>
      <c r="R26" s="437">
        <f>R6/('1'!V$6-'1'!V$7-'1'!V$8)*1000</f>
        <v>407.36304443551535</v>
      </c>
      <c r="S26" s="437">
        <f>S6/('1'!AA$6-'1'!AA$7-'1'!AA$8)*1000</f>
        <v>335.79995128618549</v>
      </c>
      <c r="T26" s="437">
        <f>T6/('1'!AB$6-'1'!AB$7-'1'!AB$8)*1000</f>
        <v>325.98029179355052</v>
      </c>
      <c r="U26" s="437">
        <f>U6/('1'!AC$6-'1'!AC$7-'1'!AC$8)*1000</f>
        <v>320.76804897053978</v>
      </c>
      <c r="V26" s="437">
        <f>V6/('1'!AD$6-'1'!AD$7-'1'!AD$8)*1000</f>
        <v>300.82584478742496</v>
      </c>
      <c r="W26" s="437">
        <f>W6/('1'!AE$6-'1'!AE$7-'1'!AE$8)*1000</f>
        <v>281.90211204025854</v>
      </c>
      <c r="X26" s="437">
        <f>X6/('1'!AF$6-'1'!AF$7-'1'!AF$8)*1000</f>
        <v>263.7014807362545</v>
      </c>
      <c r="Y26" s="947">
        <f>Y6/('1'!AG$6-'1'!AG$7-'1'!AG$8)*1000</f>
        <v>271.59223412862542</v>
      </c>
      <c r="Z26" s="947">
        <f>Z6/('1'!AH$6-'1'!AH$7-'1'!AH$8)*1000</f>
        <v>307.28517507746807</v>
      </c>
      <c r="AA26" s="947">
        <f>AA6/('1'!AI$6-'1'!AI$7-'1'!AI$8)*1000</f>
        <v>256.34982212837753</v>
      </c>
      <c r="AB26" s="947">
        <f>AB6/('1'!AJ$6-'1'!AJ$7-'1'!AJ$8)*1000</f>
        <v>209.41601472227427</v>
      </c>
      <c r="AC26" s="947">
        <f>AC6/('1'!AK$6-'1'!AK$7-'1'!AK$8)*1000</f>
        <v>213.80024504929128</v>
      </c>
    </row>
    <row r="27" spans="1:29" ht="18">
      <c r="A27" s="284" t="s">
        <v>310</v>
      </c>
      <c r="B27" s="944">
        <f>B7/('1'!Q$6-'1'!Q$7-'1'!Q$8+'1'!Q$9)*1000</f>
        <v>0.50874340477488789</v>
      </c>
      <c r="C27" s="944">
        <f>C7/('1'!V$6-'1'!V$7-'1'!V$8+'1'!V$9)*1000</f>
        <v>0.54388060425302365</v>
      </c>
      <c r="D27" s="944">
        <f>D7/('1'!AA$6-'1'!AA$7-'1'!AA$8+'1'!AA$9)*1000</f>
        <v>0.73914564985823805</v>
      </c>
      <c r="E27" s="944">
        <f>E7/('1'!AB$6-'1'!AB$7-'1'!AB$8+'1'!AB$9)*1000</f>
        <v>0.74406644384435516</v>
      </c>
      <c r="F27" s="944">
        <f>F7/('1'!AC$6-'1'!AC$7-'1'!AC$8+'1'!AC$9)*1000</f>
        <v>0.72583273464793652</v>
      </c>
      <c r="G27" s="944">
        <f>G7/('1'!AD$6-'1'!AD$7-'1'!AD$8+'1'!AD$9)*1000</f>
        <v>0.71895683498271556</v>
      </c>
      <c r="H27" s="944">
        <f>H7/('1'!AE$6-'1'!AE$7-'1'!AE$8+'1'!AE$9)*1000</f>
        <v>0.71575703260682599</v>
      </c>
      <c r="I27" s="944">
        <f>I7/('1'!AF$6-'1'!AF$7-'1'!AF$8+'1'!AF$9)*1000</f>
        <v>0.71935442235072244</v>
      </c>
      <c r="J27" s="944">
        <f>J7/('1'!AG$6-'1'!AG$7-'1'!AG$8+'1'!AG$9)*1000</f>
        <v>0.68929854976519123</v>
      </c>
      <c r="K27" s="944">
        <f>K7/('1'!AH$6-'1'!AH$7-'1'!AH$8+'1'!AH$9)*1000</f>
        <v>0.68329659775441332</v>
      </c>
      <c r="L27" s="944">
        <f>L7/('1'!AI$6-'1'!AI$7-'1'!AI$8+'1'!AI$9)*1000</f>
        <v>0.6464954710758658</v>
      </c>
      <c r="M27" s="944">
        <f>M7/('1'!AJ$6-'1'!AJ$7-'1'!AJ$8+'1'!AJ$9)*1000</f>
        <v>0.63467930119810911</v>
      </c>
      <c r="N27" s="993">
        <f>N7/('1'!AK$6-'1'!AK$7-'1'!AK$8+'1'!AK$9)*1000</f>
        <v>0.56181639398323702</v>
      </c>
      <c r="P27" s="284" t="s">
        <v>329</v>
      </c>
      <c r="Q27" s="437">
        <f>Q7/('1'!Q$6-'1'!Q$7-'1'!Q$8)*1000</f>
        <v>0.54310022214435749</v>
      </c>
      <c r="R27" s="437">
        <f>R7/('1'!V$6-'1'!V$7-'1'!V$8)*1000</f>
        <v>0.5729288331745136</v>
      </c>
      <c r="S27" s="437">
        <f>S7/('1'!AA$6-'1'!AA$7-'1'!AA$8)*1000</f>
        <v>0.76686758888342732</v>
      </c>
      <c r="T27" s="437">
        <f>T7/('1'!AB$6-'1'!AB$7-'1'!AB$8)*1000</f>
        <v>0.77148886157949859</v>
      </c>
      <c r="U27" s="437">
        <f>U7/('1'!AC$6-'1'!AC$7-'1'!AC$8)*1000</f>
        <v>0.75348133764076475</v>
      </c>
      <c r="V27" s="437">
        <f>V7/('1'!AD$6-'1'!AD$7-'1'!AD$8)*1000</f>
        <v>0.73981514937459192</v>
      </c>
      <c r="W27" s="437">
        <f>W7/('1'!AE$6-'1'!AE$7-'1'!AE$8)*1000</f>
        <v>0.73475938616589942</v>
      </c>
      <c r="X27" s="437">
        <f>X7/('1'!AF$6-'1'!AF$7-'1'!AF$8)*1000</f>
        <v>0.7353039931408164</v>
      </c>
      <c r="Y27" s="947">
        <f>Y7/('1'!AG$6-'1'!AG$7-'1'!AG$8)*1000</f>
        <v>0.70574485165161494</v>
      </c>
      <c r="Z27" s="947">
        <f>Z7/('1'!AH$6-'1'!AH$7-'1'!AH$8)*1000</f>
        <v>0.70621857052091108</v>
      </c>
      <c r="AA27" s="947">
        <f>AA7/('1'!AI$6-'1'!AI$7-'1'!AI$8)*1000</f>
        <v>0.65312483169358271</v>
      </c>
      <c r="AB27" s="947">
        <f>AB7/('1'!AJ$6-'1'!AJ$7-'1'!AJ$8)*1000</f>
        <v>0.62929955077061994</v>
      </c>
      <c r="AC27" s="947">
        <f>AC7/('1'!AK$6-'1'!AK$7-'1'!AK$8)*1000</f>
        <v>0.56986882092999891</v>
      </c>
    </row>
    <row r="28" spans="1:29" ht="18.5" thickBot="1">
      <c r="A28" s="285" t="s">
        <v>311</v>
      </c>
      <c r="B28" s="945">
        <f>B8/('1'!Q$6-'1'!Q$7-'1'!Q$8+'1'!Q$9)*1000</f>
        <v>1.2416484458539729</v>
      </c>
      <c r="C28" s="945">
        <f>C8/('1'!V$6-'1'!V$7-'1'!V$8+'1'!V$9)*1000</f>
        <v>1.2865172248352676</v>
      </c>
      <c r="D28" s="945">
        <f>D8/('1'!AA$6-'1'!AA$7-'1'!AA$8+'1'!AA$9)*1000</f>
        <v>1.4700438106023976</v>
      </c>
      <c r="E28" s="945">
        <f>E8/('1'!AB$6-'1'!AB$7-'1'!AB$8+'1'!AB$9)*1000</f>
        <v>1.4217657609854988</v>
      </c>
      <c r="F28" s="945">
        <f>F8/('1'!AC$6-'1'!AC$7-'1'!AC$8+'1'!AC$9)*1000</f>
        <v>1.3161262069133537</v>
      </c>
      <c r="G28" s="945">
        <f>G8/('1'!AD$6-'1'!AD$7-'1'!AD$8+'1'!AD$9)*1000</f>
        <v>1.291763810621704</v>
      </c>
      <c r="H28" s="945">
        <f>H8/('1'!AE$6-'1'!AE$7-'1'!AE$8+'1'!AE$9)*1000</f>
        <v>1.1802295016188586</v>
      </c>
      <c r="I28" s="945">
        <f>I8/('1'!AF$6-'1'!AF$7-'1'!AF$8+'1'!AF$9)*1000</f>
        <v>1.1603037139552623</v>
      </c>
      <c r="J28" s="945">
        <f>J8/('1'!AG$6-'1'!AG$7-'1'!AG$8+'1'!AG$9)*1000</f>
        <v>1.0820902022934482</v>
      </c>
      <c r="K28" s="945">
        <f>K8/('1'!AH$6-'1'!AH$7-'1'!AH$8+'1'!AH$9)*1000</f>
        <v>1.1781648739976376</v>
      </c>
      <c r="L28" s="945">
        <f>L8/('1'!AI$6-'1'!AI$7-'1'!AI$8+'1'!AI$9)*1000</f>
        <v>1.0768480295253693</v>
      </c>
      <c r="M28" s="945">
        <f>M8/('1'!AJ$6-'1'!AJ$7-'1'!AJ$8+'1'!AJ$9)*1000</f>
        <v>0.94649523473335928</v>
      </c>
      <c r="N28" s="994">
        <f>N8/('1'!AK$6-'1'!AK$7-'1'!AK$8+'1'!AK$9)*1000</f>
        <v>0.91646651043546523</v>
      </c>
      <c r="P28" s="285" t="s">
        <v>330</v>
      </c>
      <c r="Q28" s="441">
        <f>Q8/('1'!Q$6-'1'!Q$7-'1'!Q$8)*1000</f>
        <v>1.3255003218506098</v>
      </c>
      <c r="R28" s="441">
        <f>R8/('1'!V$6-'1'!V$7-'1'!V$8)*1000</f>
        <v>1.3552290828537774</v>
      </c>
      <c r="S28" s="441">
        <f>S8/('1'!AA$6-'1'!AA$7-'1'!AA$8)*1000</f>
        <v>1.5251783634333484</v>
      </c>
      <c r="T28" s="441">
        <f>T8/('1'!AB$6-'1'!AB$7-'1'!AB$8)*1000</f>
        <v>1.4741646494743124</v>
      </c>
      <c r="U28" s="441">
        <f>U8/('1'!AC$6-'1'!AC$7-'1'!AC$8)*1000</f>
        <v>1.3662604172435815</v>
      </c>
      <c r="V28" s="441">
        <f>V8/('1'!AD$6-'1'!AD$7-'1'!AD$8)*1000</f>
        <v>1.3292403521482108</v>
      </c>
      <c r="W28" s="441">
        <f>W8/('1'!AE$6-'1'!AE$7-'1'!AE$8)*1000</f>
        <v>1.2115629531239451</v>
      </c>
      <c r="X28" s="441">
        <f>X8/('1'!AF$6-'1'!AF$7-'1'!AF$8)*1000</f>
        <v>1.1860300397395163</v>
      </c>
      <c r="Y28" s="948">
        <f>Y8/('1'!AG$6-'1'!AG$7-'1'!AG$8)*1000</f>
        <v>1.1079083070048561</v>
      </c>
      <c r="Z28" s="948">
        <f>Z8/('1'!AH$6-'1'!AH$7-'1'!AH$8)*1000</f>
        <v>1.2176877740749543</v>
      </c>
      <c r="AA28" s="948">
        <f>AA8/('1'!AI$6-'1'!AI$7-'1'!AI$8)*1000</f>
        <v>1.0878903557868689</v>
      </c>
      <c r="AB28" s="948">
        <f>AB8/('1'!AJ$6-'1'!AJ$7-'1'!AJ$8)*1000</f>
        <v>0.938472429934052</v>
      </c>
      <c r="AC28" s="948">
        <f>AC8/('1'!AK$6-'1'!AK$7-'1'!AK$8)*1000</f>
        <v>0.92960208231173846</v>
      </c>
    </row>
    <row r="29" spans="1:29" ht="16" thickBot="1">
      <c r="A29" s="285" t="s">
        <v>302</v>
      </c>
      <c r="B29" s="946">
        <f>B9/('1'!Q$6-'1'!Q$7-'1'!Q$8+'1'!Q$9)*1000</f>
        <v>452.14335403003048</v>
      </c>
      <c r="C29" s="946">
        <f>C9/('1'!V$6-'1'!V$7-'1'!V$8+'1'!V$9)*1000</f>
        <v>384.10350978979744</v>
      </c>
      <c r="D29" s="946">
        <f>D9/('1'!AA$6-'1'!AA$7-'1'!AA$8+'1'!AA$9)*1000</f>
        <v>318.1708363835935</v>
      </c>
      <c r="E29" s="946">
        <f>E9/('1'!AB$6-'1'!AB$7-'1'!AB$8+'1'!AB$9)*1000</f>
        <v>310.23007411360226</v>
      </c>
      <c r="F29" s="946">
        <f>F9/('1'!AC$6-'1'!AC$7-'1'!AC$8+'1'!AC$9)*1000</f>
        <v>305.26756474383762</v>
      </c>
      <c r="G29" s="946">
        <f>G9/('1'!AD$6-'1'!AD$7-'1'!AD$8+'1'!AD$9)*1000</f>
        <v>287.84405627698737</v>
      </c>
      <c r="H29" s="946">
        <f>H9/('1'!AE$6-'1'!AE$7-'1'!AE$8+'1'!AE$9)*1000</f>
        <v>272.59280408624238</v>
      </c>
      <c r="I29" s="946">
        <f>I9/('1'!AF$6-'1'!AF$7-'1'!AF$8+'1'!AF$9)*1000</f>
        <v>257.03926690178304</v>
      </c>
      <c r="J29" s="946">
        <f>J9/('1'!AG$6-'1'!AG$7-'1'!AG$8+'1'!AG$9)*1000</f>
        <v>263.67272747367792</v>
      </c>
      <c r="K29" s="946">
        <f>K9/('1'!AH$6-'1'!AH$7-'1'!AH$8+'1'!AH$9)*1000</f>
        <v>295.17356540090981</v>
      </c>
      <c r="L29" s="946">
        <f>L9/('1'!AI$6-'1'!AI$7-'1'!AI$8+'1'!AI$9)*1000</f>
        <v>253.01108448514935</v>
      </c>
      <c r="M29" s="946">
        <f>M9/('1'!AJ$6-'1'!AJ$7-'1'!AJ$8+'1'!AJ$9)*1000</f>
        <v>213.0015087589214</v>
      </c>
      <c r="N29" s="949">
        <f>N9/('1'!AK$6-'1'!AK$7-'1'!AK$8+'1'!AK$9)*1000</f>
        <v>218.15228790214647</v>
      </c>
      <c r="P29" s="285" t="s">
        <v>302</v>
      </c>
      <c r="Q29" s="946">
        <f>Q9/('1'!Q$6-'1'!Q$7-'1'!Q$8)*1000</f>
        <v>489.48533117561902</v>
      </c>
      <c r="R29" s="946">
        <f>R9/('1'!V$6-'1'!V$7-'1'!V$8)*1000</f>
        <v>409.29120235154363</v>
      </c>
      <c r="S29" s="946">
        <f>S9/('1'!AA$6-'1'!AA$7-'1'!AA$8)*1000</f>
        <v>338.09199723850224</v>
      </c>
      <c r="T29" s="946">
        <f>T9/('1'!AB$6-'1'!AB$7-'1'!AB$8)*1000</f>
        <v>328.22594530460429</v>
      </c>
      <c r="U29" s="946">
        <f>U9/('1'!AC$6-'1'!AC$7-'1'!AC$8)*1000</f>
        <v>322.88779072542417</v>
      </c>
      <c r="V29" s="946">
        <f>V9/('1'!AD$6-'1'!AD$7-'1'!AD$8)*1000</f>
        <v>302.89490028894772</v>
      </c>
      <c r="W29" s="946">
        <f>W9/('1'!AE$6-'1'!AE$7-'1'!AE$8)*1000</f>
        <v>283.84843437954839</v>
      </c>
      <c r="X29" s="946">
        <f>X9/('1'!AF$6-'1'!AF$7-'1'!AF$8)*1000</f>
        <v>265.62281476913483</v>
      </c>
      <c r="Y29" s="949">
        <f>Y9/('1'!AG$6-'1'!AG$7-'1'!AG$8)*1000</f>
        <v>273.40588728728187</v>
      </c>
      <c r="Z29" s="949">
        <f>Z9/('1'!AH$6-'1'!AH$7-'1'!AH$8)*1000</f>
        <v>309.20908142206395</v>
      </c>
      <c r="AA29" s="949">
        <f>AA9/('1'!AI$6-'1'!AI$7-'1'!AI$8)*1000</f>
        <v>258.09083731585804</v>
      </c>
      <c r="AB29" s="949">
        <f>AB9/('1'!AJ$6-'1'!AJ$7-'1'!AJ$8)*1000</f>
        <v>210.98378670297893</v>
      </c>
      <c r="AC29" s="949">
        <f>AC9/('1'!AK$6-'1'!AK$7-'1'!AK$8)*1000</f>
        <v>215.29971595253301</v>
      </c>
    </row>
    <row r="30" spans="1:29" ht="15.5">
      <c r="A30" s="70" t="s">
        <v>320</v>
      </c>
      <c r="B30" s="12"/>
      <c r="C30" s="12"/>
      <c r="D30" s="12"/>
      <c r="E30" s="12"/>
      <c r="F30" s="12"/>
      <c r="G30" s="12"/>
      <c r="H30" s="12"/>
      <c r="I30" s="12"/>
      <c r="J30" s="12"/>
      <c r="K30" s="12"/>
      <c r="L30" s="12"/>
      <c r="M30" s="12"/>
      <c r="N30" s="12"/>
      <c r="Q30" s="303"/>
      <c r="R30" s="303"/>
      <c r="S30" s="303"/>
      <c r="T30" s="303"/>
      <c r="U30" s="303"/>
      <c r="V30" s="303"/>
      <c r="W30" s="303"/>
      <c r="X30" s="303"/>
      <c r="Y30" s="550"/>
      <c r="Z30" s="303"/>
      <c r="AA30" s="303"/>
      <c r="AB30" s="303"/>
      <c r="AC30" s="550"/>
    </row>
    <row r="31" spans="1:29" ht="15.5">
      <c r="A31" s="12"/>
      <c r="B31" s="12"/>
      <c r="C31" s="12"/>
      <c r="D31" s="12"/>
      <c r="E31" s="12"/>
      <c r="F31" s="12"/>
      <c r="G31" s="12"/>
      <c r="H31" s="12"/>
      <c r="I31" s="12"/>
      <c r="J31" s="12"/>
      <c r="K31" s="12"/>
      <c r="L31" s="12"/>
      <c r="M31" s="12"/>
      <c r="N31" s="12"/>
      <c r="Q31" s="303"/>
      <c r="R31" s="303"/>
      <c r="S31" s="303"/>
      <c r="T31" s="303"/>
      <c r="U31" s="303"/>
      <c r="V31" s="303"/>
      <c r="W31" s="303"/>
      <c r="X31" s="303"/>
      <c r="Y31" s="550"/>
      <c r="Z31" s="303"/>
      <c r="AA31" s="303"/>
      <c r="AB31" s="303"/>
      <c r="AC31" s="550"/>
    </row>
    <row r="32" spans="1:29" ht="16" thickBot="1">
      <c r="A32" s="47" t="s">
        <v>342</v>
      </c>
      <c r="B32" s="12"/>
      <c r="C32" s="12"/>
      <c r="D32" s="12"/>
      <c r="E32" s="12"/>
      <c r="F32" s="12"/>
      <c r="G32" s="12"/>
      <c r="H32" s="12"/>
      <c r="I32" s="12"/>
      <c r="J32" s="12"/>
      <c r="K32" s="12"/>
      <c r="L32" s="12"/>
      <c r="M32" s="12"/>
      <c r="N32" s="12"/>
      <c r="P32" s="47" t="s">
        <v>568</v>
      </c>
      <c r="Q32" s="70"/>
      <c r="R32" s="70"/>
      <c r="S32" s="70"/>
      <c r="T32" s="70"/>
      <c r="U32" s="70"/>
      <c r="V32" s="70"/>
      <c r="W32" s="70"/>
      <c r="X32" s="70"/>
      <c r="Y32" s="61"/>
      <c r="Z32" s="70"/>
      <c r="AA32" s="70"/>
      <c r="AB32" s="70"/>
      <c r="AC32" s="61"/>
    </row>
    <row r="33" spans="1:29" ht="15.5">
      <c r="A33" s="1100" t="s">
        <v>303</v>
      </c>
      <c r="B33" s="494">
        <v>2005</v>
      </c>
      <c r="C33" s="494">
        <v>2010</v>
      </c>
      <c r="D33" s="496">
        <v>2015</v>
      </c>
      <c r="E33" s="496">
        <v>2016</v>
      </c>
      <c r="F33" s="496">
        <v>2017</v>
      </c>
      <c r="G33" s="496">
        <v>2018</v>
      </c>
      <c r="H33" s="496">
        <v>2019</v>
      </c>
      <c r="I33" s="496">
        <v>2020</v>
      </c>
      <c r="J33" s="496">
        <v>2021</v>
      </c>
      <c r="K33" s="496">
        <v>2022</v>
      </c>
      <c r="L33" s="496">
        <v>2023</v>
      </c>
      <c r="M33" s="496">
        <v>2024</v>
      </c>
      <c r="N33" s="12"/>
      <c r="P33" s="1100" t="s">
        <v>301</v>
      </c>
      <c r="Q33" s="494">
        <v>2005</v>
      </c>
      <c r="R33" s="494">
        <v>2010</v>
      </c>
      <c r="S33" s="494">
        <v>2015</v>
      </c>
      <c r="T33" s="494">
        <v>2016</v>
      </c>
      <c r="U33" s="494">
        <v>2017</v>
      </c>
      <c r="V33" s="494">
        <v>2018</v>
      </c>
      <c r="W33" s="495">
        <v>2019</v>
      </c>
      <c r="X33" s="495">
        <v>2020</v>
      </c>
      <c r="Y33" s="495">
        <v>2021</v>
      </c>
      <c r="Z33" s="495">
        <v>2022</v>
      </c>
      <c r="AA33" s="495">
        <v>2023</v>
      </c>
      <c r="AB33" s="495">
        <f>AB24</f>
        <v>2024</v>
      </c>
      <c r="AC33" s="495" t="str">
        <f>AC24</f>
        <v>2025*</v>
      </c>
    </row>
    <row r="34" spans="1:29" ht="16.25" customHeight="1" thickBot="1">
      <c r="A34" s="1101"/>
      <c r="B34" s="389" t="s">
        <v>326</v>
      </c>
      <c r="C34" s="389"/>
      <c r="D34" s="389"/>
      <c r="E34" s="389"/>
      <c r="F34" s="389"/>
      <c r="G34" s="389"/>
      <c r="H34" s="389"/>
      <c r="I34" s="389"/>
      <c r="J34" s="389"/>
      <c r="K34" s="389"/>
      <c r="L34" s="389"/>
      <c r="M34" s="389"/>
      <c r="N34" s="12"/>
      <c r="P34" s="1101"/>
      <c r="Q34" s="387" t="s">
        <v>339</v>
      </c>
      <c r="R34" s="387"/>
      <c r="S34" s="387"/>
      <c r="T34" s="387"/>
      <c r="U34" s="387"/>
      <c r="V34" s="387"/>
      <c r="W34" s="387"/>
      <c r="X34" s="387"/>
      <c r="Y34" s="551"/>
      <c r="Z34" s="387"/>
      <c r="AA34" s="387"/>
      <c r="AB34" s="387"/>
      <c r="AC34" s="551"/>
    </row>
    <row r="35" spans="1:29" ht="18">
      <c r="A35" s="284" t="s">
        <v>312</v>
      </c>
      <c r="B35" s="437">
        <f>B15/('1'!Q$6-'1'!Q$7-'1'!Q$8+'1'!Q$9)*1000</f>
        <v>368.43748306215741</v>
      </c>
      <c r="C35" s="437">
        <f>C15/('1'!V$6-'1'!V$7-'1'!V$8+'1'!V$9)*1000</f>
        <v>287.91750679522255</v>
      </c>
      <c r="D35" s="437">
        <f>D15/('1'!AA$6-'1'!AA$7-'1'!AA$8+'1'!AA$9)*1000</f>
        <v>253.12018507744861</v>
      </c>
      <c r="E35" s="437">
        <f>E15/('1'!AB$6-'1'!AB$7-'1'!AB$8+'1'!AB$9)*1000</f>
        <v>237.65816959349007</v>
      </c>
      <c r="F35" s="437">
        <f>F15/('1'!AC$6-'1'!AC$7-'1'!AC$8+'1'!AC$9)*1000</f>
        <v>226.90532395116176</v>
      </c>
      <c r="G35" s="437">
        <f>G15/('1'!AD$6-'1'!AD$7-'1'!AD$8+'1'!AD$9)*1000</f>
        <v>218.32430463671815</v>
      </c>
      <c r="H35" s="437">
        <f>H15/('1'!AE$6-'1'!AE$7-'1'!AE$8+'1'!AE$9)*1000</f>
        <v>210.26505920973912</v>
      </c>
      <c r="I35" s="437">
        <f>I15/('1'!AF$6-'1'!AF$7-'1'!AF$8+'1'!AF$9)*1000</f>
        <v>200.96844135440847</v>
      </c>
      <c r="J35" s="437">
        <f>J15/('1'!AG$6-'1'!AG$7-'1'!AG$8+'1'!AG$9)*1000</f>
        <v>199.45430801356943</v>
      </c>
      <c r="K35" s="437">
        <f>K15/('1'!AH$6-'1'!AH$7-'1'!AH$8+'1'!AH$9)*1000</f>
        <v>207.91832628950272</v>
      </c>
      <c r="L35" s="437">
        <f>L15/('1'!AI$6-'1'!AI$7-'1'!AI$8+'1'!AI$9)*1000</f>
        <v>197.47185440673866</v>
      </c>
      <c r="M35" s="437">
        <f>M15/('1'!AJ$6-'1'!AJ$7-'1'!AJ$8+'1'!AJ$9)*1000</f>
        <v>173.24263540696566</v>
      </c>
      <c r="N35" s="66"/>
      <c r="O35" s="383"/>
      <c r="P35" s="284" t="s">
        <v>328</v>
      </c>
      <c r="Q35" s="437">
        <f>Q6/('1'!Q$18)*1000</f>
        <v>467.14999905583431</v>
      </c>
      <c r="R35" s="437">
        <f>R6/('1'!V$18)*1000</f>
        <v>392.75865789104353</v>
      </c>
      <c r="S35" s="437">
        <f>S6/('1'!AA$18)*1000</f>
        <v>318.15118482390039</v>
      </c>
      <c r="T35" s="437">
        <f>T6/('1'!AB$18)*1000</f>
        <v>317.63427507602245</v>
      </c>
      <c r="U35" s="437">
        <f>U6/('1'!AC$18)*1000</f>
        <v>312.39874110051488</v>
      </c>
      <c r="V35" s="437">
        <f>V6/('1'!AD$18)*1000</f>
        <v>285.50826902086612</v>
      </c>
      <c r="W35" s="437">
        <f>W6/('1'!AE$18)*1000</f>
        <v>272.76178671426317</v>
      </c>
      <c r="X35" s="437">
        <f>X6/('1'!AF$18)*1000</f>
        <v>258.84494133941354</v>
      </c>
      <c r="Y35" s="947">
        <f>Y6/('1'!AG$18)*1000</f>
        <v>259.03852079961814</v>
      </c>
      <c r="Z35" s="947">
        <f>Z6/('1'!AH$18)*1000</f>
        <v>292.95868590678822</v>
      </c>
      <c r="AA35" s="947">
        <f>AA6/('1'!AI$18)*1000</f>
        <v>234.74146796238338</v>
      </c>
      <c r="AB35" s="947">
        <f>AB6/('1'!AJ$18)*1000</f>
        <v>192.59512656547312</v>
      </c>
      <c r="AC35" s="947">
        <f>AC6/('1'!AK$18)*1000</f>
        <v>199.61039761053485</v>
      </c>
    </row>
    <row r="36" spans="1:29" ht="18">
      <c r="A36" s="284" t="s">
        <v>313</v>
      </c>
      <c r="B36" s="437">
        <f>B16/('1'!Q$6-'1'!Q$7-'1'!Q$8+'1'!Q$9)*1000</f>
        <v>524.74683520533392</v>
      </c>
      <c r="C36" s="437">
        <f>C16/('1'!V$6-'1'!V$7-'1'!V$8+'1'!V$9)*1000</f>
        <v>222.36658053281423</v>
      </c>
      <c r="D36" s="437">
        <f>D16/('1'!AA$6-'1'!AA$7-'1'!AA$8+'1'!AA$9)*1000</f>
        <v>95.407722891603981</v>
      </c>
      <c r="E36" s="437">
        <f>E16/('1'!AB$6-'1'!AB$7-'1'!AB$8+'1'!AB$9)*1000</f>
        <v>71.721235123224687</v>
      </c>
      <c r="F36" s="437">
        <f>F16/('1'!AC$6-'1'!AC$7-'1'!AC$8+'1'!AC$9)*1000</f>
        <v>63.305450692555787</v>
      </c>
      <c r="G36" s="437">
        <f>G16/('1'!AD$6-'1'!AD$7-'1'!AD$8+'1'!AD$9)*1000</f>
        <v>58.406773735231042</v>
      </c>
      <c r="H36" s="437">
        <f>H16/('1'!AE$6-'1'!AE$7-'1'!AE$8+'1'!AE$9)*1000</f>
        <v>47.810012213801542</v>
      </c>
      <c r="I36" s="437">
        <f>I16/('1'!AF$6-'1'!AF$7-'1'!AF$8+'1'!AF$9)*1000</f>
        <v>42.683131927434573</v>
      </c>
      <c r="J36" s="437">
        <f>J16/('1'!AG$6-'1'!AG$7-'1'!AG$8+'1'!AG$9)*1000</f>
        <v>38.99147633826005</v>
      </c>
      <c r="K36" s="437">
        <f>K16/('1'!AH$6-'1'!AH$7-'1'!AH$8+'1'!AH$9)*1000</f>
        <v>49.671002720305978</v>
      </c>
      <c r="L36" s="437">
        <f>L16/('1'!AI$6-'1'!AI$7-'1'!AI$8+'1'!AI$9)*1000</f>
        <v>41.685448140791962</v>
      </c>
      <c r="M36" s="437">
        <f>M16/('1'!AJ$6-'1'!AJ$7-'1'!AJ$8+'1'!AJ$9)*1000</f>
        <v>31.254448367188701</v>
      </c>
      <c r="N36" s="66"/>
      <c r="O36" s="383"/>
      <c r="P36" s="284" t="s">
        <v>329</v>
      </c>
      <c r="Q36" s="437">
        <f>Q7/('1'!Q$18)*1000</f>
        <v>0.5203046826004577</v>
      </c>
      <c r="R36" s="437">
        <f>R7/('1'!V$18)*1000</f>
        <v>0.55238874183228504</v>
      </c>
      <c r="S36" s="437">
        <f>S7/('1'!AA$18)*1000</f>
        <v>0.72656303573545877</v>
      </c>
      <c r="T36" s="437">
        <f>T7/('1'!AB$18)*1000</f>
        <v>0.75173656643091002</v>
      </c>
      <c r="U36" s="437">
        <f>U7/('1'!AC$18)*1000</f>
        <v>0.73382190675519998</v>
      </c>
      <c r="V36" s="437">
        <f>V7/('1'!AD$18)*1000</f>
        <v>0.70214493320084148</v>
      </c>
      <c r="W36" s="437">
        <f>W7/('1'!AE$18)*1000</f>
        <v>0.71093572703373265</v>
      </c>
      <c r="X36" s="437">
        <f>X7/('1'!AF$18)*1000</f>
        <v>0.72176204107679109</v>
      </c>
      <c r="Y36" s="947">
        <f>Y7/('1'!AG$18)*1000</f>
        <v>0.67312345295999698</v>
      </c>
      <c r="Z36" s="947">
        <f>Z7/('1'!AH$18)*1000</f>
        <v>0.67329269734740016</v>
      </c>
      <c r="AA36" s="947">
        <f>AA7/('1'!AI$18)*1000</f>
        <v>0.59807134048900279</v>
      </c>
      <c r="AB36" s="947">
        <f>AB7/('1'!AJ$18)*1000</f>
        <v>0.5787524263079753</v>
      </c>
      <c r="AC36" s="947">
        <f>AC7/('1'!AK$18)*1000</f>
        <v>0.53204682672584647</v>
      </c>
    </row>
    <row r="37" spans="1:29" ht="31" thickBot="1">
      <c r="A37" s="284" t="s">
        <v>305</v>
      </c>
      <c r="B37" s="437">
        <f>B17/('1'!Q$6-'1'!Q$7-'1'!Q$8+'1'!Q$9)*1000</f>
        <v>50.952106163959037</v>
      </c>
      <c r="C37" s="437">
        <f>C17/('1'!V$6-'1'!V$7-'1'!V$8+'1'!V$9)*1000</f>
        <v>70.576437483651773</v>
      </c>
      <c r="D37" s="437">
        <f>D17/('1'!AA$6-'1'!AA$7-'1'!AA$8+'1'!AA$9)*1000</f>
        <v>80.571764905428736</v>
      </c>
      <c r="E37" s="437">
        <f>E17/('1'!AB$6-'1'!AB$7-'1'!AB$8+'1'!AB$9)*1000</f>
        <v>85.646878895788049</v>
      </c>
      <c r="F37" s="437">
        <f>F17/('1'!AC$6-'1'!AC$7-'1'!AC$8+'1'!AC$9)*1000</f>
        <v>84.449296814332143</v>
      </c>
      <c r="G37" s="437">
        <f>G17/('1'!AD$6-'1'!AD$7-'1'!AD$8+'1'!AD$9)*1000</f>
        <v>85.341705901226021</v>
      </c>
      <c r="H37" s="437">
        <f>H17/('1'!AE$6-'1'!AE$7-'1'!AE$8+'1'!AE$9)*1000</f>
        <v>87.218896454543071</v>
      </c>
      <c r="I37" s="437">
        <f>I17/('1'!AF$6-'1'!AF$7-'1'!AF$8+'1'!AF$9)*1000</f>
        <v>89.381060814638758</v>
      </c>
      <c r="J37" s="437">
        <f>J17/('1'!AG$6-'1'!AG$7-'1'!AG$8+'1'!AG$9)*1000</f>
        <v>85.274859952627168</v>
      </c>
      <c r="K37" s="437">
        <f>K17/('1'!AH$6-'1'!AH$7-'1'!AH$8+'1'!AH$9)*1000</f>
        <v>85.322748324231426</v>
      </c>
      <c r="L37" s="437">
        <f>L17/('1'!AI$6-'1'!AI$7-'1'!AI$8+'1'!AI$9)*1000</f>
        <v>92.057842232053289</v>
      </c>
      <c r="M37" s="437">
        <f>M17/('1'!AJ$6-'1'!AJ$7-'1'!AJ$8+'1'!AJ$9)*1000</f>
        <v>88.495377891966882</v>
      </c>
      <c r="N37" s="382"/>
      <c r="O37" s="383"/>
      <c r="P37" s="285" t="s">
        <v>330</v>
      </c>
      <c r="Q37" s="441">
        <f>Q8/('1'!Q$18)*1000</f>
        <v>1.2698651116809367</v>
      </c>
      <c r="R37" s="441">
        <f>R8/('1'!V$18)*1000</f>
        <v>1.3066427183009179</v>
      </c>
      <c r="S37" s="441">
        <f>S8/('1'!AA$18)*1000</f>
        <v>1.4450189809007852</v>
      </c>
      <c r="T37" s="441">
        <f>T8/('1'!AB$18)*1000</f>
        <v>1.4364218683349743</v>
      </c>
      <c r="U37" s="441">
        <f>U8/('1'!AC$18)*1000</f>
        <v>1.3306126833148497</v>
      </c>
      <c r="V37" s="441">
        <f>V8/('1'!AD$18)*1000</f>
        <v>1.2615575377929971</v>
      </c>
      <c r="W37" s="441">
        <f>W8/('1'!AE$18)*1000</f>
        <v>1.1722795314272143</v>
      </c>
      <c r="X37" s="441">
        <f>X8/('1'!AF$18)*1000</f>
        <v>1.1641871528594352</v>
      </c>
      <c r="Y37" s="948">
        <f>Y8/('1'!AG$18)*1000</f>
        <v>1.0566978468619577</v>
      </c>
      <c r="Z37" s="948">
        <f>Z8/('1'!AH$18)*1000</f>
        <v>1.1609157846545208</v>
      </c>
      <c r="AA37" s="948">
        <f>AA8/('1'!AI$18)*1000</f>
        <v>0.9961894140563935</v>
      </c>
      <c r="AB37" s="948">
        <f>AB8/('1'!AJ$18)*1000</f>
        <v>0.8630916630758092</v>
      </c>
      <c r="AC37" s="948">
        <f>AC8/('1'!AK$18)*1000</f>
        <v>0.86790471744804176</v>
      </c>
    </row>
    <row r="38" spans="1:29" ht="16" thickBot="1">
      <c r="A38" s="284" t="s">
        <v>319</v>
      </c>
      <c r="B38" s="437">
        <f>B18/('1'!Q$6-'1'!Q$7-'1'!Q$8+'1'!Q$9)*1000</f>
        <v>105.48921747569499</v>
      </c>
      <c r="C38" s="437">
        <f>C18/('1'!V$6-'1'!V$7-'1'!V$8+'1'!V$9)*1000</f>
        <v>101.07463574892414</v>
      </c>
      <c r="D38" s="437">
        <f>D18/('1'!AA$6-'1'!AA$7-'1'!AA$8+'1'!AA$9)*1000</f>
        <v>94.318273048635902</v>
      </c>
      <c r="E38" s="437">
        <f>E18/('1'!AB$6-'1'!AB$7-'1'!AB$8+'1'!AB$9)*1000</f>
        <v>96.2962353135635</v>
      </c>
      <c r="F38" s="437">
        <f>F18/('1'!AC$6-'1'!AC$7-'1'!AC$8+'1'!AC$9)*1000</f>
        <v>97.605342235878567</v>
      </c>
      <c r="G38" s="437">
        <f>G18/('1'!AD$6-'1'!AD$7-'1'!AD$8+'1'!AD$9)*1000</f>
        <v>93.374912434645296</v>
      </c>
      <c r="H38" s="437">
        <f>H18/('1'!AE$6-'1'!AE$7-'1'!AE$8+'1'!AE$9)*1000</f>
        <v>94.610167183809523</v>
      </c>
      <c r="I38" s="437">
        <f>I18/('1'!AF$6-'1'!AF$7-'1'!AF$8+'1'!AF$9)*1000</f>
        <v>92.477401807155459</v>
      </c>
      <c r="J38" s="437">
        <f>J18/('1'!AG$6-'1'!AG$7-'1'!AG$8+'1'!AG$9)*1000</f>
        <v>91.853899413875496</v>
      </c>
      <c r="K38" s="437">
        <f>K18/('1'!AH$6-'1'!AH$7-'1'!AH$8+'1'!AH$9)*1000</f>
        <v>93.422350022586457</v>
      </c>
      <c r="L38" s="437">
        <f>L18/('1'!AI$6-'1'!AI$7-'1'!AI$8+'1'!AI$9)*1000</f>
        <v>85.665839967783711</v>
      </c>
      <c r="M38" s="437">
        <f>M18/('1'!AJ$6-'1'!AJ$7-'1'!AJ$8+'1'!AJ$9)*1000</f>
        <v>78.971083599550056</v>
      </c>
      <c r="N38" s="382"/>
      <c r="O38" s="383"/>
      <c r="P38" s="285" t="s">
        <v>302</v>
      </c>
      <c r="Q38" s="946">
        <f>Q9/('1'!Q$18)*1000</f>
        <v>468.94016885011575</v>
      </c>
      <c r="R38" s="946">
        <f>R9/('1'!V$18)*1000</f>
        <v>394.61768935117675</v>
      </c>
      <c r="S38" s="946">
        <f>S9/('1'!AA$18)*1000</f>
        <v>320.32276684053664</v>
      </c>
      <c r="T38" s="946">
        <f>T9/('1'!AB$18)*1000</f>
        <v>319.82243351078824</v>
      </c>
      <c r="U38" s="946">
        <f>U9/('1'!AC$18)*1000</f>
        <v>314.46317569058499</v>
      </c>
      <c r="V38" s="946">
        <f>V9/('1'!AD$18)*1000</f>
        <v>287.47197149185996</v>
      </c>
      <c r="W38" s="946">
        <f>W9/('1'!AE$18)*1000</f>
        <v>274.64500197272406</v>
      </c>
      <c r="X38" s="946">
        <f>X9/('1'!AF$18)*1000</f>
        <v>260.73089053334979</v>
      </c>
      <c r="Y38" s="949">
        <f>Y9/('1'!AG$18)*1000</f>
        <v>260.76834209944013</v>
      </c>
      <c r="Z38" s="949">
        <f>Z9/('1'!AH$18)*1000</f>
        <v>294.79289438879016</v>
      </c>
      <c r="AA38" s="949">
        <f>AA9/('1'!AI$18)*1000</f>
        <v>236.33572871692877</v>
      </c>
      <c r="AB38" s="949">
        <f>AB9/('1'!AJ$18)*1000</f>
        <v>194.0369706548569</v>
      </c>
      <c r="AC38" s="949">
        <f>AC9/('1'!AK$18)*1000</f>
        <v>201.01034915470873</v>
      </c>
    </row>
    <row r="39" spans="1:29" ht="18">
      <c r="A39" s="284" t="s">
        <v>314</v>
      </c>
      <c r="B39" s="437">
        <f>B19/('1'!Q$6-'1'!Q$7-'1'!Q$8+'1'!Q$9)*1000</f>
        <v>0.66143593882702034</v>
      </c>
      <c r="C39" s="437">
        <f>C19/('1'!V$6-'1'!V$7-'1'!V$8+'1'!V$9)*1000</f>
        <v>0.64551912145032619</v>
      </c>
      <c r="D39" s="437">
        <f>D19/('1'!AA$6-'1'!AA$7-'1'!AA$8+'1'!AA$9)*1000</f>
        <v>0.70704300115543284</v>
      </c>
      <c r="E39" s="437">
        <f>E19/('1'!AB$6-'1'!AB$7-'1'!AB$8+'1'!AB$9)*1000</f>
        <v>0.60361748578005714</v>
      </c>
      <c r="F39" s="437">
        <f>F19/('1'!AC$6-'1'!AC$7-'1'!AC$8+'1'!AC$9)*1000</f>
        <v>0.53932618292852297</v>
      </c>
      <c r="G39" s="437">
        <f>G19/('1'!AD$6-'1'!AD$7-'1'!AD$8+'1'!AD$9)*1000</f>
        <v>0.49568039027864097</v>
      </c>
      <c r="H39" s="437">
        <f>H19/('1'!AE$6-'1'!AE$7-'1'!AE$8+'1'!AE$9)*1000</f>
        <v>0.37170371098779814</v>
      </c>
      <c r="I39" s="437">
        <f>I19/('1'!AF$6-'1'!AF$7-'1'!AF$8+'1'!AF$9)*1000</f>
        <v>0.31725456361502963</v>
      </c>
      <c r="J39" s="437">
        <f>J19/('1'!AG$6-'1'!AG$7-'1'!AG$8+'1'!AG$9)*1000</f>
        <v>0.29795410657487686</v>
      </c>
      <c r="K39" s="437">
        <f>K19/('1'!AH$6-'1'!AH$7-'1'!AH$8+'1'!AH$9)*1000</f>
        <v>0.41557218783971639</v>
      </c>
      <c r="L39" s="437">
        <f>L19/('1'!AI$6-'1'!AI$7-'1'!AI$8+'1'!AI$9)*1000</f>
        <v>0.30468115074800994</v>
      </c>
      <c r="M39" s="437">
        <f>M19/('1'!AJ$6-'1'!AJ$7-'1'!AJ$8+'1'!AJ$9)*1000</f>
        <v>0.15690491771835643</v>
      </c>
      <c r="N39" s="382"/>
      <c r="O39" s="383"/>
    </row>
    <row r="40" spans="1:29" ht="18.5" thickBot="1">
      <c r="A40" s="285" t="s">
        <v>315</v>
      </c>
      <c r="B40" s="441">
        <f>B20/('1'!Q$6-'1'!Q$7-'1'!Q$8+'1'!Q$9)*1000</f>
        <v>16.911209102494091</v>
      </c>
      <c r="C40" s="441">
        <f>C20/('1'!V$6-'1'!V$7-'1'!V$8+'1'!V$9)*1000</f>
        <v>8.0707908702624884</v>
      </c>
      <c r="D40" s="441">
        <f>D20/('1'!AA$6-'1'!AA$7-'1'!AA$8+'1'!AA$9)*1000</f>
        <v>4.1731929001271046</v>
      </c>
      <c r="E40" s="441">
        <f>E20/('1'!AB$6-'1'!AB$7-'1'!AB$8+'1'!AB$9)*1000</f>
        <v>3.5970673602119234</v>
      </c>
      <c r="F40" s="441">
        <f>F20/('1'!AC$6-'1'!AC$7-'1'!AC$8+'1'!AC$9)*1000</f>
        <v>3.3593452705839888</v>
      </c>
      <c r="G40" s="441">
        <f>G20/('1'!AD$6-'1'!AD$7-'1'!AD$8+'1'!AD$9)*1000</f>
        <v>2.96547303525705</v>
      </c>
      <c r="H40" s="441">
        <f>H20/('1'!AE$6-'1'!AE$7-'1'!AE$8+'1'!AE$9)*1000</f>
        <v>2.7139067573567477</v>
      </c>
      <c r="I40" s="441">
        <f>I20/('1'!AF$6-'1'!AF$7-'1'!AF$8+'1'!AF$9)*1000</f>
        <v>2.4289635764636066</v>
      </c>
      <c r="J40" s="441">
        <f>J20/('1'!AG$6-'1'!AG$7-'1'!AG$8+'1'!AG$9)*1000</f>
        <v>2.4702301131074043</v>
      </c>
      <c r="K40" s="441">
        <f>K20/('1'!AH$6-'1'!AH$7-'1'!AH$8+'1'!AH$9)*1000</f>
        <v>2.6963898625035903</v>
      </c>
      <c r="L40" s="441">
        <f>L20/('1'!AI$6-'1'!AI$7-'1'!AI$8+'1'!AI$9)*1000</f>
        <v>2.3718837373022912</v>
      </c>
      <c r="M40" s="441">
        <f>M20/('1'!AJ$6-'1'!AJ$7-'1'!AJ$8+'1'!AJ$9)*1000</f>
        <v>1.8623243256433408</v>
      </c>
      <c r="N40" s="753"/>
      <c r="O40" s="383"/>
      <c r="R40" s="427"/>
    </row>
    <row r="41" spans="1:29" ht="15.5">
      <c r="A41" s="70" t="s">
        <v>320</v>
      </c>
      <c r="G41" s="12"/>
      <c r="H41" s="382"/>
      <c r="I41" s="382"/>
      <c r="J41" s="382"/>
      <c r="K41" s="382"/>
      <c r="L41" s="382"/>
      <c r="M41" s="382"/>
      <c r="N41" s="382"/>
    </row>
    <row r="42" spans="1:29" ht="15.5">
      <c r="A42" s="70" t="s">
        <v>347</v>
      </c>
      <c r="G42" s="12"/>
      <c r="H42" s="382"/>
      <c r="I42" s="382"/>
      <c r="J42" s="382"/>
      <c r="K42" s="382"/>
      <c r="L42" s="382"/>
      <c r="M42" s="382"/>
      <c r="N42" s="382"/>
    </row>
    <row r="45" spans="1:29">
      <c r="D45" s="181"/>
      <c r="E45" s="181"/>
      <c r="F45" s="181"/>
      <c r="G45" s="181"/>
      <c r="H45" s="181"/>
      <c r="I45" s="181"/>
      <c r="J45" s="181"/>
      <c r="K45" s="181"/>
      <c r="L45" s="181"/>
      <c r="M45" s="181"/>
      <c r="N45" s="181"/>
    </row>
  </sheetData>
  <sheetProtection algorithmName="SHA-512" hashValue="elJeKUcjGRC/ypjoDhA5pMikE8Rdqj3PT/9xyvhWDrDCyHf9ChqIsXA6uZgyC++IDJGYLazkIsQt+3zMO/bw3w==" saltValue="BjcQxsWvSPI3eBi/IoPomw==" spinCount="100000" sheet="1" objects="1" scenarios="1"/>
  <mergeCells count="7">
    <mergeCell ref="P4:P5"/>
    <mergeCell ref="P24:P25"/>
    <mergeCell ref="P33:P34"/>
    <mergeCell ref="A33:A34"/>
    <mergeCell ref="A4:A5"/>
    <mergeCell ref="A13:A14"/>
    <mergeCell ref="A24:A25"/>
  </mergeCells>
  <hyperlinks>
    <hyperlink ref="A1" location="Indice!A1" display="Torna indietro" xr:uid="{F723BD0C-E1C3-4F9C-A4CF-FE4A76459B6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25"/>
  <sheetViews>
    <sheetView showGridLines="0" zoomScaleNormal="100" workbookViewId="0"/>
  </sheetViews>
  <sheetFormatPr defaultRowHeight="14.5"/>
  <sheetData>
    <row r="1" spans="1:2" ht="15.5">
      <c r="A1" s="108" t="s">
        <v>694</v>
      </c>
      <c r="B1" s="546"/>
    </row>
    <row r="22" spans="1:9" ht="15.5">
      <c r="A22" s="1" t="s">
        <v>558</v>
      </c>
    </row>
    <row r="25" spans="1:9" ht="15.5">
      <c r="B25" s="1"/>
      <c r="C25" s="1"/>
      <c r="D25" s="1"/>
      <c r="E25" s="1"/>
      <c r="F25" s="1"/>
      <c r="G25" s="1"/>
      <c r="H25" s="1"/>
      <c r="I25" s="1"/>
    </row>
  </sheetData>
  <sheetProtection sheet="1" objects="1" scenarios="1"/>
  <hyperlinks>
    <hyperlink ref="A1" location="Indice!A1" display="Torna indietro" xr:uid="{A5B3BF17-2416-441D-846D-6F636D23F6A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3" tint="0.59999389629810485"/>
  </sheetPr>
  <dimension ref="A1:J24"/>
  <sheetViews>
    <sheetView showGridLines="0" workbookViewId="0"/>
  </sheetViews>
  <sheetFormatPr defaultRowHeight="14.5"/>
  <sheetData>
    <row r="1" spans="1:2" ht="15.5">
      <c r="A1" s="108" t="s">
        <v>694</v>
      </c>
      <c r="B1" s="546"/>
    </row>
    <row r="23" spans="1:10" ht="15.5">
      <c r="B23" s="568"/>
      <c r="C23" s="568"/>
      <c r="D23" s="568"/>
      <c r="E23" s="568"/>
      <c r="F23" s="568"/>
      <c r="G23" s="568"/>
      <c r="H23" s="568"/>
      <c r="I23" s="568"/>
      <c r="J23" s="568"/>
    </row>
    <row r="24" spans="1:10" ht="15.5">
      <c r="A24" s="567" t="s">
        <v>594</v>
      </c>
    </row>
  </sheetData>
  <sheetProtection sheet="1" objects="1" scenarios="1"/>
  <hyperlinks>
    <hyperlink ref="A1" location="Indice!A1" display="Torna indietro" xr:uid="{C72C4514-1DDB-45E8-A453-B2581D80E616}"/>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8">
    <tabColor theme="3" tint="0.59999389629810485"/>
  </sheetPr>
  <dimension ref="A1:B25"/>
  <sheetViews>
    <sheetView showGridLines="0" workbookViewId="0">
      <selection activeCell="H25" sqref="H25"/>
    </sheetView>
  </sheetViews>
  <sheetFormatPr defaultRowHeight="14.5"/>
  <sheetData>
    <row r="1" spans="1:2" ht="15.5">
      <c r="A1" s="108" t="s">
        <v>694</v>
      </c>
      <c r="B1" s="546"/>
    </row>
    <row r="25" spans="1:1" ht="15.5">
      <c r="A25" s="1" t="s">
        <v>271</v>
      </c>
    </row>
  </sheetData>
  <sheetProtection sheet="1" objects="1" scenarios="1"/>
  <hyperlinks>
    <hyperlink ref="A1" location="Indice!A1" display="Torna indietro" xr:uid="{7F146761-FF1B-4D39-9B87-C7616853E459}"/>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9">
    <tabColor theme="3" tint="0.59999389629810485"/>
  </sheetPr>
  <dimension ref="A1:Q37"/>
  <sheetViews>
    <sheetView showGridLines="0" zoomScaleNormal="100" workbookViewId="0"/>
  </sheetViews>
  <sheetFormatPr defaultRowHeight="14.5"/>
  <sheetData>
    <row r="1" spans="1:2" ht="15.5">
      <c r="A1" s="108" t="s">
        <v>694</v>
      </c>
      <c r="B1" s="546"/>
    </row>
    <row r="36" spans="1:17" ht="15.5">
      <c r="A36" s="1102" t="s">
        <v>595</v>
      </c>
      <c r="B36" s="1102"/>
      <c r="C36" s="1102"/>
      <c r="D36" s="1102"/>
      <c r="E36" s="1102"/>
      <c r="F36" s="1102"/>
      <c r="G36" s="1102"/>
      <c r="H36" s="1102"/>
      <c r="I36" s="1102"/>
      <c r="J36" s="1102"/>
      <c r="K36" s="1102"/>
      <c r="L36" s="1102"/>
      <c r="M36" s="1102"/>
      <c r="N36" s="1102"/>
      <c r="O36" s="1102"/>
      <c r="P36" s="1102"/>
      <c r="Q36" s="1102"/>
    </row>
    <row r="37" spans="1:17" ht="23.5" customHeight="1"/>
  </sheetData>
  <sheetProtection sheet="1" objects="1" scenarios="1"/>
  <mergeCells count="1">
    <mergeCell ref="A36:Q36"/>
  </mergeCells>
  <hyperlinks>
    <hyperlink ref="A1" location="Indice!A1" display="Torna indietro" xr:uid="{AFCA43F2-79EA-4C31-BB6E-1FF932C7AFE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4">
    <tabColor theme="3" tint="0.59999389629810485"/>
  </sheetPr>
  <dimension ref="A1:B23"/>
  <sheetViews>
    <sheetView showGridLines="0" workbookViewId="0"/>
  </sheetViews>
  <sheetFormatPr defaultRowHeight="14.5"/>
  <sheetData>
    <row r="1" spans="1:2" ht="15.5">
      <c r="A1" s="108" t="s">
        <v>694</v>
      </c>
      <c r="B1" s="546"/>
    </row>
    <row r="23" spans="1:1" ht="17.5">
      <c r="A23" s="8" t="s">
        <v>563</v>
      </c>
    </row>
  </sheetData>
  <sheetProtection sheet="1" objects="1" scenarios="1"/>
  <hyperlinks>
    <hyperlink ref="A1" location="Indice!A1" display="Torna indietro" xr:uid="{1C49EC92-3B2A-447F-A9E3-4C449878E04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1"/>
  <dimension ref="A1:XFC74"/>
  <sheetViews>
    <sheetView showGridLines="0" zoomScale="130" zoomScaleNormal="130" workbookViewId="0"/>
  </sheetViews>
  <sheetFormatPr defaultColWidth="9.1796875" defaultRowHeight="14.5" zeroHeight="1"/>
  <cols>
    <col min="1" max="1" width="149.453125" customWidth="1"/>
    <col min="2" max="9" width="0" hidden="1" customWidth="1"/>
    <col min="10" max="16383" width="9.1796875" hidden="1" customWidth="1"/>
    <col min="16384" max="16384" width="31.1796875" hidden="1" customWidth="1"/>
  </cols>
  <sheetData>
    <row r="1" spans="1:9"/>
    <row r="2" spans="1:9"/>
    <row r="3" spans="1:9"/>
    <row r="4" spans="1:9"/>
    <row r="5" spans="1:9"/>
    <row r="6" spans="1:9"/>
    <row r="7" spans="1:9"/>
    <row r="8" spans="1:9"/>
    <row r="9" spans="1:9"/>
    <row r="10" spans="1:9"/>
    <row r="11" spans="1:9" ht="15.5">
      <c r="A11" s="98" t="s">
        <v>842</v>
      </c>
      <c r="B11" s="49"/>
      <c r="C11" s="49"/>
      <c r="D11" s="49"/>
      <c r="E11" s="49"/>
      <c r="F11" s="49"/>
      <c r="G11" s="49"/>
      <c r="H11" s="49"/>
      <c r="I11" s="49"/>
    </row>
    <row r="12" spans="1:9" ht="17.5">
      <c r="A12" s="1060" t="s">
        <v>813</v>
      </c>
      <c r="B12" s="12"/>
      <c r="C12" s="12"/>
      <c r="D12" s="12"/>
      <c r="E12" s="12"/>
      <c r="F12" s="12"/>
      <c r="G12" s="12"/>
      <c r="H12" s="12"/>
      <c r="I12" s="12"/>
    </row>
    <row r="13" spans="1:9" ht="15.5">
      <c r="A13" s="1060"/>
      <c r="B13" s="12"/>
      <c r="C13" s="12"/>
      <c r="D13" s="12"/>
      <c r="E13" s="12"/>
      <c r="F13" s="12"/>
      <c r="G13" s="12"/>
      <c r="H13" s="12"/>
      <c r="I13" s="12"/>
    </row>
    <row r="14" spans="1:9" ht="15.5">
      <c r="A14" s="98" t="s">
        <v>269</v>
      </c>
      <c r="B14" s="12"/>
      <c r="C14" s="12"/>
      <c r="D14" s="12"/>
      <c r="E14" s="12"/>
      <c r="F14" s="12"/>
      <c r="G14" s="12"/>
      <c r="H14" s="12"/>
      <c r="I14" s="12"/>
    </row>
    <row r="15" spans="1:9" ht="15.5">
      <c r="A15" s="99" t="s">
        <v>108</v>
      </c>
      <c r="B15" s="12"/>
      <c r="C15" s="12"/>
      <c r="D15" s="12"/>
      <c r="E15" s="12"/>
      <c r="F15" s="12"/>
      <c r="G15" s="12"/>
      <c r="H15" s="12"/>
      <c r="I15" s="12"/>
    </row>
    <row r="16" spans="1:9" ht="15.5">
      <c r="A16" s="99"/>
      <c r="B16" s="12"/>
      <c r="C16" s="12"/>
      <c r="D16" s="12"/>
      <c r="E16" s="12"/>
      <c r="F16" s="12"/>
      <c r="G16" s="12"/>
      <c r="H16" s="12"/>
      <c r="I16" s="12"/>
    </row>
    <row r="17" spans="1:9" ht="16.5">
      <c r="A17" s="922" t="s">
        <v>812</v>
      </c>
      <c r="B17" s="12"/>
      <c r="C17" s="12"/>
      <c r="D17" s="12"/>
      <c r="E17" s="12"/>
      <c r="F17" s="12"/>
      <c r="G17" s="12"/>
      <c r="H17" s="12"/>
      <c r="I17" s="12"/>
    </row>
    <row r="18" spans="1:9" ht="15.5">
      <c r="A18" s="99"/>
      <c r="B18" s="12"/>
      <c r="C18" s="12"/>
      <c r="D18" s="12"/>
      <c r="E18" s="12"/>
      <c r="F18" s="12"/>
      <c r="G18" s="12"/>
      <c r="H18" s="12"/>
      <c r="I18" s="12"/>
    </row>
    <row r="19" spans="1:9" s="915" customFormat="1" ht="15.5">
      <c r="A19" s="923" t="s">
        <v>270</v>
      </c>
      <c r="B19" s="924"/>
      <c r="C19" s="924"/>
      <c r="D19" s="924"/>
      <c r="E19" s="924"/>
      <c r="F19" s="924"/>
      <c r="G19" s="924"/>
      <c r="H19" s="924"/>
      <c r="I19" s="924"/>
    </row>
    <row r="20" spans="1:9" s="915" customFormat="1" ht="15.5">
      <c r="A20" s="923" t="s">
        <v>596</v>
      </c>
      <c r="B20" s="924"/>
      <c r="C20" s="924"/>
      <c r="D20" s="924"/>
      <c r="E20" s="924"/>
      <c r="F20" s="924"/>
      <c r="G20" s="924"/>
      <c r="H20" s="924"/>
      <c r="I20" s="924"/>
    </row>
    <row r="21" spans="1:9" s="915" customFormat="1">
      <c r="A21" s="923" t="s">
        <v>597</v>
      </c>
    </row>
    <row r="22" spans="1:9" s="915" customFormat="1" ht="15.5">
      <c r="A22" s="923" t="s">
        <v>598</v>
      </c>
      <c r="B22" s="924"/>
      <c r="C22" s="924"/>
      <c r="D22" s="924"/>
      <c r="E22" s="924"/>
      <c r="F22" s="924"/>
      <c r="G22" s="924"/>
      <c r="H22" s="924"/>
      <c r="I22" s="924"/>
    </row>
    <row r="23" spans="1:9" s="915" customFormat="1">
      <c r="A23" s="925" t="s">
        <v>599</v>
      </c>
    </row>
    <row r="24" spans="1:9" s="915" customFormat="1">
      <c r="A24" s="923" t="s">
        <v>600</v>
      </c>
    </row>
    <row r="25" spans="1:9" s="915" customFormat="1">
      <c r="A25" s="925" t="s">
        <v>709</v>
      </c>
    </row>
    <row r="26" spans="1:9" s="915" customFormat="1">
      <c r="A26" s="923" t="s">
        <v>713</v>
      </c>
    </row>
    <row r="27" spans="1:9" s="915" customFormat="1">
      <c r="A27" s="923" t="s">
        <v>712</v>
      </c>
    </row>
    <row r="28" spans="1:9" s="915" customFormat="1">
      <c r="A28" s="923" t="s">
        <v>711</v>
      </c>
    </row>
    <row r="29" spans="1:9" s="915" customFormat="1">
      <c r="A29" s="923" t="s">
        <v>710</v>
      </c>
    </row>
    <row r="30" spans="1:9" s="915" customFormat="1" ht="15.5">
      <c r="A30" s="923" t="s">
        <v>601</v>
      </c>
      <c r="B30" s="924"/>
      <c r="C30" s="924"/>
      <c r="D30" s="924"/>
      <c r="E30" s="924"/>
      <c r="F30" s="924"/>
      <c r="G30" s="924"/>
      <c r="H30" s="924"/>
      <c r="I30" s="924"/>
    </row>
    <row r="31" spans="1:9" s="915" customFormat="1" ht="15.5">
      <c r="A31" s="923" t="s">
        <v>602</v>
      </c>
      <c r="B31" s="924"/>
      <c r="C31" s="924"/>
      <c r="D31" s="924"/>
      <c r="E31" s="924"/>
      <c r="F31" s="924"/>
      <c r="G31" s="924"/>
      <c r="H31" s="924"/>
      <c r="I31" s="924"/>
    </row>
    <row r="32" spans="1:9" s="915" customFormat="1" ht="15.5">
      <c r="A32" s="923" t="s">
        <v>603</v>
      </c>
      <c r="B32" s="924"/>
      <c r="C32" s="924"/>
      <c r="D32" s="924"/>
      <c r="E32" s="924"/>
      <c r="F32" s="924"/>
      <c r="G32" s="924"/>
      <c r="H32" s="924"/>
      <c r="I32" s="924"/>
    </row>
    <row r="33" spans="1:1" s="915" customFormat="1">
      <c r="A33" s="923" t="s">
        <v>604</v>
      </c>
    </row>
    <row r="34" spans="1:1" s="915" customFormat="1">
      <c r="A34" s="925" t="s">
        <v>605</v>
      </c>
    </row>
    <row r="35" spans="1:1" s="915" customFormat="1">
      <c r="A35" s="925" t="s">
        <v>606</v>
      </c>
    </row>
    <row r="36" spans="1:1" s="915" customFormat="1">
      <c r="A36" s="923" t="s">
        <v>607</v>
      </c>
    </row>
    <row r="37" spans="1:1" s="915" customFormat="1">
      <c r="A37" s="923" t="s">
        <v>608</v>
      </c>
    </row>
    <row r="38" spans="1:1" s="915" customFormat="1">
      <c r="A38" s="923" t="s">
        <v>609</v>
      </c>
    </row>
    <row r="39" spans="1:1" s="915" customFormat="1">
      <c r="A39" s="923" t="s">
        <v>321</v>
      </c>
    </row>
    <row r="40" spans="1:1" s="915" customFormat="1">
      <c r="A40" s="923" t="s">
        <v>322</v>
      </c>
    </row>
    <row r="41" spans="1:1" s="915" customFormat="1">
      <c r="A41" s="923" t="s">
        <v>324</v>
      </c>
    </row>
    <row r="42" spans="1:1" s="915" customFormat="1">
      <c r="A42" s="923" t="s">
        <v>325</v>
      </c>
    </row>
    <row r="43" spans="1:1" s="915" customFormat="1">
      <c r="A43" s="923" t="s">
        <v>323</v>
      </c>
    </row>
    <row r="44" spans="1:1"/>
    <row r="45" spans="1:1"/>
    <row r="46" spans="1:1"/>
    <row r="47" spans="1:1"/>
    <row r="48" spans="1: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sheetData>
  <sheetProtection algorithmName="SHA-512" hashValue="JwRu0wQrEZSFT6fYWNcgW2KEd4381PhxfhXWfVKQhvF4iQd4MOO9wUF1RRatDXHiQq2RKJgViHC3AuVDNNcO+w==" saltValue="mq/noY6pYwQzJFZHoHR5sw==" spinCount="100000" sheet="1" objects="1" scenarios="1"/>
  <hyperlinks>
    <hyperlink ref="A22" location="'3'!A1" display="3. Produzione termoelettrica lorda per combustibile" xr:uid="{00000000-0004-0000-0000-000000000000}"/>
    <hyperlink ref="A32" location="'13'!A1" display="13. Produzione lorda di energia elettrica da impianti cogenerativi e non cogenerativi (grafico)" xr:uid="{00000000-0004-0000-0000-000001000000}"/>
    <hyperlink ref="A33" location="'14'!A1" display="14. Quota della produzione elettrica lorda nazionale per fonte (grafico)" xr:uid="{00000000-0004-0000-0000-000002000000}"/>
    <hyperlink ref="A23" location="'4'!A1" display="4.  Produzione elettrica lorda e potenza efficiente lorda per fonte rinnovabile" xr:uid="{00000000-0004-0000-0000-000003000000}"/>
    <hyperlink ref="A21" location="'2'!A1" display="2. Produzione elettrica lorda per fonte" xr:uid="{00000000-0004-0000-0000-000004000000}"/>
    <hyperlink ref="A24" location="'5'!A1" display="5. Fattori di emissione medi nazionali per energia primaria nel combustibile" xr:uid="{00000000-0004-0000-0000-000005000000}"/>
    <hyperlink ref="A29" location="'10'!A1" display="10. Emissioni di anidride carbonica dal settore termoelettrico per combustibile e emissioni evitate con produzione rinnovabile" xr:uid="{00000000-0004-0000-0000-000006000000}"/>
    <hyperlink ref="A34" location="'15'!A1" display="15. Andamento della quota di emissioni da produzione termoelettrica per combustibile (grafico)" xr:uid="{00000000-0004-0000-0000-000007000000}"/>
    <hyperlink ref="A35" location="'16'!A1" display="16. Variazione annuale indicizzata (1990 = 100) della produzione termoelettrica e delle emissioni per combustibile (grafico) " xr:uid="{00000000-0004-0000-0000-000008000000}"/>
    <hyperlink ref="A25" location="'6'!A1" display="6. Fattori di emissioni di anidride carbonica da produzione termoelettrica lorda per categoria di combustibile" xr:uid="{00000000-0004-0000-0000-000009000000}"/>
    <hyperlink ref="A20" location="'1'!A1" display="1. Dati di produzione e consumo di energia elettrica" xr:uid="{00000000-0004-0000-0000-00000A000000}"/>
    <hyperlink ref="A27" location="'8'!A1" display="8. Fattore di emissione nazionale della produzione elettrica, produzione di calore e dei consumi elettrici" xr:uid="{00000000-0004-0000-0000-00000B000000}"/>
    <hyperlink ref="A36" location="'17'!A1" display="17. Andamento del fattore di emissione di anidride carbonica per kWh elettrico prodotto e consumato (grafico)" xr:uid="{00000000-0004-0000-0000-00000C000000}"/>
    <hyperlink ref="A26" location="'7'!A1" display="7. Fattori di emissioni di anidride carbonica da produzione termoelettrica lorda per combustibile" xr:uid="{00000000-0004-0000-0000-00000D000000}"/>
    <hyperlink ref="A31" location="'12'!A1" display="12. Produzione lorda per combustibile/fonte, consumi di energia elettrica e emissioni di CO2 (grafico)" xr:uid="{00000000-0004-0000-0000-00000E000000}"/>
    <hyperlink ref="A30" location="'11'!A1" display="11. Percentuale della produzione termoelettrica lorda per combustibile (grafico)" xr:uid="{00000000-0004-0000-0000-00000F000000}"/>
    <hyperlink ref="A15" r:id="rId1" xr:uid="{00000000-0004-0000-0000-000010000000}"/>
    <hyperlink ref="A42" location="'23'!A1" display="23. Consumi energetici ed efficienza del parco termoelettrico" xr:uid="{00000000-0004-0000-0000-000011000000}"/>
    <hyperlink ref="A19" location="'0'!A1" display="0. Raggruppamento dei combustibili secondo le categorie utilizzate da Terna e da Eurostat" xr:uid="{00000000-0004-0000-0000-000012000000}"/>
    <hyperlink ref="A37" location="'18'!A1" display="18. Fattori di emissione per la produzione elettrica per tipologia di impianto e tipologia di combustibile" xr:uid="{00000000-0004-0000-0000-000013000000}"/>
    <hyperlink ref="A38" location="'19'!A1" display="19. Fattori di emissione per produzione di elettricità e calore da centrali cogenerative per tipologia di impianto e tipologia di combustibile" xr:uid="{00000000-0004-0000-0000-000014000000}"/>
    <hyperlink ref="A28" location="'9'!A1" display="9. Emissioni e fattore di emissione nazionale di GHG e altri contaminanti per la produzione di energia elettrica e calore" xr:uid="{00000000-0004-0000-0000-000015000000}"/>
    <hyperlink ref="A39" location="'20'!A1" display="20. Consumo di energia destinata alla produzione elettrica per tipologia di impianto e tipologia di combustibile" xr:uid="{00000000-0004-0000-0000-000016000000}"/>
    <hyperlink ref="A40" location="'21'!A1" display="21. Consumo di energia delle centrali cogenerative per tipologia di impianto e tipologia di combustibile" xr:uid="{00000000-0004-0000-0000-000017000000}"/>
    <hyperlink ref="A41" location="'22'!A1" display="22. Produzione di calore delle centrali cogenerative per tipologia di impianto e tipologia di combustibile" xr:uid="{00000000-0004-0000-0000-000018000000}"/>
    <hyperlink ref="A43" location="'24'!A1" display="24. Efficienza elettrica e totale per tipologia di impianto e tipologia di combustibile" xr:uid="{00000000-0004-0000-0000-000019000000}"/>
    <hyperlink ref="A17" location="Modulo!A1" display="Modulo di stima delle emissioni di CO2 per la produzione elettrica da mix di energia elettrica consumata." xr:uid="{E8A4EE85-5386-4149-BD0A-2C52636FCCDA}"/>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5">
    <tabColor theme="3" tint="0.59999389629810485"/>
  </sheetPr>
  <dimension ref="A1:B56"/>
  <sheetViews>
    <sheetView showGridLines="0" zoomScaleNormal="100" workbookViewId="0"/>
  </sheetViews>
  <sheetFormatPr defaultRowHeight="14.5"/>
  <sheetData>
    <row r="1" spans="1:2" ht="15.5">
      <c r="A1" s="108" t="s">
        <v>694</v>
      </c>
      <c r="B1" s="546"/>
    </row>
    <row r="56" spans="1:1" ht="17.5">
      <c r="A56" s="8" t="s">
        <v>562</v>
      </c>
    </row>
  </sheetData>
  <sheetProtection sheet="1" objects="1" scenarios="1"/>
  <hyperlinks>
    <hyperlink ref="A1" location="Indice!A1" display="Torna indietro" xr:uid="{A9767D8B-6826-4329-A4EF-C1DEC598C00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9">
    <tabColor theme="3" tint="0.59999389629810485"/>
  </sheetPr>
  <dimension ref="A1:K22"/>
  <sheetViews>
    <sheetView showGridLines="0" workbookViewId="0"/>
  </sheetViews>
  <sheetFormatPr defaultRowHeight="14.5"/>
  <sheetData>
    <row r="1" spans="1:2" ht="15.5">
      <c r="A1" s="108" t="s">
        <v>694</v>
      </c>
      <c r="B1" s="546"/>
    </row>
    <row r="22" spans="1:11" ht="103.5" customHeight="1">
      <c r="A22" s="1103" t="s">
        <v>559</v>
      </c>
      <c r="B22" s="1103"/>
      <c r="C22" s="1103"/>
      <c r="D22" s="1103"/>
      <c r="E22" s="1103"/>
      <c r="F22" s="1103"/>
      <c r="G22" s="1103"/>
      <c r="H22" s="1103"/>
      <c r="I22" s="1103"/>
      <c r="J22" s="1103"/>
      <c r="K22" s="1103"/>
    </row>
  </sheetData>
  <sheetProtection sheet="1" objects="1" scenarios="1"/>
  <mergeCells count="1">
    <mergeCell ref="A22:K22"/>
  </mergeCells>
  <hyperlinks>
    <hyperlink ref="A1" location="Indice!A1" display="Torna indietro" xr:uid="{72B12DC5-DC7B-4361-AE5C-2CFC9959ADE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4"/>
  <dimension ref="A1:P229"/>
  <sheetViews>
    <sheetView zoomScaleNormal="100" workbookViewId="0"/>
  </sheetViews>
  <sheetFormatPr defaultRowHeight="14.5"/>
  <cols>
    <col min="1" max="1" width="41.1796875" customWidth="1"/>
    <col min="2" max="8" width="10.81640625" style="181" customWidth="1"/>
  </cols>
  <sheetData>
    <row r="1" spans="1:8" ht="15.5">
      <c r="A1" s="108" t="s">
        <v>694</v>
      </c>
      <c r="B1" s="546"/>
    </row>
    <row r="2" spans="1:8" ht="33.65" customHeight="1">
      <c r="A2" s="1103" t="s">
        <v>340</v>
      </c>
      <c r="B2" s="1103"/>
      <c r="C2" s="1103"/>
      <c r="D2" s="1103"/>
      <c r="E2" s="1103"/>
      <c r="F2" s="1103"/>
      <c r="G2" s="1103"/>
      <c r="H2" s="1103"/>
    </row>
    <row r="3" spans="1:8">
      <c r="B3" s="1104" t="s">
        <v>10</v>
      </c>
      <c r="C3" s="1104"/>
      <c r="D3" s="1104"/>
      <c r="E3" s="1104"/>
      <c r="F3" s="1104"/>
      <c r="G3" s="1104"/>
      <c r="H3" s="1104"/>
    </row>
    <row r="4" spans="1:8" ht="29">
      <c r="B4" s="251" t="s">
        <v>5</v>
      </c>
      <c r="C4" s="251" t="s">
        <v>63</v>
      </c>
      <c r="D4" s="251" t="s">
        <v>7</v>
      </c>
      <c r="E4" s="251" t="s">
        <v>8</v>
      </c>
      <c r="F4" s="251" t="s">
        <v>243</v>
      </c>
      <c r="G4" s="251" t="s">
        <v>244</v>
      </c>
      <c r="H4" s="251" t="s">
        <v>9</v>
      </c>
    </row>
    <row r="5" spans="1:8">
      <c r="A5" s="253">
        <v>2024</v>
      </c>
      <c r="B5" s="1105" t="s">
        <v>245</v>
      </c>
      <c r="C5" s="1105"/>
      <c r="D5" s="1105"/>
      <c r="E5" s="1105"/>
      <c r="F5" s="1105"/>
      <c r="G5" s="1105"/>
      <c r="H5" s="1105"/>
    </row>
    <row r="6" spans="1:8">
      <c r="A6" s="228" t="s">
        <v>262</v>
      </c>
      <c r="B6" s="249">
        <f>'6-x'!R50</f>
        <v>862.41958107114908</v>
      </c>
      <c r="C6" s="249">
        <f>'6-x'!S50</f>
        <v>391.58292831170434</v>
      </c>
      <c r="D6" s="249">
        <f>'6-x'!T50</f>
        <v>1315.5183771263751</v>
      </c>
      <c r="E6" s="249">
        <f>'6-x'!U50</f>
        <v>665.9443583610406</v>
      </c>
      <c r="F6" s="249">
        <f>'6-x'!V50</f>
        <v>452.7351941115067</v>
      </c>
      <c r="G6" s="249">
        <f>'6-x'!W50</f>
        <v>3.2402605147570593</v>
      </c>
      <c r="H6" s="249">
        <f>'6-x'!X50</f>
        <v>419.47095786567178</v>
      </c>
    </row>
    <row r="7" spans="1:8">
      <c r="A7" s="227" t="s">
        <v>17</v>
      </c>
      <c r="B7" s="288">
        <f>'6-x'!R51</f>
        <v>0</v>
      </c>
      <c r="C7" s="288">
        <f>'6-x'!S51</f>
        <v>483.23860908769853</v>
      </c>
      <c r="D7" s="288">
        <f>'6-x'!T51</f>
        <v>1315.5183771263751</v>
      </c>
      <c r="E7" s="288">
        <f>'6-x'!U51</f>
        <v>633.0140063757201</v>
      </c>
      <c r="F7" s="288">
        <f>'6-x'!V51</f>
        <v>359.83055181295498</v>
      </c>
      <c r="G7" s="288">
        <f>'6-x'!W51</f>
        <v>3.231598142278524</v>
      </c>
      <c r="H7" s="249">
        <f>'6-x'!X51</f>
        <v>195.15750314318328</v>
      </c>
    </row>
    <row r="8" spans="1:8">
      <c r="A8" s="227" t="s">
        <v>18</v>
      </c>
      <c r="B8" s="288">
        <f>'6-x'!R52</f>
        <v>0</v>
      </c>
      <c r="C8" s="288">
        <f>'6-x'!S52</f>
        <v>614.35947892942067</v>
      </c>
      <c r="D8" s="288">
        <f>'6-x'!T52</f>
        <v>0</v>
      </c>
      <c r="E8" s="288">
        <f>'6-x'!U52</f>
        <v>911.17554043062535</v>
      </c>
      <c r="F8" s="288">
        <f>'6-x'!V52</f>
        <v>531.05483843520676</v>
      </c>
      <c r="G8" s="288">
        <f>'6-x'!W52</f>
        <v>3.8820153994544366</v>
      </c>
      <c r="H8" s="249">
        <f>'6-x'!X52</f>
        <v>574.3730680894846</v>
      </c>
    </row>
    <row r="9" spans="1:8">
      <c r="A9" s="227" t="s">
        <v>19</v>
      </c>
      <c r="B9" s="288">
        <f>'6-x'!R53</f>
        <v>862.41958107114908</v>
      </c>
      <c r="C9" s="288">
        <f>'6-x'!S53</f>
        <v>409.19874883006992</v>
      </c>
      <c r="D9" s="288">
        <f>'6-x'!T53</f>
        <v>0</v>
      </c>
      <c r="E9" s="288">
        <f>'6-x'!U53</f>
        <v>675.35585945793196</v>
      </c>
      <c r="F9" s="288">
        <f>'6-x'!V53</f>
        <v>529.40315721377021</v>
      </c>
      <c r="G9" s="288">
        <f>'6-x'!W53</f>
        <v>2.9275280745487846</v>
      </c>
      <c r="H9" s="249">
        <f>'6-x'!X53</f>
        <v>669.12630751882887</v>
      </c>
    </row>
    <row r="10" spans="1:8">
      <c r="A10" s="227" t="s">
        <v>20</v>
      </c>
      <c r="B10" s="288">
        <f>'6-x'!R54</f>
        <v>0</v>
      </c>
      <c r="C10" s="288">
        <f>'6-x'!S54</f>
        <v>388.04450304217613</v>
      </c>
      <c r="D10" s="288">
        <f>'6-x'!T54</f>
        <v>0</v>
      </c>
      <c r="E10" s="288">
        <f>'6-x'!U54</f>
        <v>545.75411882251899</v>
      </c>
      <c r="F10" s="288">
        <f>'6-x'!V54</f>
        <v>300.40935358460797</v>
      </c>
      <c r="G10" s="288">
        <f>'6-x'!W54</f>
        <v>2.9275280745487851</v>
      </c>
      <c r="H10" s="249">
        <f>'6-x'!X54</f>
        <v>385.11703780114459</v>
      </c>
    </row>
    <row r="11" spans="1:8">
      <c r="A11" s="227" t="s">
        <v>22</v>
      </c>
      <c r="B11" s="288">
        <f>'6-x'!R55</f>
        <v>0</v>
      </c>
      <c r="C11" s="288">
        <f>'6-x'!S55</f>
        <v>369.43113035171081</v>
      </c>
      <c r="D11" s="288">
        <f>'6-x'!T55</f>
        <v>0</v>
      </c>
      <c r="E11" s="288">
        <f>'6-x'!U55</f>
        <v>0</v>
      </c>
      <c r="F11" s="288">
        <f>'6-x'!V55</f>
        <v>0</v>
      </c>
      <c r="G11" s="288">
        <f>'6-x'!W55</f>
        <v>0</v>
      </c>
      <c r="H11" s="249">
        <f>'6-x'!X55</f>
        <v>369.43113035171081</v>
      </c>
    </row>
    <row r="12" spans="1:8">
      <c r="A12" s="227" t="s">
        <v>349</v>
      </c>
      <c r="B12" s="288">
        <f>'6-x'!R56</f>
        <v>0</v>
      </c>
      <c r="C12" s="288">
        <f>'6-x'!S56</f>
        <v>0</v>
      </c>
      <c r="D12" s="288">
        <f>'6-x'!T56</f>
        <v>0</v>
      </c>
      <c r="E12" s="288">
        <f>'6-x'!U56</f>
        <v>0</v>
      </c>
      <c r="F12" s="288">
        <f>'6-x'!V56</f>
        <v>0</v>
      </c>
      <c r="G12" s="288">
        <f>'6-x'!W56</f>
        <v>0</v>
      </c>
      <c r="H12" s="249">
        <f>'6-x'!X56</f>
        <v>0</v>
      </c>
    </row>
    <row r="13" spans="1:8">
      <c r="A13" s="228" t="s">
        <v>263</v>
      </c>
      <c r="B13" s="249">
        <f>'6-x'!R57</f>
        <v>0</v>
      </c>
      <c r="C13" s="249">
        <f>'6-x'!S57</f>
        <v>356.70206489582569</v>
      </c>
      <c r="D13" s="249">
        <f>'6-x'!T57</f>
        <v>1302.6731012830433</v>
      </c>
      <c r="E13" s="249">
        <f>'6-x'!U57</f>
        <v>392.3243361862929</v>
      </c>
      <c r="F13" s="249">
        <f>'6-x'!V57</f>
        <v>328.37908292047183</v>
      </c>
      <c r="G13" s="249">
        <f>'6-x'!W57</f>
        <v>2.4219687222175312</v>
      </c>
      <c r="H13" s="249">
        <f>'6-x'!X57</f>
        <v>341.03554420869625</v>
      </c>
    </row>
    <row r="14" spans="1:8">
      <c r="A14" s="227" t="s">
        <v>24</v>
      </c>
      <c r="B14" s="288">
        <f>'6-x'!R58</f>
        <v>0</v>
      </c>
      <c r="C14" s="288">
        <f>'6-x'!S58</f>
        <v>334.92252828430856</v>
      </c>
      <c r="D14" s="288">
        <f>'6-x'!T58</f>
        <v>1113.642128638302</v>
      </c>
      <c r="E14" s="288">
        <f>'6-x'!U58</f>
        <v>462.39153131900662</v>
      </c>
      <c r="F14" s="288">
        <f>'6-x'!V58</f>
        <v>306.1115863729006</v>
      </c>
      <c r="G14" s="288">
        <f>'6-x'!W58</f>
        <v>2.4250807433803914</v>
      </c>
      <c r="H14" s="249">
        <f>'6-x'!X58</f>
        <v>249.74968834059541</v>
      </c>
    </row>
    <row r="15" spans="1:8">
      <c r="A15" s="227" t="s">
        <v>25</v>
      </c>
      <c r="B15" s="288">
        <f>'6-x'!R59</f>
        <v>0</v>
      </c>
      <c r="C15" s="288">
        <f>'6-x'!S59</f>
        <v>310.16378810238803</v>
      </c>
      <c r="D15" s="288">
        <f>'6-x'!T59</f>
        <v>0</v>
      </c>
      <c r="E15" s="288">
        <f>'6-x'!U59</f>
        <v>331.86500762095562</v>
      </c>
      <c r="F15" s="288">
        <f>'6-x'!V59</f>
        <v>411.18997265095697</v>
      </c>
      <c r="G15" s="288">
        <f>'6-x'!W59</f>
        <v>2.5102854040704363</v>
      </c>
      <c r="H15" s="249">
        <f>'6-x'!X59</f>
        <v>310.87630991713769</v>
      </c>
    </row>
    <row r="16" spans="1:8">
      <c r="A16" s="227" t="s">
        <v>26</v>
      </c>
      <c r="B16" s="288">
        <f>'6-x'!R60</f>
        <v>0</v>
      </c>
      <c r="C16" s="288">
        <f>'6-x'!S60</f>
        <v>363.46303307635537</v>
      </c>
      <c r="D16" s="288">
        <f>'6-x'!T60</f>
        <v>1220.4135460902969</v>
      </c>
      <c r="E16" s="288">
        <f>'6-x'!U60</f>
        <v>405.25314923458649</v>
      </c>
      <c r="F16" s="288">
        <f>'6-x'!V60</f>
        <v>235.04996810776302</v>
      </c>
      <c r="G16" s="288">
        <f>'6-x'!W60</f>
        <v>1.817265816549501</v>
      </c>
      <c r="H16" s="249">
        <f>'6-x'!X60</f>
        <v>354.77868320603221</v>
      </c>
    </row>
    <row r="17" spans="1:8">
      <c r="A17" s="227" t="s">
        <v>27</v>
      </c>
      <c r="B17" s="288">
        <f>'6-x'!R61</f>
        <v>0</v>
      </c>
      <c r="C17" s="288">
        <f>'6-x'!S61</f>
        <v>283.04144503913869</v>
      </c>
      <c r="D17" s="288">
        <f>'6-x'!T61</f>
        <v>0</v>
      </c>
      <c r="E17" s="288">
        <f>'6-x'!U61</f>
        <v>323.34379225807675</v>
      </c>
      <c r="F17" s="288">
        <f>'6-x'!V61</f>
        <v>239.06119393125167</v>
      </c>
      <c r="G17" s="288">
        <f>'6-x'!W61</f>
        <v>0</v>
      </c>
      <c r="H17" s="249">
        <f>'6-x'!X61</f>
        <v>263.86235095560528</v>
      </c>
    </row>
    <row r="18" spans="1:8">
      <c r="A18" s="227" t="s">
        <v>28</v>
      </c>
      <c r="B18" s="288">
        <f>'6-x'!R62</f>
        <v>0</v>
      </c>
      <c r="C18" s="288">
        <f>'6-x'!S62</f>
        <v>539.55144773536006</v>
      </c>
      <c r="D18" s="288">
        <f>'6-x'!T62</f>
        <v>1396.1507338743547</v>
      </c>
      <c r="E18" s="288">
        <f>'6-x'!U62</f>
        <v>467.21361443133344</v>
      </c>
      <c r="F18" s="288">
        <f>'6-x'!V62</f>
        <v>482.52687111966742</v>
      </c>
      <c r="G18" s="288">
        <f>'6-x'!W62</f>
        <v>3.5730672022958783</v>
      </c>
      <c r="H18" s="249">
        <f>'6-x'!X62</f>
        <v>568.72053469688649</v>
      </c>
    </row>
    <row r="19" spans="1:8">
      <c r="A19" s="227" t="s">
        <v>351</v>
      </c>
      <c r="B19" s="288">
        <f>'6-x'!R63</f>
        <v>0</v>
      </c>
      <c r="C19" s="288">
        <f>'6-x'!S63</f>
        <v>252.31460758186259</v>
      </c>
      <c r="D19" s="288">
        <f>'6-x'!T63</f>
        <v>0</v>
      </c>
      <c r="E19" s="288">
        <f>'6-x'!U63</f>
        <v>0</v>
      </c>
      <c r="F19" s="288">
        <f>'6-x'!V63</f>
        <v>0</v>
      </c>
      <c r="G19" s="288">
        <f>'6-x'!W63</f>
        <v>0</v>
      </c>
      <c r="H19" s="249">
        <f>'6-x'!X63</f>
        <v>252.31460758186259</v>
      </c>
    </row>
    <row r="20" spans="1:8">
      <c r="A20" s="322" t="s">
        <v>9</v>
      </c>
      <c r="B20" s="324">
        <f>'6-x'!R64</f>
        <v>862.41958107114908</v>
      </c>
      <c r="C20" s="324">
        <f>'6-x'!S64</f>
        <v>370.55877701037059</v>
      </c>
      <c r="D20" s="324">
        <f>'6-x'!T64</f>
        <v>1302.9323884458681</v>
      </c>
      <c r="E20" s="324">
        <f>'6-x'!U64</f>
        <v>476.58624435857377</v>
      </c>
      <c r="F20" s="324">
        <f>'6-x'!V64</f>
        <v>372.13532298557038</v>
      </c>
      <c r="G20" s="324">
        <f>'6-x'!W64</f>
        <v>2.6451962888414595</v>
      </c>
      <c r="H20" s="324">
        <f>'6-x'!X64</f>
        <v>370.69270033579744</v>
      </c>
    </row>
    <row r="21" spans="1:8" ht="15.5">
      <c r="A21" s="314"/>
      <c r="B21" s="314"/>
      <c r="C21" s="314"/>
      <c r="D21" s="314"/>
      <c r="E21" s="314"/>
      <c r="F21" s="314"/>
      <c r="G21" s="314"/>
      <c r="H21" s="314"/>
    </row>
    <row r="22" spans="1:8" ht="15.5">
      <c r="A22" s="314"/>
      <c r="B22" s="314"/>
      <c r="C22" s="314"/>
      <c r="D22" s="314"/>
      <c r="E22" s="314"/>
      <c r="F22" s="314"/>
      <c r="G22" s="314"/>
      <c r="H22" s="314"/>
    </row>
    <row r="23" spans="1:8">
      <c r="B23" s="1104" t="s">
        <v>10</v>
      </c>
      <c r="C23" s="1104"/>
      <c r="D23" s="1104"/>
      <c r="E23" s="1104"/>
      <c r="F23" s="1104"/>
      <c r="G23" s="1104"/>
      <c r="H23" s="1104"/>
    </row>
    <row r="24" spans="1:8" ht="29">
      <c r="B24" s="251" t="s">
        <v>5</v>
      </c>
      <c r="C24" s="251" t="s">
        <v>63</v>
      </c>
      <c r="D24" s="251" t="s">
        <v>7</v>
      </c>
      <c r="E24" s="251" t="s">
        <v>8</v>
      </c>
      <c r="F24" s="251" t="s">
        <v>243</v>
      </c>
      <c r="G24" s="251" t="s">
        <v>244</v>
      </c>
      <c r="H24" s="251" t="s">
        <v>9</v>
      </c>
    </row>
    <row r="25" spans="1:8">
      <c r="A25" s="253">
        <v>2023</v>
      </c>
      <c r="B25" s="1105" t="s">
        <v>245</v>
      </c>
      <c r="C25" s="1105"/>
      <c r="D25" s="1105"/>
      <c r="E25" s="1105"/>
      <c r="F25" s="1105"/>
      <c r="G25" s="1105"/>
      <c r="H25" s="1105"/>
    </row>
    <row r="26" spans="1:8">
      <c r="A26" s="228" t="s">
        <v>262</v>
      </c>
      <c r="B26" s="249">
        <f>'6-x'!R144</f>
        <v>917.120537219472</v>
      </c>
      <c r="C26" s="249">
        <f>'6-x'!S144</f>
        <v>394.73506738288171</v>
      </c>
      <c r="D26" s="249">
        <f>'6-x'!T144</f>
        <v>1529.354887822853</v>
      </c>
      <c r="E26" s="249">
        <f>'6-x'!U144</f>
        <v>684.56187752710548</v>
      </c>
      <c r="F26" s="249">
        <f>'6-x'!V144</f>
        <v>532.53849153093108</v>
      </c>
      <c r="G26" s="249">
        <f>'6-x'!W144</f>
        <v>3.2920437383900865</v>
      </c>
      <c r="H26" s="249">
        <f>'6-x'!X144</f>
        <v>506.92499696892145</v>
      </c>
    </row>
    <row r="27" spans="1:8">
      <c r="A27" s="227" t="s">
        <v>17</v>
      </c>
      <c r="B27" s="288">
        <f>'6-x'!R145</f>
        <v>0</v>
      </c>
      <c r="C27" s="288">
        <f>'6-x'!S145</f>
        <v>513.22243493341352</v>
      </c>
      <c r="D27" s="288">
        <f>'6-x'!T145</f>
        <v>1529.354887822853</v>
      </c>
      <c r="E27" s="288">
        <f>'6-x'!U145</f>
        <v>665.52029220862323</v>
      </c>
      <c r="F27" s="288">
        <f>'6-x'!V145</f>
        <v>402.84081510729573</v>
      </c>
      <c r="G27" s="288">
        <f>'6-x'!W145</f>
        <v>3.2849495622125859</v>
      </c>
      <c r="H27" s="249">
        <f>'6-x'!X145</f>
        <v>189.01024809318386</v>
      </c>
    </row>
    <row r="28" spans="1:8">
      <c r="A28" s="227" t="s">
        <v>18</v>
      </c>
      <c r="B28" s="288">
        <f>'6-x'!R146</f>
        <v>0</v>
      </c>
      <c r="C28" s="288">
        <f>'6-x'!S146</f>
        <v>630.39677719612985</v>
      </c>
      <c r="D28" s="288">
        <f>'6-x'!T146</f>
        <v>0</v>
      </c>
      <c r="E28" s="288">
        <f>'6-x'!U146</f>
        <v>983.8397726776966</v>
      </c>
      <c r="F28" s="288">
        <f>'6-x'!V146</f>
        <v>597.60418373331083</v>
      </c>
      <c r="G28" s="288">
        <f>'6-x'!W146</f>
        <v>3.8371480220484631</v>
      </c>
      <c r="H28" s="249">
        <f>'6-x'!X146</f>
        <v>551.76996480179184</v>
      </c>
    </row>
    <row r="29" spans="1:8">
      <c r="A29" s="227" t="s">
        <v>19</v>
      </c>
      <c r="B29" s="288">
        <f>'6-x'!R147</f>
        <v>917.120537219472</v>
      </c>
      <c r="C29" s="288">
        <f>'6-x'!S147</f>
        <v>445.48749428230309</v>
      </c>
      <c r="D29" s="288">
        <f>'6-x'!T147</f>
        <v>0</v>
      </c>
      <c r="E29" s="288">
        <f>'6-x'!U147</f>
        <v>686.20932278218572</v>
      </c>
      <c r="F29" s="288">
        <f>'6-x'!V147</f>
        <v>630.43957844393242</v>
      </c>
      <c r="G29" s="288">
        <f>'6-x'!W147</f>
        <v>2.990908866090594</v>
      </c>
      <c r="H29" s="249">
        <f>'6-x'!X147</f>
        <v>824.78753755842081</v>
      </c>
    </row>
    <row r="30" spans="1:8">
      <c r="A30" s="227" t="s">
        <v>20</v>
      </c>
      <c r="B30" s="288">
        <f>'6-x'!R148</f>
        <v>0</v>
      </c>
      <c r="C30" s="288">
        <f>'6-x'!S148</f>
        <v>391.37059239846138</v>
      </c>
      <c r="D30" s="288">
        <f>'6-x'!T148</f>
        <v>0</v>
      </c>
      <c r="E30" s="288">
        <f>'6-x'!U148</f>
        <v>587.97114069631016</v>
      </c>
      <c r="F30" s="288">
        <f>'6-x'!V148</f>
        <v>351.51864337466696</v>
      </c>
      <c r="G30" s="288">
        <f>'6-x'!W148</f>
        <v>2.9909088660905936</v>
      </c>
      <c r="H30" s="249">
        <f>'6-x'!X148</f>
        <v>389.94441507767857</v>
      </c>
    </row>
    <row r="31" spans="1:8">
      <c r="A31" s="227" t="s">
        <v>22</v>
      </c>
      <c r="B31" s="288">
        <f>'6-x'!R149</f>
        <v>0</v>
      </c>
      <c r="C31" s="288">
        <f>'6-x'!S149</f>
        <v>0</v>
      </c>
      <c r="D31" s="288">
        <f>'6-x'!T149</f>
        <v>0</v>
      </c>
      <c r="E31" s="288">
        <f>'6-x'!U149</f>
        <v>0</v>
      </c>
      <c r="F31" s="288">
        <f>'6-x'!V149</f>
        <v>0</v>
      </c>
      <c r="G31" s="288">
        <f>'6-x'!W149</f>
        <v>0</v>
      </c>
      <c r="H31" s="249">
        <f>'6-x'!X149</f>
        <v>0</v>
      </c>
    </row>
    <row r="32" spans="1:8">
      <c r="A32" s="227" t="s">
        <v>349</v>
      </c>
      <c r="B32" s="288">
        <f>'6-x'!R150</f>
        <v>0</v>
      </c>
      <c r="C32" s="288">
        <f>'6-x'!S150</f>
        <v>0</v>
      </c>
      <c r="D32" s="288">
        <f>'6-x'!T150</f>
        <v>0</v>
      </c>
      <c r="E32" s="288">
        <f>'6-x'!U150</f>
        <v>0</v>
      </c>
      <c r="F32" s="288">
        <f>'6-x'!V150</f>
        <v>0</v>
      </c>
      <c r="G32" s="288">
        <f>'6-x'!W150</f>
        <v>0</v>
      </c>
      <c r="H32" s="249">
        <f>'6-x'!X150</f>
        <v>0</v>
      </c>
    </row>
    <row r="33" spans="1:8">
      <c r="A33" s="228" t="s">
        <v>263</v>
      </c>
      <c r="B33" s="249">
        <f>'6-x'!R151</f>
        <v>0</v>
      </c>
      <c r="C33" s="249">
        <f>'6-x'!S151</f>
        <v>358.96286584195627</v>
      </c>
      <c r="D33" s="249">
        <f>'6-x'!T151</f>
        <v>1361.2521511382859</v>
      </c>
      <c r="E33" s="249">
        <f>'6-x'!U151</f>
        <v>444.12887131252222</v>
      </c>
      <c r="F33" s="249">
        <f>'6-x'!V151</f>
        <v>375.40462646330883</v>
      </c>
      <c r="G33" s="249">
        <f>'6-x'!W151</f>
        <v>2.4827667559065212</v>
      </c>
      <c r="H33" s="249">
        <f>'6-x'!X151</f>
        <v>354.7962819432185</v>
      </c>
    </row>
    <row r="34" spans="1:8">
      <c r="A34" s="227" t="s">
        <v>24</v>
      </c>
      <c r="B34" s="288">
        <f>'6-x'!R152</f>
        <v>0</v>
      </c>
      <c r="C34" s="288">
        <f>'6-x'!S152</f>
        <v>332.87223456341144</v>
      </c>
      <c r="D34" s="288">
        <f>'6-x'!T152</f>
        <v>1122.3386772313568</v>
      </c>
      <c r="E34" s="288">
        <f>'6-x'!U152</f>
        <v>413.50290636287929</v>
      </c>
      <c r="F34" s="288">
        <f>'6-x'!V152</f>
        <v>349.4495637079703</v>
      </c>
      <c r="G34" s="288">
        <f>'6-x'!W152</f>
        <v>2.482235074268254</v>
      </c>
      <c r="H34" s="249">
        <f>'6-x'!X152</f>
        <v>246.63453148952672</v>
      </c>
    </row>
    <row r="35" spans="1:8">
      <c r="A35" s="227" t="s">
        <v>25</v>
      </c>
      <c r="B35" s="288">
        <f>'6-x'!R153</f>
        <v>0</v>
      </c>
      <c r="C35" s="288">
        <f>'6-x'!S153</f>
        <v>316.53058804268903</v>
      </c>
      <c r="D35" s="288">
        <f>'6-x'!T153</f>
        <v>0</v>
      </c>
      <c r="E35" s="288">
        <f>'6-x'!U153</f>
        <v>348.79761611267719</v>
      </c>
      <c r="F35" s="288">
        <f>'6-x'!V153</f>
        <v>481.6907424055417</v>
      </c>
      <c r="G35" s="288">
        <f>'6-x'!W153</f>
        <v>2.5579879315742584</v>
      </c>
      <c r="H35" s="249">
        <f>'6-x'!X153</f>
        <v>317.94263522202516</v>
      </c>
    </row>
    <row r="36" spans="1:8">
      <c r="A36" s="227" t="s">
        <v>26</v>
      </c>
      <c r="B36" s="288">
        <f>'6-x'!R154</f>
        <v>0</v>
      </c>
      <c r="C36" s="288">
        <f>'6-x'!S154</f>
        <v>366.02919851850061</v>
      </c>
      <c r="D36" s="288">
        <f>'6-x'!T154</f>
        <v>1330.636163545234</v>
      </c>
      <c r="E36" s="288">
        <f>'6-x'!U154</f>
        <v>465.71146673643278</v>
      </c>
      <c r="F36" s="288">
        <f>'6-x'!V154</f>
        <v>277.25667533735719</v>
      </c>
      <c r="G36" s="288">
        <f>'6-x'!W154</f>
        <v>2.5084827748260365</v>
      </c>
      <c r="H36" s="249">
        <f>'6-x'!X154</f>
        <v>367.94573955843697</v>
      </c>
    </row>
    <row r="37" spans="1:8">
      <c r="A37" s="227" t="s">
        <v>27</v>
      </c>
      <c r="B37" s="288">
        <f>'6-x'!R155</f>
        <v>0</v>
      </c>
      <c r="C37" s="288">
        <f>'6-x'!S155</f>
        <v>283.6104595444221</v>
      </c>
      <c r="D37" s="288">
        <f>'6-x'!T155</f>
        <v>0</v>
      </c>
      <c r="E37" s="288">
        <f>'6-x'!U155</f>
        <v>341.09129935541063</v>
      </c>
      <c r="F37" s="288">
        <f>'6-x'!V155</f>
        <v>302.13061133047182</v>
      </c>
      <c r="G37" s="288">
        <f>'6-x'!W155</f>
        <v>0</v>
      </c>
      <c r="H37" s="249">
        <f>'6-x'!X155</f>
        <v>301.18256378325242</v>
      </c>
    </row>
    <row r="38" spans="1:8">
      <c r="A38" s="227" t="s">
        <v>28</v>
      </c>
      <c r="B38" s="288">
        <f>'6-x'!R156</f>
        <v>0</v>
      </c>
      <c r="C38" s="288">
        <f>'6-x'!S156</f>
        <v>533.47186649169998</v>
      </c>
      <c r="D38" s="288">
        <f>'6-x'!T156</f>
        <v>1481.7857814394035</v>
      </c>
      <c r="E38" s="288">
        <f>'6-x'!U156</f>
        <v>474.11204626462427</v>
      </c>
      <c r="F38" s="288">
        <f>'6-x'!V156</f>
        <v>555.00813059501149</v>
      </c>
      <c r="G38" s="288">
        <f>'6-x'!W156</f>
        <v>3.6401241431780207</v>
      </c>
      <c r="H38" s="249">
        <f>'6-x'!X156</f>
        <v>624.63186043083158</v>
      </c>
    </row>
    <row r="39" spans="1:8">
      <c r="A39" s="227" t="s">
        <v>351</v>
      </c>
      <c r="B39" s="288">
        <f>'6-x'!R157</f>
        <v>0</v>
      </c>
      <c r="C39" s="288">
        <f>'6-x'!S157</f>
        <v>378.04859795222029</v>
      </c>
      <c r="D39" s="288">
        <f>'6-x'!T157</f>
        <v>0</v>
      </c>
      <c r="E39" s="288">
        <f>'6-x'!U157</f>
        <v>0</v>
      </c>
      <c r="F39" s="288">
        <f>'6-x'!V157</f>
        <v>0</v>
      </c>
      <c r="G39" s="288">
        <f>'6-x'!W157</f>
        <v>0</v>
      </c>
      <c r="H39" s="249">
        <f>'6-x'!X157</f>
        <v>378.04859795222029</v>
      </c>
    </row>
    <row r="40" spans="1:8">
      <c r="A40" s="322" t="s">
        <v>9</v>
      </c>
      <c r="B40" s="324">
        <f>'6-x'!R158</f>
        <v>917.120537219472</v>
      </c>
      <c r="C40" s="324">
        <f>'6-x'!S158</f>
        <v>371.8890390980207</v>
      </c>
      <c r="D40" s="324">
        <f>'6-x'!T158</f>
        <v>1363.7281215266648</v>
      </c>
      <c r="E40" s="324">
        <f>'6-x'!U158</f>
        <v>553.83041283508703</v>
      </c>
      <c r="F40" s="324">
        <f>'6-x'!V158</f>
        <v>426.60290281526733</v>
      </c>
      <c r="G40" s="324">
        <f>'6-x'!W158</f>
        <v>2.7087886802915686</v>
      </c>
      <c r="H40" s="324">
        <f>'6-x'!X158</f>
        <v>414.90326891827493</v>
      </c>
    </row>
    <row r="41" spans="1:8" ht="15.5">
      <c r="A41" s="314"/>
      <c r="B41" s="314"/>
      <c r="C41" s="314"/>
      <c r="D41" s="314"/>
      <c r="E41" s="314"/>
      <c r="F41" s="314"/>
      <c r="G41" s="314"/>
      <c r="H41" s="314"/>
    </row>
    <row r="42" spans="1:8" ht="15.5">
      <c r="A42" s="314"/>
      <c r="B42" s="314"/>
      <c r="C42" s="314"/>
      <c r="D42" s="314"/>
      <c r="E42" s="314"/>
      <c r="F42" s="314"/>
      <c r="G42" s="314"/>
      <c r="H42" s="314"/>
    </row>
    <row r="43" spans="1:8">
      <c r="B43" s="1104" t="s">
        <v>10</v>
      </c>
      <c r="C43" s="1104"/>
      <c r="D43" s="1104"/>
      <c r="E43" s="1104"/>
      <c r="F43" s="1104"/>
      <c r="G43" s="1104"/>
      <c r="H43" s="1104"/>
    </row>
    <row r="44" spans="1:8" ht="29">
      <c r="B44" s="251" t="s">
        <v>5</v>
      </c>
      <c r="C44" s="251" t="s">
        <v>63</v>
      </c>
      <c r="D44" s="251" t="s">
        <v>7</v>
      </c>
      <c r="E44" s="251" t="s">
        <v>8</v>
      </c>
      <c r="F44" s="251" t="s">
        <v>243</v>
      </c>
      <c r="G44" s="251" t="s">
        <v>244</v>
      </c>
      <c r="H44" s="251" t="s">
        <v>9</v>
      </c>
    </row>
    <row r="45" spans="1:8">
      <c r="A45" s="253">
        <v>2022</v>
      </c>
      <c r="B45" s="1105" t="s">
        <v>245</v>
      </c>
      <c r="C45" s="1105"/>
      <c r="D45" s="1105"/>
      <c r="E45" s="1105"/>
      <c r="F45" s="1105"/>
      <c r="G45" s="1105"/>
      <c r="H45" s="1105"/>
    </row>
    <row r="46" spans="1:8">
      <c r="A46" s="228" t="s">
        <v>262</v>
      </c>
      <c r="B46" s="249">
        <f>'6-x'!R236</f>
        <v>932.31144919788414</v>
      </c>
      <c r="C46" s="249">
        <f>'6-x'!S236</f>
        <v>389.93889649639743</v>
      </c>
      <c r="D46" s="249">
        <f>'6-x'!T236</f>
        <v>1575.7027808719379</v>
      </c>
      <c r="E46" s="249">
        <f>'6-x'!U236</f>
        <v>697.36596169473421</v>
      </c>
      <c r="F46" s="249">
        <f>'6-x'!V236</f>
        <v>490.13242032486608</v>
      </c>
      <c r="G46" s="249">
        <f>'6-x'!W236</f>
        <v>4.5007791841101108</v>
      </c>
      <c r="H46" s="249">
        <f>'6-x'!X236</f>
        <v>528.23191382010691</v>
      </c>
    </row>
    <row r="47" spans="1:8">
      <c r="A47" s="227" t="s">
        <v>17</v>
      </c>
      <c r="B47" s="288">
        <f>'6-x'!R237</f>
        <v>0</v>
      </c>
      <c r="C47" s="288">
        <f>'6-x'!S237</f>
        <v>571.34680126040712</v>
      </c>
      <c r="D47" s="288">
        <f>'6-x'!T237</f>
        <v>1575.7027808719379</v>
      </c>
      <c r="E47" s="288">
        <f>'6-x'!U237</f>
        <v>672.03975944608032</v>
      </c>
      <c r="F47" s="288">
        <f>'6-x'!V237</f>
        <v>375.30004427357449</v>
      </c>
      <c r="G47" s="288">
        <f>'6-x'!W237</f>
        <v>4.4968533025789856</v>
      </c>
      <c r="H47" s="249">
        <f>'6-x'!X237</f>
        <v>168.54815845693514</v>
      </c>
    </row>
    <row r="48" spans="1:8">
      <c r="A48" s="227" t="s">
        <v>18</v>
      </c>
      <c r="B48" s="288">
        <f>'6-x'!R238</f>
        <v>0</v>
      </c>
      <c r="C48" s="288">
        <f>'6-x'!S238</f>
        <v>636.63011112908111</v>
      </c>
      <c r="D48" s="288">
        <f>'6-x'!T238</f>
        <v>0</v>
      </c>
      <c r="E48" s="288">
        <f>'6-x'!U238</f>
        <v>1080.6637447846965</v>
      </c>
      <c r="F48" s="288">
        <f>'6-x'!V238</f>
        <v>580.19589512669597</v>
      </c>
      <c r="G48" s="288">
        <f>'6-x'!W238</f>
        <v>4.9290949197739824</v>
      </c>
      <c r="H48" s="249">
        <f>'6-x'!X238</f>
        <v>555.96139247760402</v>
      </c>
    </row>
    <row r="49" spans="1:8">
      <c r="A49" s="227" t="s">
        <v>19</v>
      </c>
      <c r="B49" s="288">
        <f>'6-x'!R239</f>
        <v>932.31144919788414</v>
      </c>
      <c r="C49" s="288">
        <f>'6-x'!S239</f>
        <v>347.03853350766195</v>
      </c>
      <c r="D49" s="288">
        <f>'6-x'!T239</f>
        <v>0</v>
      </c>
      <c r="E49" s="288">
        <f>'6-x'!U239</f>
        <v>698.47346505331291</v>
      </c>
      <c r="F49" s="288">
        <f>'6-x'!V239</f>
        <v>579.38281635346948</v>
      </c>
      <c r="G49" s="288">
        <f>'6-x'!W239</f>
        <v>4.1139977821075258</v>
      </c>
      <c r="H49" s="249">
        <f>'6-x'!X239</f>
        <v>808.92155934963432</v>
      </c>
    </row>
    <row r="50" spans="1:8">
      <c r="A50" s="227" t="s">
        <v>20</v>
      </c>
      <c r="B50" s="288">
        <f>'6-x'!R240</f>
        <v>0</v>
      </c>
      <c r="C50" s="288">
        <f>'6-x'!S240</f>
        <v>391.22849957400268</v>
      </c>
      <c r="D50" s="288">
        <f>'6-x'!T240</f>
        <v>0</v>
      </c>
      <c r="E50" s="288">
        <f>'6-x'!U240</f>
        <v>589.1952504518307</v>
      </c>
      <c r="F50" s="288">
        <f>'6-x'!V240</f>
        <v>330.96585432289919</v>
      </c>
      <c r="G50" s="288">
        <f>'6-x'!W240</f>
        <v>4.078657272525545</v>
      </c>
      <c r="H50" s="249">
        <f>'6-x'!X240</f>
        <v>389.46576532907324</v>
      </c>
    </row>
    <row r="51" spans="1:8">
      <c r="A51" s="227" t="s">
        <v>22</v>
      </c>
      <c r="B51" s="288">
        <f>'6-x'!R241</f>
        <v>0</v>
      </c>
      <c r="C51" s="288">
        <f>'6-x'!S241</f>
        <v>0</v>
      </c>
      <c r="D51" s="288">
        <f>'6-x'!T241</f>
        <v>0</v>
      </c>
      <c r="E51" s="288">
        <f>'6-x'!U241</f>
        <v>0</v>
      </c>
      <c r="F51" s="288">
        <f>'6-x'!V241</f>
        <v>0</v>
      </c>
      <c r="G51" s="288">
        <f>'6-x'!W241</f>
        <v>0</v>
      </c>
      <c r="H51" s="249">
        <f>'6-x'!X241</f>
        <v>0</v>
      </c>
    </row>
    <row r="52" spans="1:8">
      <c r="A52" s="227" t="s">
        <v>349</v>
      </c>
      <c r="B52" s="288">
        <f>'6-x'!R242</f>
        <v>0</v>
      </c>
      <c r="C52" s="288">
        <f>'6-x'!S242</f>
        <v>0</v>
      </c>
      <c r="D52" s="288">
        <f>'6-x'!T242</f>
        <v>0</v>
      </c>
      <c r="E52" s="288">
        <f>'6-x'!U242</f>
        <v>0</v>
      </c>
      <c r="F52" s="288">
        <f>'6-x'!V242</f>
        <v>0</v>
      </c>
      <c r="G52" s="288">
        <f>'6-x'!W242</f>
        <v>0</v>
      </c>
      <c r="H52" s="249">
        <f>'6-x'!X242</f>
        <v>0</v>
      </c>
    </row>
    <row r="53" spans="1:8">
      <c r="A53" s="228" t="s">
        <v>263</v>
      </c>
      <c r="B53" s="249">
        <f>'6-x'!R243</f>
        <v>0</v>
      </c>
      <c r="C53" s="249">
        <f>'6-x'!S243</f>
        <v>355.26044254316969</v>
      </c>
      <c r="D53" s="249">
        <f>'6-x'!T243</f>
        <v>1585.689437343088</v>
      </c>
      <c r="E53" s="249">
        <f>'6-x'!U243</f>
        <v>432.49081155363177</v>
      </c>
      <c r="F53" s="249">
        <f>'6-x'!V243</f>
        <v>342.69948405712813</v>
      </c>
      <c r="G53" s="249">
        <f>'6-x'!W243</f>
        <v>3.3618281100046463</v>
      </c>
      <c r="H53" s="249">
        <f>'6-x'!X243</f>
        <v>355.72730795266983</v>
      </c>
    </row>
    <row r="54" spans="1:8">
      <c r="A54" s="227" t="s">
        <v>24</v>
      </c>
      <c r="B54" s="288">
        <f>'6-x'!R244</f>
        <v>0</v>
      </c>
      <c r="C54" s="288">
        <f>'6-x'!S244</f>
        <v>332.2496248641267</v>
      </c>
      <c r="D54" s="288">
        <f>'6-x'!T244</f>
        <v>1298.631006854599</v>
      </c>
      <c r="E54" s="288">
        <f>'6-x'!U244</f>
        <v>425.13619286270529</v>
      </c>
      <c r="F54" s="288">
        <f>'6-x'!V244</f>
        <v>334.26096303544938</v>
      </c>
      <c r="G54" s="288">
        <f>'6-x'!W244</f>
        <v>3.3605199944814439</v>
      </c>
      <c r="H54" s="249">
        <f>'6-x'!X244</f>
        <v>245.08591979720896</v>
      </c>
    </row>
    <row r="55" spans="1:8">
      <c r="A55" s="227" t="s">
        <v>25</v>
      </c>
      <c r="B55" s="288">
        <f>'6-x'!R245</f>
        <v>0</v>
      </c>
      <c r="C55" s="288">
        <f>'6-x'!S245</f>
        <v>317.10719649206055</v>
      </c>
      <c r="D55" s="288">
        <f>'6-x'!T245</f>
        <v>0</v>
      </c>
      <c r="E55" s="288">
        <f>'6-x'!U245</f>
        <v>367.66237182392314</v>
      </c>
      <c r="F55" s="288">
        <f>'6-x'!V245</f>
        <v>427.08032404222064</v>
      </c>
      <c r="G55" s="288">
        <f>'6-x'!W245</f>
        <v>2.8295061838393716</v>
      </c>
      <c r="H55" s="249">
        <f>'6-x'!X245</f>
        <v>321.02437971787703</v>
      </c>
    </row>
    <row r="56" spans="1:8">
      <c r="A56" s="227" t="s">
        <v>26</v>
      </c>
      <c r="B56" s="288">
        <f>'6-x'!R246</f>
        <v>0</v>
      </c>
      <c r="C56" s="288">
        <f>'6-x'!S246</f>
        <v>361.29716255840128</v>
      </c>
      <c r="D56" s="288">
        <f>'6-x'!T246</f>
        <v>1508.853717934421</v>
      </c>
      <c r="E56" s="288">
        <f>'6-x'!U246</f>
        <v>462.90875342210217</v>
      </c>
      <c r="F56" s="288">
        <f>'6-x'!V246</f>
        <v>253.72337086636537</v>
      </c>
      <c r="G56" s="288">
        <f>'6-x'!W246</f>
        <v>3.5168337868632831</v>
      </c>
      <c r="H56" s="249">
        <f>'6-x'!X246</f>
        <v>362.69262835028343</v>
      </c>
    </row>
    <row r="57" spans="1:8">
      <c r="A57" s="227" t="s">
        <v>27</v>
      </c>
      <c r="B57" s="288">
        <f>'6-x'!R247</f>
        <v>0</v>
      </c>
      <c r="C57" s="288">
        <f>'6-x'!S247</f>
        <v>279.04490572025247</v>
      </c>
      <c r="D57" s="288">
        <f>'6-x'!T247</f>
        <v>0</v>
      </c>
      <c r="E57" s="288">
        <f>'6-x'!U247</f>
        <v>358.23694864493672</v>
      </c>
      <c r="F57" s="288">
        <f>'6-x'!V247</f>
        <v>243.70966386978421</v>
      </c>
      <c r="G57" s="288">
        <f>'6-x'!W247</f>
        <v>0</v>
      </c>
      <c r="H57" s="249">
        <f>'6-x'!X247</f>
        <v>271.77255864383812</v>
      </c>
    </row>
    <row r="58" spans="1:8">
      <c r="A58" s="227" t="s">
        <v>28</v>
      </c>
      <c r="B58" s="288">
        <f>'6-x'!R248</f>
        <v>0</v>
      </c>
      <c r="C58" s="288">
        <f>'6-x'!S248</f>
        <v>521.97187917561587</v>
      </c>
      <c r="D58" s="288">
        <f>'6-x'!T248</f>
        <v>1715.2062201073343</v>
      </c>
      <c r="E58" s="288">
        <f>'6-x'!U248</f>
        <v>449.65646669676039</v>
      </c>
      <c r="F58" s="288">
        <f>'6-x'!V248</f>
        <v>524.77815768835171</v>
      </c>
      <c r="G58" s="288">
        <f>'6-x'!W248</f>
        <v>5.1134998864389347</v>
      </c>
      <c r="H58" s="249">
        <f>'6-x'!X248</f>
        <v>672.6230529950036</v>
      </c>
    </row>
    <row r="59" spans="1:8">
      <c r="A59" s="227" t="s">
        <v>351</v>
      </c>
      <c r="B59" s="288">
        <f>'6-x'!R249</f>
        <v>0</v>
      </c>
      <c r="C59" s="288">
        <f>'6-x'!S249</f>
        <v>422.92743523225761</v>
      </c>
      <c r="D59" s="288">
        <f>'6-x'!T249</f>
        <v>0</v>
      </c>
      <c r="E59" s="288">
        <f>'6-x'!U249</f>
        <v>0</v>
      </c>
      <c r="F59" s="288">
        <f>'6-x'!V249</f>
        <v>0</v>
      </c>
      <c r="G59" s="288">
        <f>'6-x'!W249</f>
        <v>0</v>
      </c>
      <c r="H59" s="249">
        <f>'6-x'!X249</f>
        <v>384.47948657477963</v>
      </c>
    </row>
    <row r="60" spans="1:8">
      <c r="A60" s="322" t="s">
        <v>9</v>
      </c>
      <c r="B60" s="324">
        <f>'6-x'!R250</f>
        <v>932.31062438875733</v>
      </c>
      <c r="C60" s="324">
        <f>'6-x'!S250</f>
        <v>369.60010461064593</v>
      </c>
      <c r="D60" s="324">
        <f>'6-x'!T250</f>
        <v>1585.5805471198173</v>
      </c>
      <c r="E60" s="324">
        <f>'6-x'!U250</f>
        <v>578.84442979447294</v>
      </c>
      <c r="F60" s="324">
        <f>'6-x'!V250</f>
        <v>392.80082923669403</v>
      </c>
      <c r="G60" s="324">
        <f>'6-x'!W250</f>
        <v>3.711948249148163</v>
      </c>
      <c r="H60" s="324">
        <f>'6-x'!X250</f>
        <v>435.08345083062119</v>
      </c>
    </row>
    <row r="61" spans="1:8" ht="15.5">
      <c r="A61" s="314"/>
      <c r="B61" s="314"/>
      <c r="C61" s="314"/>
      <c r="D61" s="314"/>
      <c r="E61" s="314"/>
      <c r="F61" s="314"/>
      <c r="G61" s="314"/>
      <c r="H61" s="314"/>
    </row>
    <row r="62" spans="1:8" ht="15.5">
      <c r="A62" s="314"/>
      <c r="B62" s="314"/>
      <c r="C62" s="314"/>
      <c r="D62" s="314"/>
      <c r="E62" s="314"/>
      <c r="F62" s="314"/>
      <c r="G62" s="314"/>
      <c r="H62" s="314"/>
    </row>
    <row r="63" spans="1:8">
      <c r="B63" s="1104" t="s">
        <v>10</v>
      </c>
      <c r="C63" s="1104"/>
      <c r="D63" s="1104"/>
      <c r="E63" s="1104"/>
      <c r="F63" s="1104"/>
      <c r="G63" s="1104"/>
      <c r="H63" s="1104"/>
    </row>
    <row r="64" spans="1:8" ht="29">
      <c r="B64" s="251" t="s">
        <v>5</v>
      </c>
      <c r="C64" s="251" t="s">
        <v>63</v>
      </c>
      <c r="D64" s="251" t="s">
        <v>7</v>
      </c>
      <c r="E64" s="251" t="s">
        <v>8</v>
      </c>
      <c r="F64" s="251" t="s">
        <v>243</v>
      </c>
      <c r="G64" s="251" t="s">
        <v>244</v>
      </c>
      <c r="H64" s="251" t="s">
        <v>9</v>
      </c>
    </row>
    <row r="65" spans="1:8">
      <c r="A65" s="253">
        <v>2021</v>
      </c>
      <c r="B65" s="1105" t="s">
        <v>245</v>
      </c>
      <c r="C65" s="1105"/>
      <c r="D65" s="1105"/>
      <c r="E65" s="1105"/>
      <c r="F65" s="1105"/>
      <c r="G65" s="1105"/>
      <c r="H65" s="1105"/>
    </row>
    <row r="66" spans="1:8">
      <c r="A66" s="228" t="s">
        <v>262</v>
      </c>
      <c r="B66" s="249">
        <f>'6-x'!R328</f>
        <v>934.77437927126357</v>
      </c>
      <c r="C66" s="249">
        <f>'6-x'!S328</f>
        <v>395.57126085849922</v>
      </c>
      <c r="D66" s="249">
        <f>'6-x'!T328</f>
        <v>1638.6040388191659</v>
      </c>
      <c r="E66" s="249">
        <f>'6-x'!U328</f>
        <v>727.83454235718477</v>
      </c>
      <c r="F66" s="249">
        <f>'6-x'!V328</f>
        <v>370.27910133097527</v>
      </c>
      <c r="G66" s="249">
        <f>'6-x'!W328</f>
        <v>7.0138113195925982</v>
      </c>
      <c r="H66" s="249">
        <f>'6-x'!X328</f>
        <v>476.3296010708641</v>
      </c>
    </row>
    <row r="67" spans="1:8">
      <c r="A67" s="227" t="s">
        <v>17</v>
      </c>
      <c r="B67" s="288">
        <f>'6-x'!R329</f>
        <v>0</v>
      </c>
      <c r="C67" s="288">
        <f>'6-x'!S329</f>
        <v>556.19971951947366</v>
      </c>
      <c r="D67" s="288">
        <f>'6-x'!T329</f>
        <v>1638.6040388191659</v>
      </c>
      <c r="E67" s="288">
        <f>'6-x'!U329</f>
        <v>669.19440440473204</v>
      </c>
      <c r="F67" s="288">
        <f>'6-x'!V329</f>
        <v>287.49490590182751</v>
      </c>
      <c r="G67" s="288">
        <f>'6-x'!W329</f>
        <v>7.0141739256778051</v>
      </c>
      <c r="H67" s="249">
        <f>'6-x'!X329</f>
        <v>156.10126888625479</v>
      </c>
    </row>
    <row r="68" spans="1:8">
      <c r="A68" s="227" t="s">
        <v>18</v>
      </c>
      <c r="B68" s="288">
        <f>'6-x'!R330</f>
        <v>0</v>
      </c>
      <c r="C68" s="288">
        <f>'6-x'!S330</f>
        <v>572.69791252510015</v>
      </c>
      <c r="D68" s="288">
        <f>'6-x'!T330</f>
        <v>0</v>
      </c>
      <c r="E68" s="288">
        <f>'6-x'!U330</f>
        <v>1049.1708468679717</v>
      </c>
      <c r="F68" s="288">
        <f>'6-x'!V330</f>
        <v>432.87845551733164</v>
      </c>
      <c r="G68" s="288">
        <f>'6-x'!W330</f>
        <v>7.520255355573414</v>
      </c>
      <c r="H68" s="249">
        <f>'6-x'!X330</f>
        <v>566.05459729916788</v>
      </c>
    </row>
    <row r="69" spans="1:8">
      <c r="A69" s="227" t="s">
        <v>19</v>
      </c>
      <c r="B69" s="288">
        <f>'6-x'!R331</f>
        <v>934.77437927126357</v>
      </c>
      <c r="C69" s="288">
        <f>'6-x'!S331</f>
        <v>584.16474170631568</v>
      </c>
      <c r="D69" s="288">
        <f>'6-x'!T331</f>
        <v>0</v>
      </c>
      <c r="E69" s="288">
        <f>'6-x'!U331</f>
        <v>733.73064384622228</v>
      </c>
      <c r="F69" s="288">
        <f>'6-x'!V331</f>
        <v>443.44763997058573</v>
      </c>
      <c r="G69" s="288">
        <f>'6-x'!W331</f>
        <v>6.4858707899369223</v>
      </c>
      <c r="H69" s="249">
        <f>'6-x'!X331</f>
        <v>803.17540538075252</v>
      </c>
    </row>
    <row r="70" spans="1:8">
      <c r="A70" s="227" t="s">
        <v>20</v>
      </c>
      <c r="B70" s="288">
        <f>'6-x'!R332</f>
        <v>0</v>
      </c>
      <c r="C70" s="288">
        <f>'6-x'!S332</f>
        <v>391.62731907682303</v>
      </c>
      <c r="D70" s="288">
        <f>'6-x'!T332</f>
        <v>0</v>
      </c>
      <c r="E70" s="288">
        <f>'6-x'!U332</f>
        <v>569.43740683667704</v>
      </c>
      <c r="F70" s="288">
        <f>'6-x'!V332</f>
        <v>253.30048561188786</v>
      </c>
      <c r="G70" s="288">
        <f>'6-x'!W332</f>
        <v>6.4528966457794192</v>
      </c>
      <c r="H70" s="249">
        <f>'6-x'!X332</f>
        <v>387.21374875519109</v>
      </c>
    </row>
    <row r="71" spans="1:8">
      <c r="A71" s="227" t="s">
        <v>22</v>
      </c>
      <c r="B71" s="288">
        <f>'6-x'!R333</f>
        <v>0</v>
      </c>
      <c r="C71" s="288">
        <f>'6-x'!S333</f>
        <v>0</v>
      </c>
      <c r="D71" s="288">
        <f>'6-x'!T333</f>
        <v>0</v>
      </c>
      <c r="E71" s="288">
        <f>'6-x'!U333</f>
        <v>0</v>
      </c>
      <c r="F71" s="288">
        <f>'6-x'!V333</f>
        <v>0</v>
      </c>
      <c r="G71" s="288">
        <f>'6-x'!W333</f>
        <v>0</v>
      </c>
      <c r="H71" s="249">
        <f>'6-x'!X333</f>
        <v>0</v>
      </c>
    </row>
    <row r="72" spans="1:8">
      <c r="A72" s="227" t="s">
        <v>349</v>
      </c>
      <c r="B72" s="288">
        <f>'6-x'!R334</f>
        <v>0</v>
      </c>
      <c r="C72" s="288">
        <f>'6-x'!S334</f>
        <v>0</v>
      </c>
      <c r="D72" s="288">
        <f>'6-x'!T334</f>
        <v>0</v>
      </c>
      <c r="E72" s="288">
        <f>'6-x'!U334</f>
        <v>0</v>
      </c>
      <c r="F72" s="288">
        <f>'6-x'!V334</f>
        <v>0</v>
      </c>
      <c r="G72" s="288">
        <f>'6-x'!W334</f>
        <v>0</v>
      </c>
      <c r="H72" s="249">
        <f>'6-x'!X334</f>
        <v>0</v>
      </c>
    </row>
    <row r="73" spans="1:8">
      <c r="A73" s="228" t="s">
        <v>263</v>
      </c>
      <c r="B73" s="249">
        <f>'6-x'!R335</f>
        <v>0</v>
      </c>
      <c r="C73" s="249">
        <f>'6-x'!S335</f>
        <v>355.60855987416397</v>
      </c>
      <c r="D73" s="249">
        <f>'6-x'!T335</f>
        <v>1725.4725695225693</v>
      </c>
      <c r="E73" s="249">
        <f>'6-x'!U335</f>
        <v>441.77934007031922</v>
      </c>
      <c r="F73" s="249">
        <f>'6-x'!V335</f>
        <v>281.5214230211941</v>
      </c>
      <c r="G73" s="249">
        <f>'6-x'!W335</f>
        <v>5.322464156838838</v>
      </c>
      <c r="H73" s="249">
        <f>'6-x'!X335</f>
        <v>356.75112318637787</v>
      </c>
    </row>
    <row r="74" spans="1:8">
      <c r="A74" s="227" t="s">
        <v>24</v>
      </c>
      <c r="B74" s="288">
        <f>'6-x'!R336</f>
        <v>0</v>
      </c>
      <c r="C74" s="288">
        <f>'6-x'!S336</f>
        <v>336.10680431675354</v>
      </c>
      <c r="D74" s="288">
        <f>'6-x'!T336</f>
        <v>1323.480895871335</v>
      </c>
      <c r="E74" s="288">
        <f>'6-x'!U336</f>
        <v>458.50256387516157</v>
      </c>
      <c r="F74" s="288">
        <f>'6-x'!V336</f>
        <v>241.9786966929222</v>
      </c>
      <c r="G74" s="288">
        <f>'6-x'!W336</f>
        <v>5.3217401353328597</v>
      </c>
      <c r="H74" s="249">
        <f>'6-x'!X336</f>
        <v>242.08186977087738</v>
      </c>
    </row>
    <row r="75" spans="1:8">
      <c r="A75" s="227" t="s">
        <v>25</v>
      </c>
      <c r="B75" s="288">
        <f>'6-x'!R337</f>
        <v>0</v>
      </c>
      <c r="C75" s="288">
        <f>'6-x'!S337</f>
        <v>320.36916630784032</v>
      </c>
      <c r="D75" s="288">
        <f>'6-x'!T337</f>
        <v>0</v>
      </c>
      <c r="E75" s="288">
        <f>'6-x'!U337</f>
        <v>372.66514736311427</v>
      </c>
      <c r="F75" s="288">
        <f>'6-x'!V337</f>
        <v>304.64119894673507</v>
      </c>
      <c r="G75" s="288">
        <f>'6-x'!W337</f>
        <v>4.2285755735895121</v>
      </c>
      <c r="H75" s="249">
        <f>'6-x'!X337</f>
        <v>321.77200199493706</v>
      </c>
    </row>
    <row r="76" spans="1:8">
      <c r="A76" s="227" t="s">
        <v>26</v>
      </c>
      <c r="B76" s="288">
        <f>'6-x'!R338</f>
        <v>0</v>
      </c>
      <c r="C76" s="288">
        <f>'6-x'!S338</f>
        <v>362.1411868965543</v>
      </c>
      <c r="D76" s="288">
        <f>'6-x'!T338</f>
        <v>1597.0353753773152</v>
      </c>
      <c r="E76" s="288">
        <f>'6-x'!U338</f>
        <v>467.43078000704526</v>
      </c>
      <c r="F76" s="288">
        <f>'6-x'!V338</f>
        <v>184.58442569909047</v>
      </c>
      <c r="G76" s="288">
        <f>'6-x'!W338</f>
        <v>5.5525591444353903</v>
      </c>
      <c r="H76" s="249">
        <f>'6-x'!X338</f>
        <v>371.97463370632778</v>
      </c>
    </row>
    <row r="77" spans="1:8">
      <c r="A77" s="227" t="s">
        <v>27</v>
      </c>
      <c r="B77" s="288">
        <f>'6-x'!R339</f>
        <v>0</v>
      </c>
      <c r="C77" s="288">
        <f>'6-x'!S339</f>
        <v>296.79196140972863</v>
      </c>
      <c r="D77" s="288">
        <f>'6-x'!T339</f>
        <v>0</v>
      </c>
      <c r="E77" s="288">
        <f>'6-x'!U339</f>
        <v>335.26506088939675</v>
      </c>
      <c r="F77" s="288">
        <f>'6-x'!V339</f>
        <v>187.13673649585158</v>
      </c>
      <c r="G77" s="288">
        <f>'6-x'!W339</f>
        <v>0</v>
      </c>
      <c r="H77" s="249">
        <f>'6-x'!X339</f>
        <v>250.8588549033621</v>
      </c>
    </row>
    <row r="78" spans="1:8">
      <c r="A78" s="227" t="s">
        <v>28</v>
      </c>
      <c r="B78" s="288">
        <f>'6-x'!R340</f>
        <v>0</v>
      </c>
      <c r="C78" s="288">
        <f>'6-x'!S340</f>
        <v>526.77209156972128</v>
      </c>
      <c r="D78" s="288">
        <f>'6-x'!T340</f>
        <v>1945.1956220212899</v>
      </c>
      <c r="E78" s="288">
        <f>'6-x'!U340</f>
        <v>463.98603520025546</v>
      </c>
      <c r="F78" s="288">
        <f>'6-x'!V340</f>
        <v>400.48374155844152</v>
      </c>
      <c r="G78" s="288">
        <f>'6-x'!W340</f>
        <v>7.2629136653007187</v>
      </c>
      <c r="H78" s="249">
        <f>'6-x'!X340</f>
        <v>645.13604839559503</v>
      </c>
    </row>
    <row r="79" spans="1:8">
      <c r="A79" s="227" t="s">
        <v>351</v>
      </c>
      <c r="B79" s="288">
        <f>'6-x'!R341</f>
        <v>0</v>
      </c>
      <c r="C79" s="288">
        <f>'6-x'!S341</f>
        <v>429.01152237680657</v>
      </c>
      <c r="D79" s="288">
        <f>'6-x'!T341</f>
        <v>0</v>
      </c>
      <c r="E79" s="288">
        <f>'6-x'!U341</f>
        <v>0</v>
      </c>
      <c r="F79" s="288">
        <f>'6-x'!V341</f>
        <v>0</v>
      </c>
      <c r="G79" s="288">
        <f>'6-x'!W341</f>
        <v>0</v>
      </c>
      <c r="H79" s="249">
        <f>'6-x'!X341</f>
        <v>413.83748139241789</v>
      </c>
    </row>
    <row r="80" spans="1:8">
      <c r="A80" s="322" t="s">
        <v>9</v>
      </c>
      <c r="B80" s="324">
        <f>'6-x'!R342</f>
        <v>934.7730459668669</v>
      </c>
      <c r="C80" s="324">
        <f>'6-x'!S342</f>
        <v>372.62501692124135</v>
      </c>
      <c r="D80" s="324">
        <f>'6-x'!T342</f>
        <v>1724.3436998301402</v>
      </c>
      <c r="E80" s="324">
        <f>'6-x'!U342</f>
        <v>589.96170462468172</v>
      </c>
      <c r="F80" s="324">
        <f>'6-x'!V342</f>
        <v>321.06623786070548</v>
      </c>
      <c r="G80" s="324">
        <f>'6-x'!W342</f>
        <v>5.8501186972239587</v>
      </c>
      <c r="H80" s="324">
        <f>'6-x'!X342</f>
        <v>410.84263230683905</v>
      </c>
    </row>
    <row r="81" spans="1:10" ht="15.5">
      <c r="A81" s="314"/>
      <c r="B81" s="314"/>
      <c r="C81" s="314"/>
      <c r="D81" s="314"/>
      <c r="E81" s="314"/>
      <c r="F81" s="314"/>
      <c r="G81" s="314"/>
      <c r="H81" s="314"/>
    </row>
    <row r="82" spans="1:10" ht="15.5">
      <c r="A82" s="314"/>
      <c r="B82" s="314"/>
      <c r="C82" s="314"/>
      <c r="D82" s="314"/>
      <c r="E82" s="314"/>
      <c r="F82" s="314"/>
      <c r="G82" s="314"/>
      <c r="H82" s="314"/>
    </row>
    <row r="83" spans="1:10">
      <c r="B83" s="1104" t="s">
        <v>10</v>
      </c>
      <c r="C83" s="1104"/>
      <c r="D83" s="1104"/>
      <c r="E83" s="1104"/>
      <c r="F83" s="1104"/>
      <c r="G83" s="1104"/>
      <c r="H83" s="1104"/>
    </row>
    <row r="84" spans="1:10" ht="29">
      <c r="B84" s="251" t="s">
        <v>5</v>
      </c>
      <c r="C84" s="251" t="s">
        <v>63</v>
      </c>
      <c r="D84" s="251" t="s">
        <v>7</v>
      </c>
      <c r="E84" s="251" t="s">
        <v>8</v>
      </c>
      <c r="F84" s="251" t="s">
        <v>243</v>
      </c>
      <c r="G84" s="251" t="s">
        <v>244</v>
      </c>
      <c r="H84" s="251" t="s">
        <v>9</v>
      </c>
    </row>
    <row r="85" spans="1:10">
      <c r="A85" s="253">
        <v>2020</v>
      </c>
      <c r="B85" s="1105" t="s">
        <v>245</v>
      </c>
      <c r="C85" s="1105"/>
      <c r="D85" s="1105"/>
      <c r="E85" s="1105"/>
      <c r="F85" s="1105"/>
      <c r="G85" s="1105"/>
      <c r="H85" s="1105"/>
    </row>
    <row r="86" spans="1:10">
      <c r="A86" s="228" t="s">
        <v>262</v>
      </c>
      <c r="B86" s="249">
        <f>'6-x'!R420</f>
        <v>930.07391538771458</v>
      </c>
      <c r="C86" s="249">
        <f>'6-x'!S420</f>
        <v>394.7209409094703</v>
      </c>
      <c r="D86" s="249">
        <f>'6-x'!T420</f>
        <v>1526.3194466769428</v>
      </c>
      <c r="E86" s="249">
        <f>'6-x'!U420</f>
        <v>724.43436127759696</v>
      </c>
      <c r="F86" s="249">
        <f>'6-x'!V420</f>
        <v>434.14344885369371</v>
      </c>
      <c r="G86" s="249">
        <f>'6-x'!W420</f>
        <v>11.242463870456785</v>
      </c>
      <c r="H86" s="249">
        <f>'6-x'!X420</f>
        <v>478.25904922349412</v>
      </c>
      <c r="J86" s="171"/>
    </row>
    <row r="87" spans="1:10">
      <c r="A87" s="227" t="s">
        <v>17</v>
      </c>
      <c r="B87" s="288">
        <f>'6-x'!R421</f>
        <v>0</v>
      </c>
      <c r="C87" s="288">
        <f>'6-x'!S421</f>
        <v>595.15610356882848</v>
      </c>
      <c r="D87" s="288">
        <f>'6-x'!T421</f>
        <v>1526.3194466769428</v>
      </c>
      <c r="E87" s="288">
        <f>'6-x'!U421</f>
        <v>639.45730833649282</v>
      </c>
      <c r="F87" s="288">
        <f>'6-x'!V421</f>
        <v>335.45221152916992</v>
      </c>
      <c r="G87" s="288">
        <f>'6-x'!W421</f>
        <v>11.24818098488136</v>
      </c>
      <c r="H87" s="249">
        <f>'6-x'!X421</f>
        <v>172.41543715554377</v>
      </c>
    </row>
    <row r="88" spans="1:10">
      <c r="A88" s="227" t="s">
        <v>18</v>
      </c>
      <c r="B88" s="288">
        <f>'6-x'!R422</f>
        <v>0</v>
      </c>
      <c r="C88" s="288">
        <f>'6-x'!S422</f>
        <v>426.3770353809565</v>
      </c>
      <c r="D88" s="288">
        <f>'6-x'!T422</f>
        <v>0</v>
      </c>
      <c r="E88" s="288">
        <f>'6-x'!U422</f>
        <v>1039.4883381726797</v>
      </c>
      <c r="F88" s="288">
        <f>'6-x'!V422</f>
        <v>517.57914117235543</v>
      </c>
      <c r="G88" s="288">
        <f>'6-x'!W422</f>
        <v>12.953880792473111</v>
      </c>
      <c r="H88" s="249">
        <f>'6-x'!X422</f>
        <v>430.27254856156128</v>
      </c>
    </row>
    <row r="89" spans="1:10">
      <c r="A89" s="227" t="s">
        <v>19</v>
      </c>
      <c r="B89" s="288">
        <f>'6-x'!R423</f>
        <v>930.07391538771458</v>
      </c>
      <c r="C89" s="288">
        <f>'6-x'!S423</f>
        <v>573.6172310590897</v>
      </c>
      <c r="D89" s="288">
        <f>'6-x'!T423</f>
        <v>0</v>
      </c>
      <c r="E89" s="288">
        <f>'6-x'!U423</f>
        <v>741.29929860103107</v>
      </c>
      <c r="F89" s="288">
        <f>'6-x'!V423</f>
        <v>521.5224540196499</v>
      </c>
      <c r="G89" s="288">
        <f>'6-x'!W423</f>
        <v>10.409142415559913</v>
      </c>
      <c r="H89" s="249">
        <f>'6-x'!X423</f>
        <v>821.59369581552357</v>
      </c>
    </row>
    <row r="90" spans="1:10">
      <c r="A90" s="227" t="s">
        <v>20</v>
      </c>
      <c r="B90" s="288">
        <f>'6-x'!R424</f>
        <v>0</v>
      </c>
      <c r="C90" s="288">
        <f>'6-x'!S424</f>
        <v>391.69481862468371</v>
      </c>
      <c r="D90" s="288">
        <f>'6-x'!T424</f>
        <v>0</v>
      </c>
      <c r="E90" s="288">
        <f>'6-x'!U424</f>
        <v>550.53908682991323</v>
      </c>
      <c r="F90" s="288">
        <f>'6-x'!V424</f>
        <v>296.25104263547649</v>
      </c>
      <c r="G90" s="288">
        <f>'6-x'!W424</f>
        <v>10.353897077662204</v>
      </c>
      <c r="H90" s="249">
        <f>'6-x'!X424</f>
        <v>388.7875253803503</v>
      </c>
      <c r="J90" s="171"/>
    </row>
    <row r="91" spans="1:10">
      <c r="A91" s="227" t="s">
        <v>22</v>
      </c>
      <c r="B91" s="288">
        <f>'6-x'!R425</f>
        <v>0</v>
      </c>
      <c r="C91" s="288">
        <f>'6-x'!S425</f>
        <v>0</v>
      </c>
      <c r="D91" s="288">
        <f>'6-x'!T425</f>
        <v>0</v>
      </c>
      <c r="E91" s="288">
        <f>'6-x'!U425</f>
        <v>0</v>
      </c>
      <c r="F91" s="288">
        <f>'6-x'!V425</f>
        <v>0</v>
      </c>
      <c r="G91" s="288">
        <f>'6-x'!W425</f>
        <v>0</v>
      </c>
      <c r="H91" s="249">
        <f>'6-x'!X425</f>
        <v>0</v>
      </c>
    </row>
    <row r="92" spans="1:10">
      <c r="A92" s="227" t="s">
        <v>349</v>
      </c>
      <c r="B92" s="288">
        <f>'6-x'!R426</f>
        <v>0</v>
      </c>
      <c r="C92" s="288">
        <f>'6-x'!S426</f>
        <v>0</v>
      </c>
      <c r="D92" s="288">
        <f>'6-x'!T426</f>
        <v>0</v>
      </c>
      <c r="E92" s="288">
        <f>'6-x'!U426</f>
        <v>0</v>
      </c>
      <c r="F92" s="288">
        <f>'6-x'!V426</f>
        <v>0</v>
      </c>
      <c r="G92" s="288">
        <f>'6-x'!W426</f>
        <v>0</v>
      </c>
      <c r="H92" s="249">
        <f>'6-x'!X426</f>
        <v>0</v>
      </c>
    </row>
    <row r="93" spans="1:10">
      <c r="A93" s="228" t="s">
        <v>263</v>
      </c>
      <c r="B93" s="249">
        <f>'6-x'!R427</f>
        <v>413.22744665494542</v>
      </c>
      <c r="C93" s="249">
        <f>'6-x'!S427</f>
        <v>355.11361394123804</v>
      </c>
      <c r="D93" s="249">
        <f>'6-x'!T427</f>
        <v>1362.5202530049664</v>
      </c>
      <c r="E93" s="249">
        <f>'6-x'!U427</f>
        <v>402.79727014563446</v>
      </c>
      <c r="F93" s="249">
        <f>'6-x'!V427</f>
        <v>315.28777607354897</v>
      </c>
      <c r="G93" s="249">
        <f>'6-x'!W427</f>
        <v>8.464861153524355</v>
      </c>
      <c r="H93" s="249">
        <f>'6-x'!X427</f>
        <v>348.76769115492147</v>
      </c>
      <c r="J93" s="171"/>
    </row>
    <row r="94" spans="1:10">
      <c r="A94" s="227" t="s">
        <v>24</v>
      </c>
      <c r="B94" s="288">
        <f>'6-x'!R428</f>
        <v>0</v>
      </c>
      <c r="C94" s="288">
        <f>'6-x'!S428</f>
        <v>340.16364514708312</v>
      </c>
      <c r="D94" s="288">
        <f>'6-x'!T428</f>
        <v>1076.1621986741932</v>
      </c>
      <c r="E94" s="288">
        <f>'6-x'!U428</f>
        <v>416.72423114855019</v>
      </c>
      <c r="F94" s="288">
        <f>'6-x'!V428</f>
        <v>288.71235630976622</v>
      </c>
      <c r="G94" s="288">
        <f>'6-x'!W428</f>
        <v>8.4628951992052226</v>
      </c>
      <c r="H94" s="249">
        <f>'6-x'!X428</f>
        <v>242.1885367186978</v>
      </c>
    </row>
    <row r="95" spans="1:10">
      <c r="A95" s="227" t="s">
        <v>25</v>
      </c>
      <c r="B95" s="288">
        <f>'6-x'!R429</f>
        <v>0</v>
      </c>
      <c r="C95" s="288">
        <f>'6-x'!S429</f>
        <v>344.50615976598203</v>
      </c>
      <c r="D95" s="288">
        <f>'6-x'!T429</f>
        <v>0</v>
      </c>
      <c r="E95" s="288">
        <f>'6-x'!U429</f>
        <v>348.47057739558136</v>
      </c>
      <c r="F95" s="288">
        <f>'6-x'!V429</f>
        <v>358.68682938430783</v>
      </c>
      <c r="G95" s="288">
        <f>'6-x'!W429</f>
        <v>7.802253033511791</v>
      </c>
      <c r="H95" s="249">
        <f>'6-x'!X429</f>
        <v>344.43040988981591</v>
      </c>
    </row>
    <row r="96" spans="1:10">
      <c r="A96" s="227" t="s">
        <v>26</v>
      </c>
      <c r="B96" s="288">
        <f>'6-x'!R430</f>
        <v>0</v>
      </c>
      <c r="C96" s="288">
        <f>'6-x'!S430</f>
        <v>356.66520069889907</v>
      </c>
      <c r="D96" s="288">
        <f>'6-x'!T430</f>
        <v>1310.4112884140084</v>
      </c>
      <c r="E96" s="288">
        <f>'6-x'!U430</f>
        <v>436.37912946794557</v>
      </c>
      <c r="F96" s="288">
        <f>'6-x'!V430</f>
        <v>232.92607749951009</v>
      </c>
      <c r="G96" s="288">
        <f>'6-x'!W430</f>
        <v>8.8772352334380358</v>
      </c>
      <c r="H96" s="249">
        <f>'6-x'!X430</f>
        <v>359.0073320261514</v>
      </c>
      <c r="J96" s="171"/>
    </row>
    <row r="97" spans="1:10">
      <c r="A97" s="227" t="s">
        <v>27</v>
      </c>
      <c r="B97" s="288">
        <f>'6-x'!R431</f>
        <v>0</v>
      </c>
      <c r="C97" s="288">
        <f>'6-x'!S431</f>
        <v>285.50586114387522</v>
      </c>
      <c r="D97" s="288">
        <f>'6-x'!T431</f>
        <v>0</v>
      </c>
      <c r="E97" s="288">
        <f>'6-x'!U431</f>
        <v>351.70151958507103</v>
      </c>
      <c r="F97" s="288">
        <f>'6-x'!V431</f>
        <v>230.10390261860317</v>
      </c>
      <c r="G97" s="288">
        <f>'6-x'!W431</f>
        <v>0</v>
      </c>
      <c r="H97" s="249">
        <f>'6-x'!X431</f>
        <v>267.1235241316719</v>
      </c>
    </row>
    <row r="98" spans="1:10">
      <c r="A98" s="227" t="s">
        <v>28</v>
      </c>
      <c r="B98" s="288">
        <f>'6-x'!R432</f>
        <v>413.28261720857091</v>
      </c>
      <c r="C98" s="288">
        <f>'6-x'!S432</f>
        <v>513.05362717417927</v>
      </c>
      <c r="D98" s="288">
        <f>'6-x'!T432</f>
        <v>1501.54310064677</v>
      </c>
      <c r="E98" s="288">
        <f>'6-x'!U432</f>
        <v>330.29652757970217</v>
      </c>
      <c r="F98" s="288">
        <f>'6-x'!V432</f>
        <v>474.78259880024621</v>
      </c>
      <c r="G98" s="288">
        <f>'6-x'!W432</f>
        <v>13.472956779803662</v>
      </c>
      <c r="H98" s="249">
        <f>'6-x'!X432</f>
        <v>584.26630577940387</v>
      </c>
    </row>
    <row r="99" spans="1:10">
      <c r="A99" s="227" t="s">
        <v>351</v>
      </c>
      <c r="B99" s="288">
        <f>'6-x'!R433</f>
        <v>0</v>
      </c>
      <c r="C99" s="288">
        <f>'6-x'!S433</f>
        <v>0</v>
      </c>
      <c r="D99" s="288">
        <f>'6-x'!T433</f>
        <v>0</v>
      </c>
      <c r="E99" s="288">
        <f>'6-x'!U433</f>
        <v>0</v>
      </c>
      <c r="F99" s="288">
        <f>'6-x'!V433</f>
        <v>0</v>
      </c>
      <c r="G99" s="288">
        <f>'6-x'!W433</f>
        <v>0</v>
      </c>
      <c r="H99" s="249">
        <f>'6-x'!X433</f>
        <v>0</v>
      </c>
    </row>
    <row r="100" spans="1:10">
      <c r="A100" s="322" t="s">
        <v>9</v>
      </c>
      <c r="B100" s="324">
        <f>'6-x'!R434</f>
        <v>927.18016449752702</v>
      </c>
      <c r="C100" s="324">
        <f>'6-x'!S434</f>
        <v>371.67292544404057</v>
      </c>
      <c r="D100" s="324">
        <f>'6-x'!T434</f>
        <v>1365.2042195168613</v>
      </c>
      <c r="E100" s="324">
        <f>'6-x'!U434</f>
        <v>509.28968891458578</v>
      </c>
      <c r="F100" s="324">
        <f>'6-x'!V434</f>
        <v>357.2468732120559</v>
      </c>
      <c r="G100" s="324">
        <f>'6-x'!W434</f>
        <v>9.4069552328060375</v>
      </c>
      <c r="H100" s="324">
        <f>'6-x'!X434</f>
        <v>405.19172426326242</v>
      </c>
      <c r="J100" s="171"/>
    </row>
    <row r="101" spans="1:10" ht="15.5">
      <c r="A101" s="314"/>
      <c r="B101" s="316"/>
      <c r="C101" s="316"/>
      <c r="D101" s="316"/>
      <c r="E101" s="316"/>
      <c r="F101" s="316"/>
      <c r="G101" s="316"/>
      <c r="H101" s="316"/>
    </row>
    <row r="102" spans="1:10" ht="15.5">
      <c r="A102" s="314"/>
      <c r="B102" s="314"/>
      <c r="C102" s="314"/>
      <c r="D102" s="314"/>
      <c r="E102" s="314"/>
      <c r="F102" s="314"/>
      <c r="G102" s="314"/>
      <c r="H102" s="314"/>
    </row>
    <row r="103" spans="1:10">
      <c r="B103" s="1104" t="s">
        <v>10</v>
      </c>
      <c r="C103" s="1104"/>
      <c r="D103" s="1104"/>
      <c r="E103" s="1104"/>
      <c r="F103" s="1104"/>
      <c r="G103" s="1104"/>
      <c r="H103" s="1104"/>
    </row>
    <row r="104" spans="1:10" ht="29">
      <c r="B104" s="251" t="s">
        <v>5</v>
      </c>
      <c r="C104" s="251" t="s">
        <v>63</v>
      </c>
      <c r="D104" s="251" t="s">
        <v>7</v>
      </c>
      <c r="E104" s="251" t="s">
        <v>8</v>
      </c>
      <c r="F104" s="251" t="s">
        <v>243</v>
      </c>
      <c r="G104" s="251" t="s">
        <v>244</v>
      </c>
      <c r="H104" s="251" t="s">
        <v>9</v>
      </c>
    </row>
    <row r="105" spans="1:10">
      <c r="A105" s="253">
        <v>2019</v>
      </c>
      <c r="B105" s="1105" t="s">
        <v>245</v>
      </c>
      <c r="C105" s="1105"/>
      <c r="D105" s="1105"/>
      <c r="E105" s="1105"/>
      <c r="F105" s="1105"/>
      <c r="G105" s="1105"/>
      <c r="H105" s="1105"/>
    </row>
    <row r="106" spans="1:10">
      <c r="A106" s="228" t="s">
        <v>262</v>
      </c>
      <c r="B106" s="249">
        <f>'6-x'!R512</f>
        <v>912.46231327241162</v>
      </c>
      <c r="C106" s="249">
        <f>'6-x'!S512</f>
        <v>391.14377859683987</v>
      </c>
      <c r="D106" s="249">
        <f>'6-x'!T512</f>
        <v>1503.626889865124</v>
      </c>
      <c r="E106" s="249">
        <f>'6-x'!U512</f>
        <v>715.6998725232246</v>
      </c>
      <c r="F106" s="249">
        <f>'6-x'!V512</f>
        <v>451.87036543475409</v>
      </c>
      <c r="G106" s="249">
        <f>'6-x'!W512</f>
        <v>10.624239771709188</v>
      </c>
      <c r="H106" s="249">
        <f>'6-x'!X512</f>
        <v>499.34271580664989</v>
      </c>
    </row>
    <row r="107" spans="1:10">
      <c r="A107" s="227" t="s">
        <v>17</v>
      </c>
      <c r="B107" s="288">
        <f>'6-x'!R513</f>
        <v>0</v>
      </c>
      <c r="C107" s="288">
        <f>'6-x'!S513</f>
        <v>584.52640655345806</v>
      </c>
      <c r="D107" s="288">
        <f>'6-x'!T513</f>
        <v>1503.626889865124</v>
      </c>
      <c r="E107" s="288">
        <f>'6-x'!U513</f>
        <v>634.04065092225142</v>
      </c>
      <c r="F107" s="288">
        <f>'6-x'!V513</f>
        <v>343.14144407536128</v>
      </c>
      <c r="G107" s="288">
        <f>'6-x'!W513</f>
        <v>10.610202863175491</v>
      </c>
      <c r="H107" s="288">
        <f>'6-x'!X513</f>
        <v>172.92800499084564</v>
      </c>
    </row>
    <row r="108" spans="1:10">
      <c r="A108" s="227" t="s">
        <v>18</v>
      </c>
      <c r="B108" s="288">
        <f>'6-x'!R514</f>
        <v>0</v>
      </c>
      <c r="C108" s="288">
        <f>'6-x'!S514</f>
        <v>424.56413169146646</v>
      </c>
      <c r="D108" s="288">
        <f>'6-x'!T514</f>
        <v>0</v>
      </c>
      <c r="E108" s="288">
        <f>'6-x'!U514</f>
        <v>1057.7826773353602</v>
      </c>
      <c r="F108" s="288">
        <f>'6-x'!V514</f>
        <v>519.62550780649974</v>
      </c>
      <c r="G108" s="288">
        <f>'6-x'!W514</f>
        <v>12.135292165857743</v>
      </c>
      <c r="H108" s="288">
        <f>'6-x'!X514</f>
        <v>417.69368293322577</v>
      </c>
    </row>
    <row r="109" spans="1:10">
      <c r="A109" s="227" t="s">
        <v>19</v>
      </c>
      <c r="B109" s="288">
        <f>'6-x'!R515</f>
        <v>912.46231327241162</v>
      </c>
      <c r="C109" s="288">
        <f>'6-x'!S515</f>
        <v>546.64364398686371</v>
      </c>
      <c r="D109" s="288">
        <f>'6-x'!T515</f>
        <v>0</v>
      </c>
      <c r="E109" s="288">
        <f>'6-x'!U515</f>
        <v>728.5847032389612</v>
      </c>
      <c r="F109" s="288">
        <f>'6-x'!V515</f>
        <v>546.88662946052375</v>
      </c>
      <c r="G109" s="288">
        <f>'6-x'!W515</f>
        <v>9.7135962126534316</v>
      </c>
      <c r="H109" s="288">
        <f>'6-x'!X515</f>
        <v>837.21449960636096</v>
      </c>
    </row>
    <row r="110" spans="1:10">
      <c r="A110" s="227" t="s">
        <v>20</v>
      </c>
      <c r="B110" s="288">
        <f>'6-x'!R516</f>
        <v>0</v>
      </c>
      <c r="C110" s="288">
        <f>'6-x'!S516</f>
        <v>388.87579744427848</v>
      </c>
      <c r="D110" s="288">
        <f>'6-x'!T516</f>
        <v>0</v>
      </c>
      <c r="E110" s="288">
        <f>'6-x'!U516</f>
        <v>547.86036827262512</v>
      </c>
      <c r="F110" s="288">
        <f>'6-x'!V516</f>
        <v>305.69702552441248</v>
      </c>
      <c r="G110" s="288">
        <f>'6-x'!W516</f>
        <v>9.647101461059691</v>
      </c>
      <c r="H110" s="288">
        <f>'6-x'!X516</f>
        <v>386.38984267350048</v>
      </c>
    </row>
    <row r="111" spans="1:10">
      <c r="A111" s="227" t="s">
        <v>22</v>
      </c>
      <c r="B111" s="288">
        <f>'6-x'!R517</f>
        <v>0</v>
      </c>
      <c r="C111" s="288">
        <f>'6-x'!S517</f>
        <v>0</v>
      </c>
      <c r="D111" s="288">
        <f>'6-x'!T517</f>
        <v>0</v>
      </c>
      <c r="E111" s="288">
        <f>'6-x'!U517</f>
        <v>0</v>
      </c>
      <c r="F111" s="288">
        <f>'6-x'!V517</f>
        <v>0</v>
      </c>
      <c r="G111" s="288">
        <f>'6-x'!W517</f>
        <v>0</v>
      </c>
      <c r="H111" s="288">
        <f>'6-x'!X517</f>
        <v>0</v>
      </c>
    </row>
    <row r="112" spans="1:10">
      <c r="A112" s="227" t="s">
        <v>349</v>
      </c>
      <c r="B112" s="288">
        <f>'6-x'!R518</f>
        <v>0</v>
      </c>
      <c r="C112" s="288">
        <f>'6-x'!S518</f>
        <v>0</v>
      </c>
      <c r="D112" s="288">
        <f>'6-x'!T518</f>
        <v>0</v>
      </c>
      <c r="E112" s="288">
        <f>'6-x'!U518</f>
        <v>0</v>
      </c>
      <c r="F112" s="288">
        <f>'6-x'!V518</f>
        <v>0</v>
      </c>
      <c r="G112" s="288">
        <f>'6-x'!W518</f>
        <v>0</v>
      </c>
      <c r="H112" s="288">
        <f>'6-x'!X518</f>
        <v>0</v>
      </c>
    </row>
    <row r="113" spans="1:8">
      <c r="A113" s="228" t="s">
        <v>263</v>
      </c>
      <c r="B113" s="249">
        <f>'6-x'!R519</f>
        <v>423.34435860260521</v>
      </c>
      <c r="C113" s="249">
        <f>'6-x'!S519</f>
        <v>354.60013543904597</v>
      </c>
      <c r="D113" s="249">
        <f>'6-x'!T519</f>
        <v>1398.3060190919557</v>
      </c>
      <c r="E113" s="249">
        <f>'6-x'!U519</f>
        <v>416.85087204587705</v>
      </c>
      <c r="F113" s="249">
        <f>'6-x'!V519</f>
        <v>326.75912553831802</v>
      </c>
      <c r="G113" s="249">
        <f>'6-x'!W519</f>
        <v>7.8813806546921858</v>
      </c>
      <c r="H113" s="249">
        <f>'6-x'!X519</f>
        <v>358.62748278444775</v>
      </c>
    </row>
    <row r="114" spans="1:8">
      <c r="A114" s="227" t="s">
        <v>24</v>
      </c>
      <c r="B114" s="288">
        <f>'6-x'!R520</f>
        <v>0</v>
      </c>
      <c r="C114" s="288">
        <f>'6-x'!S520</f>
        <v>330.26146207066057</v>
      </c>
      <c r="D114" s="288">
        <f>'6-x'!T520</f>
        <v>1109.9433389746557</v>
      </c>
      <c r="E114" s="288">
        <f>'6-x'!U520</f>
        <v>448.63260494234868</v>
      </c>
      <c r="F114" s="288">
        <f>'6-x'!V520</f>
        <v>296.18733192417147</v>
      </c>
      <c r="G114" s="288">
        <f>'6-x'!W520</f>
        <v>7.8796280638583154</v>
      </c>
      <c r="H114" s="288">
        <f>'6-x'!X520</f>
        <v>237.12215899780793</v>
      </c>
    </row>
    <row r="115" spans="1:8">
      <c r="A115" s="227" t="s">
        <v>25</v>
      </c>
      <c r="B115" s="288">
        <f>'6-x'!R521</f>
        <v>0</v>
      </c>
      <c r="C115" s="288">
        <f>'6-x'!S521</f>
        <v>340.13638950798935</v>
      </c>
      <c r="D115" s="288">
        <f>'6-x'!T521</f>
        <v>0</v>
      </c>
      <c r="E115" s="288">
        <f>'6-x'!U521</f>
        <v>370.54845133045893</v>
      </c>
      <c r="F115" s="288">
        <f>'6-x'!V521</f>
        <v>366.75718318262636</v>
      </c>
      <c r="G115" s="288">
        <f>'6-x'!W521</f>
        <v>6.8307269822667225</v>
      </c>
      <c r="H115" s="288">
        <f>'6-x'!X521</f>
        <v>342.32859778290941</v>
      </c>
    </row>
    <row r="116" spans="1:8">
      <c r="A116" s="227" t="s">
        <v>26</v>
      </c>
      <c r="B116" s="288">
        <f>'6-x'!R522</f>
        <v>0</v>
      </c>
      <c r="C116" s="288">
        <f>'6-x'!S522</f>
        <v>358.03830474525193</v>
      </c>
      <c r="D116" s="288">
        <f>'6-x'!T522</f>
        <v>1363.5873097141159</v>
      </c>
      <c r="E116" s="288">
        <f>'6-x'!U522</f>
        <v>434.11310080029205</v>
      </c>
      <c r="F116" s="288">
        <f>'6-x'!V522</f>
        <v>249.31246721965047</v>
      </c>
      <c r="G116" s="288">
        <f>'6-x'!W522</f>
        <v>8.0855472946002234</v>
      </c>
      <c r="H116" s="288">
        <f>'6-x'!X522</f>
        <v>370.13996235155008</v>
      </c>
    </row>
    <row r="117" spans="1:8">
      <c r="A117" s="227" t="s">
        <v>27</v>
      </c>
      <c r="B117" s="288">
        <f>'6-x'!R523</f>
        <v>478.66875450356019</v>
      </c>
      <c r="C117" s="288">
        <f>'6-x'!S523</f>
        <v>286.48839190987019</v>
      </c>
      <c r="D117" s="288">
        <f>'6-x'!T523</f>
        <v>0</v>
      </c>
      <c r="E117" s="288">
        <f>'6-x'!U523</f>
        <v>321.70403647469237</v>
      </c>
      <c r="F117" s="288">
        <f>'6-x'!V523</f>
        <v>238.77255681271669</v>
      </c>
      <c r="G117" s="288">
        <f>'6-x'!W523</f>
        <v>0</v>
      </c>
      <c r="H117" s="288">
        <f>'6-x'!X523</f>
        <v>271.52234038146196</v>
      </c>
    </row>
    <row r="118" spans="1:8">
      <c r="A118" s="227" t="s">
        <v>28</v>
      </c>
      <c r="B118" s="288">
        <f>'6-x'!R524</f>
        <v>418.83516019061517</v>
      </c>
      <c r="C118" s="288">
        <f>'6-x'!S524</f>
        <v>524.29512399711984</v>
      </c>
      <c r="D118" s="288">
        <f>'6-x'!T524</f>
        <v>1525.5446736163572</v>
      </c>
      <c r="E118" s="288">
        <f>'6-x'!U524</f>
        <v>480.48183983460194</v>
      </c>
      <c r="F118" s="288">
        <f>'6-x'!V524</f>
        <v>483.44904840224979</v>
      </c>
      <c r="G118" s="288">
        <f>'6-x'!W524</f>
        <v>10.878326861537348</v>
      </c>
      <c r="H118" s="288">
        <f>'6-x'!X524</f>
        <v>625.00497336663921</v>
      </c>
    </row>
    <row r="119" spans="1:8">
      <c r="A119" s="227" t="s">
        <v>351</v>
      </c>
      <c r="B119" s="288">
        <f>'6-x'!R525</f>
        <v>0</v>
      </c>
      <c r="C119" s="288">
        <f>'6-x'!S525</f>
        <v>0</v>
      </c>
      <c r="D119" s="288">
        <f>'6-x'!T525</f>
        <v>0</v>
      </c>
      <c r="E119" s="288">
        <f>'6-x'!U525</f>
        <v>0</v>
      </c>
      <c r="F119" s="288">
        <f>'6-x'!V525</f>
        <v>0</v>
      </c>
      <c r="G119" s="288">
        <f>'6-x'!W525</f>
        <v>0</v>
      </c>
      <c r="H119" s="288">
        <f>'6-x'!X525</f>
        <v>0</v>
      </c>
    </row>
    <row r="120" spans="1:8">
      <c r="A120" s="322" t="s">
        <v>9</v>
      </c>
      <c r="B120" s="324">
        <f>'6-x'!R526</f>
        <v>908.87948803676534</v>
      </c>
      <c r="C120" s="324">
        <f>'6-x'!S526</f>
        <v>369.4705440904487</v>
      </c>
      <c r="D120" s="324">
        <f>'6-x'!T526</f>
        <v>1399.564594691961</v>
      </c>
      <c r="E120" s="324">
        <f>'6-x'!U526</f>
        <v>522.76051249489819</v>
      </c>
      <c r="F120" s="324">
        <f>'6-x'!V526</f>
        <v>371.62490734960551</v>
      </c>
      <c r="G120" s="324">
        <f>'6-x'!W526</f>
        <v>8.8447312997608893</v>
      </c>
      <c r="H120" s="324">
        <f>'6-x'!X526</f>
        <v>420.57388079815149</v>
      </c>
    </row>
    <row r="121" spans="1:8" ht="15.5">
      <c r="A121" s="314"/>
      <c r="B121" s="314"/>
      <c r="C121" s="314"/>
      <c r="D121" s="314"/>
      <c r="E121" s="314"/>
      <c r="F121" s="314"/>
      <c r="G121" s="314"/>
      <c r="H121" s="314"/>
    </row>
    <row r="122" spans="1:8" ht="15.5">
      <c r="A122" s="314"/>
      <c r="B122" s="56"/>
      <c r="C122" s="56"/>
      <c r="D122" s="56"/>
      <c r="E122" s="56"/>
      <c r="F122" s="56"/>
      <c r="G122" s="56"/>
      <c r="H122" s="56"/>
    </row>
    <row r="123" spans="1:8">
      <c r="B123" s="1104" t="s">
        <v>10</v>
      </c>
      <c r="C123" s="1104"/>
      <c r="D123" s="1104"/>
      <c r="E123" s="1104"/>
      <c r="F123" s="1104"/>
      <c r="G123" s="1104"/>
      <c r="H123" s="1104"/>
    </row>
    <row r="124" spans="1:8" ht="29">
      <c r="B124" s="251" t="s">
        <v>5</v>
      </c>
      <c r="C124" s="251" t="s">
        <v>63</v>
      </c>
      <c r="D124" s="251" t="s">
        <v>7</v>
      </c>
      <c r="E124" s="251" t="s">
        <v>8</v>
      </c>
      <c r="F124" s="251" t="s">
        <v>243</v>
      </c>
      <c r="G124" s="251" t="s">
        <v>244</v>
      </c>
      <c r="H124" s="251" t="s">
        <v>9</v>
      </c>
    </row>
    <row r="125" spans="1:8">
      <c r="A125" s="253">
        <v>2018</v>
      </c>
      <c r="B125" s="1105" t="s">
        <v>245</v>
      </c>
      <c r="C125" s="1105"/>
      <c r="D125" s="1105"/>
      <c r="E125" s="1105"/>
      <c r="F125" s="1105"/>
      <c r="G125" s="1105"/>
      <c r="H125" s="1105"/>
    </row>
    <row r="126" spans="1:8">
      <c r="A126" s="228" t="s">
        <v>262</v>
      </c>
      <c r="B126" s="249">
        <f>'6-x'!R604</f>
        <v>886.69849947404634</v>
      </c>
      <c r="C126" s="249">
        <f>'6-x'!S604</f>
        <v>393.48107956024188</v>
      </c>
      <c r="D126" s="249">
        <f>'6-x'!T604</f>
        <v>1621.2639350249053</v>
      </c>
      <c r="E126" s="249">
        <f>'6-x'!U604</f>
        <v>725.78170149273865</v>
      </c>
      <c r="F126" s="249">
        <f>'6-x'!V604</f>
        <v>473.64037483631859</v>
      </c>
      <c r="G126" s="249">
        <f>'6-x'!W604</f>
        <v>10.854150439985656</v>
      </c>
      <c r="H126" s="249">
        <f>'6-x'!X604</f>
        <v>552.21390649159514</v>
      </c>
    </row>
    <row r="127" spans="1:8">
      <c r="A127" s="227" t="s">
        <v>17</v>
      </c>
      <c r="B127" s="288">
        <f>'6-x'!R605</f>
        <v>0</v>
      </c>
      <c r="C127" s="288">
        <f>'6-x'!S605</f>
        <v>567.55588697229734</v>
      </c>
      <c r="D127" s="288">
        <f>'6-x'!T605</f>
        <v>1621.2639350249053</v>
      </c>
      <c r="E127" s="288">
        <f>'6-x'!U605</f>
        <v>651.36325183509007</v>
      </c>
      <c r="F127" s="288">
        <f>'6-x'!V605</f>
        <v>364.73233529447947</v>
      </c>
      <c r="G127" s="288">
        <f>'6-x'!W605</f>
        <v>10.842676267549736</v>
      </c>
      <c r="H127" s="288">
        <f>'6-x'!X605</f>
        <v>176.763708493108</v>
      </c>
    </row>
    <row r="128" spans="1:8">
      <c r="A128" s="227" t="s">
        <v>18</v>
      </c>
      <c r="B128" s="288">
        <f>'6-x'!R606</f>
        <v>0</v>
      </c>
      <c r="C128" s="288">
        <f>'6-x'!S606</f>
        <v>648.56921327369196</v>
      </c>
      <c r="D128" s="288">
        <f>'6-x'!T606</f>
        <v>0</v>
      </c>
      <c r="E128" s="288">
        <f>'6-x'!U606</f>
        <v>1048.0367627070889</v>
      </c>
      <c r="F128" s="288">
        <f>'6-x'!V606</f>
        <v>562.39183507272571</v>
      </c>
      <c r="G128" s="288">
        <f>'6-x'!W606</f>
        <v>12.555319966485468</v>
      </c>
      <c r="H128" s="288">
        <f>'6-x'!X606</f>
        <v>595.08294371714192</v>
      </c>
    </row>
    <row r="129" spans="1:8">
      <c r="A129" s="227" t="s">
        <v>19</v>
      </c>
      <c r="B129" s="288">
        <f>'6-x'!R607</f>
        <v>886.69849947404634</v>
      </c>
      <c r="C129" s="288">
        <f>'6-x'!S607</f>
        <v>518.1730313967148</v>
      </c>
      <c r="D129" s="288">
        <f>'6-x'!T607</f>
        <v>0</v>
      </c>
      <c r="E129" s="288">
        <f>'6-x'!U607</f>
        <v>738.04451279618468</v>
      </c>
      <c r="F129" s="288">
        <f>'6-x'!V607</f>
        <v>563.02119030445408</v>
      </c>
      <c r="G129" s="288">
        <f>'6-x'!W607</f>
        <v>10.091730811474937</v>
      </c>
      <c r="H129" s="288">
        <f>'6-x'!X607</f>
        <v>838.37006567112621</v>
      </c>
    </row>
    <row r="130" spans="1:8">
      <c r="A130" s="227" t="s">
        <v>20</v>
      </c>
      <c r="B130" s="288">
        <f>'6-x'!R608</f>
        <v>0</v>
      </c>
      <c r="C130" s="288">
        <f>'6-x'!S608</f>
        <v>390.55246669494602</v>
      </c>
      <c r="D130" s="288">
        <f>'6-x'!T608</f>
        <v>0</v>
      </c>
      <c r="E130" s="288">
        <f>'6-x'!U608</f>
        <v>555.60045141442811</v>
      </c>
      <c r="F130" s="288">
        <f>'6-x'!V608</f>
        <v>324.24381538660271</v>
      </c>
      <c r="G130" s="288">
        <f>'6-x'!W608</f>
        <v>9.9785898417265901</v>
      </c>
      <c r="H130" s="288">
        <f>'6-x'!X608</f>
        <v>388.23927413732298</v>
      </c>
    </row>
    <row r="131" spans="1:8">
      <c r="A131" s="227" t="s">
        <v>22</v>
      </c>
      <c r="B131" s="288">
        <f>'6-x'!R609</f>
        <v>0</v>
      </c>
      <c r="C131" s="288">
        <f>'6-x'!S609</f>
        <v>0</v>
      </c>
      <c r="D131" s="288">
        <f>'6-x'!T609</f>
        <v>0</v>
      </c>
      <c r="E131" s="288">
        <f>'6-x'!U609</f>
        <v>0</v>
      </c>
      <c r="F131" s="288">
        <f>'6-x'!V609</f>
        <v>0</v>
      </c>
      <c r="G131" s="288">
        <f>'6-x'!W609</f>
        <v>0</v>
      </c>
      <c r="H131" s="288">
        <f>'6-x'!X609</f>
        <v>0</v>
      </c>
    </row>
    <row r="132" spans="1:8">
      <c r="A132" s="227" t="s">
        <v>349</v>
      </c>
      <c r="B132" s="288">
        <f>'6-x'!R610</f>
        <v>0</v>
      </c>
      <c r="C132" s="288">
        <f>'6-x'!S610</f>
        <v>0</v>
      </c>
      <c r="D132" s="288">
        <f>'6-x'!T610</f>
        <v>0</v>
      </c>
      <c r="E132" s="288">
        <f>'6-x'!U610</f>
        <v>0</v>
      </c>
      <c r="F132" s="288">
        <f>'6-x'!V610</f>
        <v>0</v>
      </c>
      <c r="G132" s="288">
        <f>'6-x'!W610</f>
        <v>0</v>
      </c>
      <c r="H132" s="288">
        <f>'6-x'!X610</f>
        <v>0</v>
      </c>
    </row>
    <row r="133" spans="1:8">
      <c r="A133" s="228" t="s">
        <v>263</v>
      </c>
      <c r="B133" s="249">
        <f>'6-x'!R611</f>
        <v>420.0078492660092</v>
      </c>
      <c r="C133" s="249">
        <f>'6-x'!S611</f>
        <v>355.21118064968596</v>
      </c>
      <c r="D133" s="249">
        <f>'6-x'!T611</f>
        <v>1635.4171110016962</v>
      </c>
      <c r="E133" s="249">
        <f>'6-x'!U611</f>
        <v>420.11093192006189</v>
      </c>
      <c r="F133" s="249">
        <f>'6-x'!V611</f>
        <v>337.07146728090294</v>
      </c>
      <c r="G133" s="249">
        <f>'6-x'!W611</f>
        <v>7.8198070152711878</v>
      </c>
      <c r="H133" s="249">
        <f>'6-x'!X611</f>
        <v>366.73325193555809</v>
      </c>
    </row>
    <row r="134" spans="1:8">
      <c r="A134" s="227" t="s">
        <v>24</v>
      </c>
      <c r="B134" s="288">
        <f>'6-x'!R612</f>
        <v>0</v>
      </c>
      <c r="C134" s="288">
        <f>'6-x'!S612</f>
        <v>327.86977882149017</v>
      </c>
      <c r="D134" s="288">
        <f>'6-x'!T612</f>
        <v>1247.629855675825</v>
      </c>
      <c r="E134" s="288">
        <f>'6-x'!U612</f>
        <v>438.96366477326796</v>
      </c>
      <c r="F134" s="288">
        <f>'6-x'!V612</f>
        <v>312.66367912279549</v>
      </c>
      <c r="G134" s="288">
        <f>'6-x'!W612</f>
        <v>7.814491488991087</v>
      </c>
      <c r="H134" s="288">
        <f>'6-x'!X612</f>
        <v>234.16007939351388</v>
      </c>
    </row>
    <row r="135" spans="1:8">
      <c r="A135" s="227" t="s">
        <v>25</v>
      </c>
      <c r="B135" s="288">
        <f>'6-x'!R613</f>
        <v>0</v>
      </c>
      <c r="C135" s="288">
        <f>'6-x'!S613</f>
        <v>350.71079515914249</v>
      </c>
      <c r="D135" s="288">
        <f>'6-x'!T613</f>
        <v>0</v>
      </c>
      <c r="E135" s="288">
        <f>'6-x'!U613</f>
        <v>336.89800487693606</v>
      </c>
      <c r="F135" s="288">
        <f>'6-x'!V613</f>
        <v>390.87155591894299</v>
      </c>
      <c r="G135" s="288">
        <f>'6-x'!W613</f>
        <v>7.1988715065368574</v>
      </c>
      <c r="H135" s="288">
        <f>'6-x'!X613</f>
        <v>349.63270360598796</v>
      </c>
    </row>
    <row r="136" spans="1:8">
      <c r="A136" s="227" t="s">
        <v>26</v>
      </c>
      <c r="B136" s="288">
        <f>'6-x'!R614</f>
        <v>414.71716179252127</v>
      </c>
      <c r="C136" s="288">
        <f>'6-x'!S614</f>
        <v>358.22809167533188</v>
      </c>
      <c r="D136" s="288">
        <f>'6-x'!T614</f>
        <v>1575.2455263888271</v>
      </c>
      <c r="E136" s="288">
        <f>'6-x'!U614</f>
        <v>441.40348134449499</v>
      </c>
      <c r="F136" s="288">
        <f>'6-x'!V614</f>
        <v>262.14743252270887</v>
      </c>
      <c r="G136" s="288">
        <f>'6-x'!W614</f>
        <v>8.2337786121761312</v>
      </c>
      <c r="H136" s="288">
        <f>'6-x'!X614</f>
        <v>372.94090436121661</v>
      </c>
    </row>
    <row r="137" spans="1:8">
      <c r="A137" s="227" t="s">
        <v>27</v>
      </c>
      <c r="B137" s="288">
        <f>'6-x'!R615</f>
        <v>473.96247062002436</v>
      </c>
      <c r="C137" s="288">
        <f>'6-x'!S615</f>
        <v>288.31723407477062</v>
      </c>
      <c r="D137" s="288">
        <f>'6-x'!T615</f>
        <v>0</v>
      </c>
      <c r="E137" s="288">
        <f>'6-x'!U615</f>
        <v>322.32687813210782</v>
      </c>
      <c r="F137" s="288">
        <f>'6-x'!V615</f>
        <v>255.89583722087087</v>
      </c>
      <c r="G137" s="288">
        <f>'6-x'!W615</f>
        <v>0</v>
      </c>
      <c r="H137" s="288">
        <f>'6-x'!X615</f>
        <v>279.16895956048813</v>
      </c>
    </row>
    <row r="138" spans="1:8">
      <c r="A138" s="227" t="s">
        <v>28</v>
      </c>
      <c r="B138" s="288">
        <f>'6-x'!R616</f>
        <v>0</v>
      </c>
      <c r="C138" s="288">
        <f>'6-x'!S616</f>
        <v>549.57220069125958</v>
      </c>
      <c r="D138" s="288">
        <f>'6-x'!T616</f>
        <v>1788.1691632703732</v>
      </c>
      <c r="E138" s="288">
        <f>'6-x'!U616</f>
        <v>485.79458840432056</v>
      </c>
      <c r="F138" s="288">
        <f>'6-x'!V616</f>
        <v>508.81272634489284</v>
      </c>
      <c r="G138" s="288">
        <f>'6-x'!W616</f>
        <v>10.812727187322233</v>
      </c>
      <c r="H138" s="288">
        <f>'6-x'!X616</f>
        <v>727.72812430148019</v>
      </c>
    </row>
    <row r="139" spans="1:8">
      <c r="A139" s="227" t="s">
        <v>351</v>
      </c>
      <c r="B139" s="288">
        <f>'6-x'!R617</f>
        <v>0</v>
      </c>
      <c r="C139" s="288">
        <f>'6-x'!S617</f>
        <v>0</v>
      </c>
      <c r="D139" s="288">
        <f>'6-x'!T617</f>
        <v>0</v>
      </c>
      <c r="E139" s="288">
        <f>'6-x'!U617</f>
        <v>0</v>
      </c>
      <c r="F139" s="288">
        <f>'6-x'!V617</f>
        <v>0</v>
      </c>
      <c r="G139" s="288">
        <f>'6-x'!W617</f>
        <v>0</v>
      </c>
      <c r="H139" s="288">
        <f>'6-x'!X617</f>
        <v>0</v>
      </c>
    </row>
    <row r="140" spans="1:8">
      <c r="A140" s="322" t="s">
        <v>9</v>
      </c>
      <c r="B140" s="324">
        <f>'6-x'!R618</f>
        <v>884.45535712721107</v>
      </c>
      <c r="C140" s="324">
        <f>'6-x'!S618</f>
        <v>369.32797179917577</v>
      </c>
      <c r="D140" s="324">
        <f>'6-x'!T618</f>
        <v>1635.2611008482413</v>
      </c>
      <c r="E140" s="324">
        <f>'6-x'!U618</f>
        <v>527.26922681090946</v>
      </c>
      <c r="F140" s="324">
        <f>'6-x'!V618</f>
        <v>384.80013812341468</v>
      </c>
      <c r="G140" s="324">
        <f>'6-x'!W618</f>
        <v>8.8932671712576035</v>
      </c>
      <c r="H140" s="324">
        <f>'6-x'!X618</f>
        <v>449.5171576503547</v>
      </c>
    </row>
    <row r="141" spans="1:8" ht="15.5">
      <c r="A141" s="314"/>
      <c r="B141" s="314"/>
      <c r="C141" s="314"/>
      <c r="D141" s="314"/>
      <c r="E141" s="314"/>
      <c r="F141" s="314"/>
      <c r="G141" s="314"/>
      <c r="H141" s="314"/>
    </row>
    <row r="142" spans="1:8" ht="15.5">
      <c r="A142" s="314"/>
      <c r="B142" s="314"/>
      <c r="C142" s="314"/>
      <c r="D142" s="314"/>
      <c r="E142" s="314"/>
      <c r="F142" s="314"/>
      <c r="G142" s="314"/>
      <c r="H142" s="314"/>
    </row>
    <row r="143" spans="1:8">
      <c r="B143" s="1104" t="s">
        <v>10</v>
      </c>
      <c r="C143" s="1104"/>
      <c r="D143" s="1104"/>
      <c r="E143" s="1104"/>
      <c r="F143" s="1104"/>
      <c r="G143" s="1104"/>
      <c r="H143" s="1104"/>
    </row>
    <row r="144" spans="1:8" ht="29">
      <c r="B144" s="251" t="s">
        <v>5</v>
      </c>
      <c r="C144" s="251" t="s">
        <v>63</v>
      </c>
      <c r="D144" s="251" t="s">
        <v>7</v>
      </c>
      <c r="E144" s="251" t="s">
        <v>8</v>
      </c>
      <c r="F144" s="251" t="s">
        <v>243</v>
      </c>
      <c r="G144" s="251" t="s">
        <v>244</v>
      </c>
      <c r="H144" s="251" t="s">
        <v>9</v>
      </c>
    </row>
    <row r="145" spans="1:16">
      <c r="A145" s="253">
        <v>2017</v>
      </c>
      <c r="B145" s="1105" t="s">
        <v>245</v>
      </c>
      <c r="C145" s="1105"/>
      <c r="D145" s="1105"/>
      <c r="E145" s="1105"/>
      <c r="F145" s="1105"/>
      <c r="G145" s="1105"/>
      <c r="H145" s="1105"/>
    </row>
    <row r="146" spans="1:16">
      <c r="A146" s="228" t="s">
        <v>262</v>
      </c>
      <c r="B146" s="249">
        <f>'6-x'!R692</f>
        <v>871.96634831648953</v>
      </c>
      <c r="C146" s="249">
        <f>'6-x'!S692</f>
        <v>393.57208005536916</v>
      </c>
      <c r="D146" s="249">
        <f>'6-x'!T692</f>
        <v>1631.2480362014308</v>
      </c>
      <c r="E146" s="249">
        <f>'6-x'!U692</f>
        <v>718.55766398931439</v>
      </c>
      <c r="F146" s="249">
        <f>'6-x'!V692</f>
        <v>453.06293896188947</v>
      </c>
      <c r="G146" s="249">
        <f>'6-x'!W692</f>
        <v>10.546900468208419</v>
      </c>
      <c r="H146" s="249">
        <f>'6-x'!X692</f>
        <v>550.58692568594256</v>
      </c>
      <c r="I146" s="56"/>
      <c r="J146" s="56"/>
      <c r="K146" s="56"/>
      <c r="L146" s="56"/>
      <c r="M146" s="56"/>
      <c r="N146" s="56"/>
      <c r="O146" s="56"/>
      <c r="P146" s="56"/>
    </row>
    <row r="147" spans="1:16">
      <c r="A147" s="227" t="s">
        <v>17</v>
      </c>
      <c r="B147" s="288">
        <f>'6-x'!R693</f>
        <v>0</v>
      </c>
      <c r="C147" s="288">
        <f>'6-x'!S693</f>
        <v>566.75924855180062</v>
      </c>
      <c r="D147" s="288">
        <f>'6-x'!T693</f>
        <v>1631.2480362014308</v>
      </c>
      <c r="E147" s="288">
        <f>'6-x'!U693</f>
        <v>668.69784472001572</v>
      </c>
      <c r="F147" s="288">
        <f>'6-x'!V693</f>
        <v>358.57769831333621</v>
      </c>
      <c r="G147" s="288">
        <f>'6-x'!W693</f>
        <v>10.533358983966332</v>
      </c>
      <c r="H147" s="249">
        <f>'6-x'!X693</f>
        <v>175.454947606254</v>
      </c>
      <c r="I147" s="56"/>
      <c r="J147" s="56"/>
      <c r="K147" s="56"/>
      <c r="L147" s="56"/>
      <c r="M147" s="56"/>
      <c r="N147" s="56"/>
      <c r="O147" s="56"/>
      <c r="P147" s="56"/>
    </row>
    <row r="148" spans="1:16">
      <c r="A148" s="227" t="s">
        <v>18</v>
      </c>
      <c r="B148" s="288">
        <f>'6-x'!R694</f>
        <v>0</v>
      </c>
      <c r="C148" s="288">
        <f>'6-x'!S694</f>
        <v>688.36920907703586</v>
      </c>
      <c r="D148" s="288">
        <f>'6-x'!T694</f>
        <v>0</v>
      </c>
      <c r="E148" s="288">
        <f>'6-x'!U694</f>
        <v>1078.1531220819793</v>
      </c>
      <c r="F148" s="288">
        <f>'6-x'!V694</f>
        <v>546.4021761988414</v>
      </c>
      <c r="G148" s="288">
        <f>'6-x'!W694</f>
        <v>12.116041712279481</v>
      </c>
      <c r="H148" s="249">
        <f>'6-x'!X694</f>
        <v>653.18345550767037</v>
      </c>
      <c r="I148" s="56"/>
      <c r="J148" s="56"/>
      <c r="K148" s="56"/>
      <c r="L148" s="56"/>
      <c r="M148" s="56"/>
      <c r="N148" s="56"/>
      <c r="O148" s="56"/>
      <c r="P148" s="56"/>
    </row>
    <row r="149" spans="1:16">
      <c r="A149" s="227" t="s">
        <v>19</v>
      </c>
      <c r="B149" s="288">
        <f>'6-x'!R695</f>
        <v>871.96634831648953</v>
      </c>
      <c r="C149" s="288">
        <f>'6-x'!S695</f>
        <v>541.41659106513964</v>
      </c>
      <c r="D149" s="288">
        <f>'6-x'!T695</f>
        <v>0</v>
      </c>
      <c r="E149" s="288">
        <f>'6-x'!U695</f>
        <v>723.63158206810078</v>
      </c>
      <c r="F149" s="288">
        <f>'6-x'!V695</f>
        <v>543.27244566493448</v>
      </c>
      <c r="G149" s="288">
        <f>'6-x'!W695</f>
        <v>9.9375759122384277</v>
      </c>
      <c r="H149" s="249">
        <f>'6-x'!X695</f>
        <v>825.03435515159219</v>
      </c>
      <c r="I149" s="56"/>
      <c r="J149" s="56"/>
      <c r="K149" s="56"/>
      <c r="L149" s="56"/>
      <c r="M149" s="56"/>
      <c r="N149" s="56"/>
      <c r="O149" s="56"/>
      <c r="P149" s="56"/>
    </row>
    <row r="150" spans="1:16">
      <c r="A150" s="227" t="s">
        <v>20</v>
      </c>
      <c r="B150" s="288">
        <f>'6-x'!R696</f>
        <v>0</v>
      </c>
      <c r="C150" s="288">
        <f>'6-x'!S696</f>
        <v>388.59224749140253</v>
      </c>
      <c r="D150" s="288">
        <f>'6-x'!T696</f>
        <v>0</v>
      </c>
      <c r="E150" s="288">
        <f>'6-x'!U696</f>
        <v>615.43934205598953</v>
      </c>
      <c r="F150" s="288">
        <f>'6-x'!V696</f>
        <v>310.94076083620746</v>
      </c>
      <c r="G150" s="288">
        <f>'6-x'!W696</f>
        <v>9.984724212878767</v>
      </c>
      <c r="H150" s="249">
        <f>'6-x'!X696</f>
        <v>385.70660594727468</v>
      </c>
      <c r="I150" s="56"/>
      <c r="J150" s="56"/>
      <c r="K150" s="56"/>
      <c r="L150" s="56"/>
      <c r="M150" s="56"/>
      <c r="N150" s="56"/>
      <c r="O150" s="56"/>
      <c r="P150" s="56"/>
    </row>
    <row r="151" spans="1:16">
      <c r="A151" s="227" t="s">
        <v>22</v>
      </c>
      <c r="B151" s="288">
        <f>'6-x'!R697</f>
        <v>0</v>
      </c>
      <c r="C151" s="288">
        <f>'6-x'!S697</f>
        <v>0</v>
      </c>
      <c r="D151" s="288">
        <f>'6-x'!T697</f>
        <v>0</v>
      </c>
      <c r="E151" s="288">
        <f>'6-x'!U697</f>
        <v>0</v>
      </c>
      <c r="F151" s="288">
        <f>'6-x'!V697</f>
        <v>0</v>
      </c>
      <c r="G151" s="288">
        <f>'6-x'!W697</f>
        <v>0</v>
      </c>
      <c r="H151" s="249">
        <f>'6-x'!X697</f>
        <v>0</v>
      </c>
      <c r="I151" s="56"/>
      <c r="J151" s="56"/>
      <c r="K151" s="56"/>
      <c r="L151" s="56"/>
      <c r="M151" s="56"/>
      <c r="N151" s="56"/>
      <c r="O151" s="56"/>
      <c r="P151" s="56"/>
    </row>
    <row r="152" spans="1:16">
      <c r="A152" s="228" t="s">
        <v>263</v>
      </c>
      <c r="B152" s="249">
        <f>'6-x'!R698</f>
        <v>418.18096891944373</v>
      </c>
      <c r="C152" s="249">
        <f>'6-x'!S698</f>
        <v>356.63688784316292</v>
      </c>
      <c r="D152" s="249">
        <f>'6-x'!T698</f>
        <v>1483.7459865517887</v>
      </c>
      <c r="E152" s="249">
        <f>'6-x'!U698</f>
        <v>437.08639155308026</v>
      </c>
      <c r="F152" s="249">
        <f>'6-x'!V698</f>
        <v>325.73335013858247</v>
      </c>
      <c r="G152" s="249">
        <f>'6-x'!W698</f>
        <v>7.5514812798440634</v>
      </c>
      <c r="H152" s="249">
        <f>'6-x'!X698</f>
        <v>362.91064228268499</v>
      </c>
      <c r="I152" s="56"/>
      <c r="J152" s="56"/>
      <c r="K152" s="56"/>
      <c r="L152" s="56"/>
      <c r="M152" s="56"/>
      <c r="N152" s="56"/>
      <c r="O152" s="56"/>
      <c r="P152" s="56"/>
    </row>
    <row r="153" spans="1:16">
      <c r="A153" s="227" t="s">
        <v>24</v>
      </c>
      <c r="B153" s="288">
        <f>'6-x'!R699</f>
        <v>0</v>
      </c>
      <c r="C153" s="288">
        <f>'6-x'!S699</f>
        <v>328.58466205817064</v>
      </c>
      <c r="D153" s="288">
        <f>'6-x'!T699</f>
        <v>1170.8433044757699</v>
      </c>
      <c r="E153" s="288">
        <f>'6-x'!U699</f>
        <v>480.02453842792784</v>
      </c>
      <c r="F153" s="288">
        <f>'6-x'!V699</f>
        <v>306.67294647178892</v>
      </c>
      <c r="G153" s="288">
        <f>'6-x'!W699</f>
        <v>7.5458712070285765</v>
      </c>
      <c r="H153" s="249">
        <f>'6-x'!X699</f>
        <v>228.75683009248584</v>
      </c>
      <c r="I153" s="56"/>
      <c r="J153" s="56"/>
      <c r="K153" s="56"/>
      <c r="L153" s="56"/>
      <c r="M153" s="56"/>
      <c r="N153" s="56"/>
      <c r="O153" s="56"/>
      <c r="P153" s="56"/>
    </row>
    <row r="154" spans="1:16">
      <c r="A154" s="227" t="s">
        <v>25</v>
      </c>
      <c r="B154" s="288">
        <f>'6-x'!R700</f>
        <v>0</v>
      </c>
      <c r="C154" s="288">
        <f>'6-x'!S700</f>
        <v>352.65148781781426</v>
      </c>
      <c r="D154" s="288">
        <f>'6-x'!T700</f>
        <v>0</v>
      </c>
      <c r="E154" s="288">
        <f>'6-x'!U700</f>
        <v>350.68246052957818</v>
      </c>
      <c r="F154" s="288">
        <f>'6-x'!V700</f>
        <v>365.5687847007647</v>
      </c>
      <c r="G154" s="288">
        <f>'6-x'!W700</f>
        <v>7.8276894585833219</v>
      </c>
      <c r="H154" s="249">
        <f>'6-x'!X700</f>
        <v>352.24346950459829</v>
      </c>
      <c r="I154" s="56"/>
      <c r="J154" s="56"/>
      <c r="K154" s="56"/>
      <c r="L154" s="56"/>
      <c r="M154" s="56"/>
      <c r="N154" s="56"/>
      <c r="O154" s="56"/>
      <c r="P154" s="56"/>
    </row>
    <row r="155" spans="1:16">
      <c r="A155" s="227" t="s">
        <v>26</v>
      </c>
      <c r="B155" s="288">
        <f>'6-x'!R701</f>
        <v>412.73180226753612</v>
      </c>
      <c r="C155" s="288">
        <f>'6-x'!S701</f>
        <v>359.25101738756706</v>
      </c>
      <c r="D155" s="288">
        <f>'6-x'!T701</f>
        <v>1417.2078857786853</v>
      </c>
      <c r="E155" s="288">
        <f>'6-x'!U701</f>
        <v>452.38316614096271</v>
      </c>
      <c r="F155" s="288">
        <f>'6-x'!V701</f>
        <v>249.48423398858054</v>
      </c>
      <c r="G155" s="288">
        <f>'6-x'!W701</f>
        <v>7.9937800631117826</v>
      </c>
      <c r="H155" s="249">
        <f>'6-x'!X701</f>
        <v>368.4217393540722</v>
      </c>
      <c r="I155" s="56"/>
      <c r="J155" s="56"/>
      <c r="K155" s="56"/>
      <c r="L155" s="56"/>
      <c r="M155" s="56"/>
      <c r="N155" s="56"/>
      <c r="O155" s="56"/>
      <c r="P155" s="56"/>
    </row>
    <row r="156" spans="1:16">
      <c r="A156" s="227" t="s">
        <v>27</v>
      </c>
      <c r="B156" s="288">
        <f>'6-x'!R702</f>
        <v>471.69348830575558</v>
      </c>
      <c r="C156" s="288">
        <f>'6-x'!S702</f>
        <v>287.23611563256605</v>
      </c>
      <c r="D156" s="288">
        <f>'6-x'!T702</f>
        <v>0</v>
      </c>
      <c r="E156" s="288">
        <f>'6-x'!U702</f>
        <v>336.09395848923555</v>
      </c>
      <c r="F156" s="288">
        <f>'6-x'!V702</f>
        <v>237.81887472583657</v>
      </c>
      <c r="G156" s="288">
        <f>'6-x'!W702</f>
        <v>0</v>
      </c>
      <c r="H156" s="249">
        <f>'6-x'!X702</f>
        <v>270.92125930920014</v>
      </c>
      <c r="I156" s="56"/>
      <c r="J156" s="56"/>
      <c r="K156" s="56"/>
      <c r="L156" s="56"/>
      <c r="M156" s="56"/>
      <c r="N156" s="56"/>
      <c r="O156" s="56"/>
      <c r="P156" s="56"/>
    </row>
    <row r="157" spans="1:16">
      <c r="A157" s="227" t="s">
        <v>28</v>
      </c>
      <c r="B157" s="288">
        <f>'6-x'!R703</f>
        <v>0</v>
      </c>
      <c r="C157" s="288">
        <f>'6-x'!S703</f>
        <v>516.59586473953118</v>
      </c>
      <c r="D157" s="288">
        <f>'6-x'!T703</f>
        <v>1613.425917553986</v>
      </c>
      <c r="E157" s="288">
        <f>'6-x'!U703</f>
        <v>548.49975613881884</v>
      </c>
      <c r="F157" s="288">
        <f>'6-x'!V703</f>
        <v>494.37548680402494</v>
      </c>
      <c r="G157" s="288">
        <f>'6-x'!W703</f>
        <v>10.731596157113207</v>
      </c>
      <c r="H157" s="249">
        <f>'6-x'!X703</f>
        <v>693.46358141441749</v>
      </c>
      <c r="I157" s="56"/>
      <c r="J157" s="56"/>
      <c r="K157" s="56"/>
      <c r="L157" s="56"/>
      <c r="M157" s="56"/>
      <c r="N157" s="56"/>
      <c r="O157" s="56"/>
      <c r="P157" s="56"/>
    </row>
    <row r="158" spans="1:16">
      <c r="A158" s="322" t="s">
        <v>9</v>
      </c>
      <c r="B158" s="324">
        <f>'6-x'!R704</f>
        <v>870.04007545850845</v>
      </c>
      <c r="C158" s="324">
        <f>'6-x'!S704</f>
        <v>370.73439298967781</v>
      </c>
      <c r="D158" s="324">
        <f>'6-x'!T704</f>
        <v>1485.5681643530017</v>
      </c>
      <c r="E158" s="324">
        <f>'6-x'!U704</f>
        <v>569.18352589126073</v>
      </c>
      <c r="F158" s="324">
        <f>'6-x'!V704</f>
        <v>372.42706226995932</v>
      </c>
      <c r="G158" s="324">
        <f>'6-x'!W704</f>
        <v>8.6355152924113359</v>
      </c>
      <c r="H158" s="324">
        <f>'6-x'!X704</f>
        <v>450.18631134187768</v>
      </c>
      <c r="I158" s="56"/>
      <c r="J158" s="56"/>
      <c r="K158" s="56"/>
      <c r="L158" s="56"/>
      <c r="M158" s="56"/>
      <c r="N158" s="56"/>
      <c r="O158" s="56"/>
      <c r="P158" s="56"/>
    </row>
    <row r="159" spans="1:16" ht="15.5">
      <c r="A159" s="314"/>
      <c r="B159" s="316"/>
      <c r="C159" s="316"/>
      <c r="D159" s="316"/>
      <c r="E159" s="316"/>
      <c r="F159" s="316"/>
      <c r="G159" s="316"/>
      <c r="H159" s="316"/>
    </row>
    <row r="160" spans="1:16" ht="15.5">
      <c r="A160" s="314"/>
      <c r="B160" s="314"/>
      <c r="C160" s="314"/>
      <c r="D160" s="314"/>
      <c r="E160" s="314"/>
      <c r="F160" s="314"/>
      <c r="G160" s="314"/>
      <c r="H160" s="314"/>
    </row>
    <row r="161" spans="1:10">
      <c r="B161" s="1104" t="s">
        <v>10</v>
      </c>
      <c r="C161" s="1104"/>
      <c r="D161" s="1104"/>
      <c r="E161" s="1104"/>
      <c r="F161" s="1104"/>
      <c r="G161" s="1104"/>
      <c r="H161" s="1104"/>
    </row>
    <row r="162" spans="1:10" ht="29">
      <c r="B162" s="251" t="s">
        <v>5</v>
      </c>
      <c r="C162" s="251" t="s">
        <v>63</v>
      </c>
      <c r="D162" s="251" t="s">
        <v>7</v>
      </c>
      <c r="E162" s="251" t="s">
        <v>8</v>
      </c>
      <c r="F162" s="251" t="s">
        <v>243</v>
      </c>
      <c r="G162" s="251" t="s">
        <v>244</v>
      </c>
      <c r="H162" s="251" t="s">
        <v>9</v>
      </c>
    </row>
    <row r="163" spans="1:10">
      <c r="A163" s="253">
        <v>2016</v>
      </c>
      <c r="B163" s="1105" t="s">
        <v>245</v>
      </c>
      <c r="C163" s="1105"/>
      <c r="D163" s="1105"/>
      <c r="E163" s="1105"/>
      <c r="F163" s="1105"/>
      <c r="G163" s="1105"/>
      <c r="H163" s="1105"/>
    </row>
    <row r="164" spans="1:10">
      <c r="A164" s="228" t="s">
        <v>262</v>
      </c>
      <c r="B164" s="249">
        <f>'6-x'!R777</f>
        <v>897.27411396779337</v>
      </c>
      <c r="C164" s="249">
        <f>'6-x'!S777</f>
        <v>396.6407387171663</v>
      </c>
      <c r="D164" s="249">
        <f>'6-x'!T777</f>
        <v>1694.0540228093639</v>
      </c>
      <c r="E164" s="249">
        <f>'6-x'!U777</f>
        <v>717.63052512703268</v>
      </c>
      <c r="F164" s="249">
        <f>'6-x'!V777</f>
        <v>469.08087927114417</v>
      </c>
      <c r="G164" s="249">
        <f>'6-x'!W777</f>
        <v>10.621599010409184</v>
      </c>
      <c r="H164" s="249">
        <f>'6-x'!X777</f>
        <v>586.67988483354134</v>
      </c>
      <c r="I164" s="56"/>
      <c r="J164" s="56"/>
    </row>
    <row r="165" spans="1:10">
      <c r="A165" s="227" t="s">
        <v>17</v>
      </c>
      <c r="B165" s="288">
        <f>'6-x'!R778</f>
        <v>0</v>
      </c>
      <c r="C165" s="288">
        <f>'6-x'!S778</f>
        <v>577.43040006162187</v>
      </c>
      <c r="D165" s="288">
        <f>'6-x'!T778</f>
        <v>1694.0540228093639</v>
      </c>
      <c r="E165" s="288">
        <f>'6-x'!U778</f>
        <v>670.77459168549865</v>
      </c>
      <c r="F165" s="288">
        <f>'6-x'!V778</f>
        <v>367.99343584484518</v>
      </c>
      <c r="G165" s="288">
        <f>'6-x'!W778</f>
        <v>10.60734005213868</v>
      </c>
      <c r="H165" s="249">
        <f>'6-x'!X778</f>
        <v>178.9586597766579</v>
      </c>
      <c r="I165" s="56"/>
      <c r="J165" s="56"/>
    </row>
    <row r="166" spans="1:10">
      <c r="A166" s="227" t="s">
        <v>18</v>
      </c>
      <c r="B166" s="288">
        <f>'6-x'!R779</f>
        <v>0</v>
      </c>
      <c r="C166" s="288">
        <f>'6-x'!S779</f>
        <v>665.33563212899719</v>
      </c>
      <c r="D166" s="288">
        <f>'6-x'!T779</f>
        <v>0</v>
      </c>
      <c r="E166" s="288">
        <f>'6-x'!U779</f>
        <v>1053.507817373905</v>
      </c>
      <c r="F166" s="288">
        <f>'6-x'!V779</f>
        <v>556.77250180199815</v>
      </c>
      <c r="G166" s="288">
        <f>'6-x'!W779</f>
        <v>12.243796434344514</v>
      </c>
      <c r="H166" s="249">
        <f>'6-x'!X779</f>
        <v>607.15788707406637</v>
      </c>
      <c r="I166" s="56"/>
      <c r="J166" s="56"/>
    </row>
    <row r="167" spans="1:10">
      <c r="A167" s="227" t="s">
        <v>19</v>
      </c>
      <c r="B167" s="288">
        <f>'6-x'!R780</f>
        <v>897.27411396779337</v>
      </c>
      <c r="C167" s="288">
        <f>'6-x'!S780</f>
        <v>554.11690928184839</v>
      </c>
      <c r="D167" s="288">
        <f>'6-x'!T780</f>
        <v>0</v>
      </c>
      <c r="E167" s="288">
        <f>'6-x'!U780</f>
        <v>724.41707796176877</v>
      </c>
      <c r="F167" s="288">
        <f>'6-x'!V780</f>
        <v>571.90286153256693</v>
      </c>
      <c r="G167" s="288">
        <f>'6-x'!W780</f>
        <v>9.728243009426393</v>
      </c>
      <c r="H167" s="249">
        <f>'6-x'!X780</f>
        <v>852.26920663811188</v>
      </c>
      <c r="I167" s="56"/>
      <c r="J167" s="56"/>
    </row>
    <row r="168" spans="1:10">
      <c r="A168" s="227" t="s">
        <v>20</v>
      </c>
      <c r="B168" s="288">
        <f>'6-x'!R781</f>
        <v>0</v>
      </c>
      <c r="C168" s="288">
        <f>'6-x'!S781</f>
        <v>392.17012347962816</v>
      </c>
      <c r="D168" s="288">
        <f>'6-x'!T781</f>
        <v>0</v>
      </c>
      <c r="E168" s="288">
        <f>'6-x'!U781</f>
        <v>557.99317760789313</v>
      </c>
      <c r="F168" s="288">
        <f>'6-x'!V781</f>
        <v>312.83152489252581</v>
      </c>
      <c r="G168" s="288">
        <f>'6-x'!W781</f>
        <v>9.728243009426393</v>
      </c>
      <c r="H168" s="249">
        <f>'6-x'!X781</f>
        <v>388.37323992645747</v>
      </c>
      <c r="I168" s="256"/>
      <c r="J168" s="56"/>
    </row>
    <row r="169" spans="1:10">
      <c r="A169" s="227" t="s">
        <v>22</v>
      </c>
      <c r="B169" s="288">
        <f>'6-x'!R782</f>
        <v>0</v>
      </c>
      <c r="C169" s="288">
        <f>'6-x'!S782</f>
        <v>0</v>
      </c>
      <c r="D169" s="288">
        <f>'6-x'!T782</f>
        <v>0</v>
      </c>
      <c r="E169" s="288">
        <f>'6-x'!U782</f>
        <v>0</v>
      </c>
      <c r="F169" s="288">
        <f>'6-x'!V782</f>
        <v>0</v>
      </c>
      <c r="G169" s="288">
        <f>'6-x'!W782</f>
        <v>0</v>
      </c>
      <c r="H169" s="249">
        <f>'6-x'!X782</f>
        <v>0</v>
      </c>
      <c r="I169" s="56"/>
      <c r="J169" s="56"/>
    </row>
    <row r="170" spans="1:10">
      <c r="A170" s="228" t="s">
        <v>263</v>
      </c>
      <c r="B170" s="249">
        <f>'6-x'!R783</f>
        <v>422.87388740937058</v>
      </c>
      <c r="C170" s="249">
        <f>'6-x'!S783</f>
        <v>355.75245151195975</v>
      </c>
      <c r="D170" s="249">
        <f>'6-x'!T783</f>
        <v>1624.5059256759043</v>
      </c>
      <c r="E170" s="249">
        <f>'6-x'!U783</f>
        <v>434.37643290061573</v>
      </c>
      <c r="F170" s="249">
        <f>'6-x'!V783</f>
        <v>329.93627612426144</v>
      </c>
      <c r="G170" s="249">
        <f>'6-x'!W783</f>
        <v>7.5847242797766521</v>
      </c>
      <c r="H170" s="249">
        <f>'6-x'!X783</f>
        <v>370.69169921161887</v>
      </c>
      <c r="I170" s="56"/>
      <c r="J170" s="56"/>
    </row>
    <row r="171" spans="1:10">
      <c r="A171" s="227" t="s">
        <v>24</v>
      </c>
      <c r="B171" s="288">
        <f>'6-x'!R784</f>
        <v>0</v>
      </c>
      <c r="C171" s="288">
        <f>'6-x'!S784</f>
        <v>324.99354977290233</v>
      </c>
      <c r="D171" s="288">
        <f>'6-x'!T784</f>
        <v>1470.6476827705267</v>
      </c>
      <c r="E171" s="288">
        <f>'6-x'!U784</f>
        <v>469.77181237013644</v>
      </c>
      <c r="F171" s="288">
        <f>'6-x'!V784</f>
        <v>311.80084643676497</v>
      </c>
      <c r="G171" s="288">
        <f>'6-x'!W784</f>
        <v>7.5779026941644787</v>
      </c>
      <c r="H171" s="249">
        <f>'6-x'!X784</f>
        <v>225.72324360759819</v>
      </c>
      <c r="I171" s="56"/>
      <c r="J171" s="56"/>
    </row>
    <row r="172" spans="1:10">
      <c r="A172" s="227" t="s">
        <v>25</v>
      </c>
      <c r="B172" s="288">
        <f>'6-x'!R785</f>
        <v>0</v>
      </c>
      <c r="C172" s="288">
        <f>'6-x'!S785</f>
        <v>351.79534341249234</v>
      </c>
      <c r="D172" s="288">
        <f>'6-x'!T785</f>
        <v>924.94400595518562</v>
      </c>
      <c r="E172" s="288">
        <f>'6-x'!U785</f>
        <v>349.05882444623444</v>
      </c>
      <c r="F172" s="288">
        <f>'6-x'!V785</f>
        <v>360.49009668690638</v>
      </c>
      <c r="G172" s="288">
        <f>'6-x'!W785</f>
        <v>9.0333685087530782</v>
      </c>
      <c r="H172" s="249">
        <f>'6-x'!X785</f>
        <v>351.31317279395495</v>
      </c>
      <c r="I172" s="56"/>
      <c r="J172" s="56"/>
    </row>
    <row r="173" spans="1:10">
      <c r="A173" s="227" t="s">
        <v>26</v>
      </c>
      <c r="B173" s="288">
        <f>'6-x'!R786</f>
        <v>418.04449254959189</v>
      </c>
      <c r="C173" s="288">
        <f>'6-x'!S786</f>
        <v>358.9835728389541</v>
      </c>
      <c r="D173" s="288">
        <f>'6-x'!T786</f>
        <v>1549.6086321810249</v>
      </c>
      <c r="E173" s="288">
        <f>'6-x'!U786</f>
        <v>452.16928444809201</v>
      </c>
      <c r="F173" s="288">
        <f>'6-x'!V786</f>
        <v>255.48457561399348</v>
      </c>
      <c r="G173" s="288">
        <f>'6-x'!W786</f>
        <v>8.257694647536356</v>
      </c>
      <c r="H173" s="249">
        <f>'6-x'!X786</f>
        <v>371.85291382205401</v>
      </c>
      <c r="I173" s="256"/>
      <c r="J173" s="56"/>
    </row>
    <row r="174" spans="1:10">
      <c r="A174" s="227" t="s">
        <v>27</v>
      </c>
      <c r="B174" s="288">
        <f>'6-x'!R787</f>
        <v>477.76513434239087</v>
      </c>
      <c r="C174" s="288">
        <f>'6-x'!S787</f>
        <v>287.55243241087203</v>
      </c>
      <c r="D174" s="288">
        <f>'6-x'!T787</f>
        <v>0</v>
      </c>
      <c r="E174" s="288">
        <f>'6-x'!U787</f>
        <v>360.74745958814538</v>
      </c>
      <c r="F174" s="288">
        <f>'6-x'!V787</f>
        <v>240.51912443634626</v>
      </c>
      <c r="G174" s="288">
        <f>'6-x'!W787</f>
        <v>5.3629228904678392</v>
      </c>
      <c r="H174" s="249">
        <f>'6-x'!X787</f>
        <v>274.09487077229761</v>
      </c>
      <c r="I174" s="56"/>
      <c r="J174" s="56"/>
    </row>
    <row r="175" spans="1:10">
      <c r="A175" s="227" t="s">
        <v>28</v>
      </c>
      <c r="B175" s="288">
        <f>'6-x'!R788</f>
        <v>0</v>
      </c>
      <c r="C175" s="288">
        <f>'6-x'!S788</f>
        <v>506.734128769341</v>
      </c>
      <c r="D175" s="288">
        <f>'6-x'!T788</f>
        <v>1721.7662790928557</v>
      </c>
      <c r="E175" s="288">
        <f>'6-x'!U788</f>
        <v>531.20672207434711</v>
      </c>
      <c r="F175" s="288">
        <f>'6-x'!V788</f>
        <v>516.1637706450216</v>
      </c>
      <c r="G175" s="288">
        <f>'6-x'!W788</f>
        <v>11.058739146374522</v>
      </c>
      <c r="H175" s="249">
        <f>'6-x'!X788</f>
        <v>787.31306853759054</v>
      </c>
      <c r="I175" s="56"/>
      <c r="J175" s="56"/>
    </row>
    <row r="176" spans="1:10">
      <c r="A176" s="322" t="s">
        <v>9</v>
      </c>
      <c r="B176" s="324">
        <f>'6-x'!R789</f>
        <v>895.42888298184539</v>
      </c>
      <c r="C176" s="324">
        <f>'6-x'!S789</f>
        <v>370.33463685932207</v>
      </c>
      <c r="D176" s="324">
        <f>'6-x'!T789</f>
        <v>1625.3679399452587</v>
      </c>
      <c r="E176" s="324">
        <f>'6-x'!U789</f>
        <v>565.58427498165167</v>
      </c>
      <c r="F176" s="324">
        <f>'6-x'!V789</f>
        <v>381.48460705206145</v>
      </c>
      <c r="G176" s="324">
        <f>'6-x'!W789</f>
        <v>8.7302472255317571</v>
      </c>
      <c r="H176" s="324">
        <f>'6-x'!X789</f>
        <v>470.66057119274001</v>
      </c>
      <c r="I176" s="56"/>
      <c r="J176" s="56"/>
    </row>
    <row r="177" spans="1:13">
      <c r="B177" s="248"/>
      <c r="C177" s="248"/>
      <c r="D177" s="248"/>
      <c r="E177" s="248"/>
      <c r="F177" s="248"/>
      <c r="G177" s="248"/>
      <c r="H177" s="248"/>
    </row>
    <row r="178" spans="1:13">
      <c r="B178" s="247"/>
      <c r="C178" s="247"/>
      <c r="D178" s="247"/>
      <c r="E178" s="247"/>
      <c r="F178" s="247"/>
      <c r="G178" s="247"/>
      <c r="H178" s="247"/>
    </row>
    <row r="179" spans="1:13">
      <c r="A179" s="253">
        <v>2015</v>
      </c>
      <c r="B179" s="1105" t="s">
        <v>245</v>
      </c>
      <c r="C179" s="1105"/>
      <c r="D179" s="1105"/>
      <c r="E179" s="1105"/>
      <c r="F179" s="1105"/>
      <c r="G179" s="1105"/>
      <c r="H179" s="1105"/>
    </row>
    <row r="180" spans="1:13">
      <c r="A180" s="228" t="s">
        <v>262</v>
      </c>
      <c r="B180" s="249">
        <f>'6-x'!R862</f>
        <v>901.36377084811363</v>
      </c>
      <c r="C180" s="249">
        <f>'6-x'!S862</f>
        <v>394.39769681921894</v>
      </c>
      <c r="D180" s="249">
        <f>'6-x'!T862</f>
        <v>1653.9179855247207</v>
      </c>
      <c r="E180" s="249">
        <f>'6-x'!U862</f>
        <v>734.51699854682022</v>
      </c>
      <c r="F180" s="249">
        <f>'6-x'!V862</f>
        <v>449.29652172092898</v>
      </c>
      <c r="G180" s="249">
        <f>'6-x'!W862</f>
        <v>10.200907128217203</v>
      </c>
      <c r="H180" s="249">
        <f>'6-x'!X862</f>
        <v>626.19382006812077</v>
      </c>
      <c r="I180" s="56"/>
      <c r="J180" s="256"/>
    </row>
    <row r="181" spans="1:13">
      <c r="A181" s="227" t="s">
        <v>17</v>
      </c>
      <c r="B181" s="288">
        <f>'6-x'!R863</f>
        <v>0</v>
      </c>
      <c r="C181" s="288">
        <f>'6-x'!S863</f>
        <v>594.54215215342583</v>
      </c>
      <c r="D181" s="288">
        <f>'6-x'!T863</f>
        <v>1653.9179855247207</v>
      </c>
      <c r="E181" s="288">
        <f>'6-x'!U863</f>
        <v>694.45246315014538</v>
      </c>
      <c r="F181" s="288">
        <f>'6-x'!V863</f>
        <v>352.93725709899201</v>
      </c>
      <c r="G181" s="288">
        <f>'6-x'!W863</f>
        <v>10.182684883123088</v>
      </c>
      <c r="H181" s="249">
        <f>'6-x'!X863</f>
        <v>171.87204755522416</v>
      </c>
      <c r="I181" s="56"/>
      <c r="J181" s="256"/>
    </row>
    <row r="182" spans="1:13">
      <c r="A182" s="227" t="s">
        <v>18</v>
      </c>
      <c r="B182" s="288">
        <f>'6-x'!R864</f>
        <v>0</v>
      </c>
      <c r="C182" s="288">
        <f>'6-x'!S864</f>
        <v>409.82834858113716</v>
      </c>
      <c r="D182" s="288">
        <f>'6-x'!T864</f>
        <v>0</v>
      </c>
      <c r="E182" s="288">
        <f>'6-x'!U864</f>
        <v>1065.105833039916</v>
      </c>
      <c r="F182" s="288">
        <f>'6-x'!V864</f>
        <v>565.13266320758839</v>
      </c>
      <c r="G182" s="288">
        <f>'6-x'!W864</f>
        <v>11.823536290954683</v>
      </c>
      <c r="H182" s="249">
        <f>'6-x'!X864</f>
        <v>407.49230384962914</v>
      </c>
      <c r="I182" s="56"/>
      <c r="J182" s="256"/>
    </row>
    <row r="183" spans="1:13">
      <c r="A183" s="227" t="s">
        <v>19</v>
      </c>
      <c r="B183" s="288">
        <f>'6-x'!R865</f>
        <v>901.36377084811363</v>
      </c>
      <c r="C183" s="288">
        <f>'6-x'!S865</f>
        <v>522.44325409759642</v>
      </c>
      <c r="D183" s="288">
        <f>'6-x'!T865</f>
        <v>0</v>
      </c>
      <c r="E183" s="288">
        <f>'6-x'!U865</f>
        <v>738.1350656692432</v>
      </c>
      <c r="F183" s="288">
        <f>'6-x'!V865</f>
        <v>550.65750417410334</v>
      </c>
      <c r="G183" s="288">
        <f>'6-x'!W865</f>
        <v>9.4239217480366282</v>
      </c>
      <c r="H183" s="249">
        <f>'6-x'!X865</f>
        <v>856.98991169459964</v>
      </c>
      <c r="I183" s="56"/>
      <c r="J183" s="256"/>
    </row>
    <row r="184" spans="1:13">
      <c r="A184" s="227" t="s">
        <v>20</v>
      </c>
      <c r="B184" s="288">
        <f>'6-x'!R866</f>
        <v>0</v>
      </c>
      <c r="C184" s="288">
        <f>'6-x'!S866</f>
        <v>389.13809726055945</v>
      </c>
      <c r="D184" s="288">
        <f>'6-x'!T866</f>
        <v>0</v>
      </c>
      <c r="E184" s="288">
        <f>'6-x'!U866</f>
        <v>558.71922792991245</v>
      </c>
      <c r="F184" s="288">
        <f>'6-x'!V866</f>
        <v>305.70252762130372</v>
      </c>
      <c r="G184" s="288">
        <f>'6-x'!W866</f>
        <v>10.664489022620137</v>
      </c>
      <c r="H184" s="249">
        <f>'6-x'!X866</f>
        <v>383.87772685403684</v>
      </c>
      <c r="I184" s="56"/>
      <c r="J184" s="256"/>
    </row>
    <row r="185" spans="1:13">
      <c r="A185" s="227" t="s">
        <v>22</v>
      </c>
      <c r="B185" s="288">
        <f>'6-x'!R867</f>
        <v>0</v>
      </c>
      <c r="C185" s="288">
        <f>'6-x'!S867</f>
        <v>540.94345096084294</v>
      </c>
      <c r="D185" s="288">
        <f>'6-x'!T867</f>
        <v>0</v>
      </c>
      <c r="E185" s="288">
        <f>'6-x'!U867</f>
        <v>0</v>
      </c>
      <c r="F185" s="288">
        <f>'6-x'!V867</f>
        <v>0</v>
      </c>
      <c r="G185" s="288">
        <f>'6-x'!W867</f>
        <v>0</v>
      </c>
      <c r="H185" s="249">
        <f>'6-x'!X867</f>
        <v>540.94345096084294</v>
      </c>
      <c r="I185" s="56"/>
      <c r="J185" s="256"/>
    </row>
    <row r="186" spans="1:13">
      <c r="A186" s="228" t="s">
        <v>263</v>
      </c>
      <c r="B186" s="249">
        <f>'6-x'!R868</f>
        <v>421.02795001236922</v>
      </c>
      <c r="C186" s="249">
        <f>'6-x'!S868</f>
        <v>353.42424035084457</v>
      </c>
      <c r="D186" s="249">
        <f>'6-x'!T868</f>
        <v>1607.3199833261785</v>
      </c>
      <c r="E186" s="249">
        <f>'6-x'!U868</f>
        <v>462.43826816637761</v>
      </c>
      <c r="F186" s="249">
        <f>'6-x'!V868</f>
        <v>319.75610814143971</v>
      </c>
      <c r="G186" s="249">
        <f>'6-x'!W868</f>
        <v>7.4093105805884347</v>
      </c>
      <c r="H186" s="249">
        <f>'6-x'!X868</f>
        <v>361.87321678876975</v>
      </c>
      <c r="I186" s="56"/>
      <c r="J186" s="256"/>
      <c r="M186" s="254"/>
    </row>
    <row r="187" spans="1:13">
      <c r="A187" s="227" t="s">
        <v>24</v>
      </c>
      <c r="B187" s="288">
        <f>'6-x'!R869</f>
        <v>0</v>
      </c>
      <c r="C187" s="288">
        <f>'6-x'!S869</f>
        <v>324.12805968503943</v>
      </c>
      <c r="D187" s="288">
        <f>'6-x'!T869</f>
        <v>1319.8453994640911</v>
      </c>
      <c r="E187" s="288">
        <f>'6-x'!U869</f>
        <v>478.34612263487287</v>
      </c>
      <c r="F187" s="288">
        <f>'6-x'!V869</f>
        <v>302.65512571951734</v>
      </c>
      <c r="G187" s="288">
        <f>'6-x'!W869</f>
        <v>7.4036887726618019</v>
      </c>
      <c r="H187" s="249">
        <f>'6-x'!X869</f>
        <v>219.68015053175515</v>
      </c>
      <c r="I187" s="56"/>
      <c r="J187" s="256"/>
      <c r="M187" s="254"/>
    </row>
    <row r="188" spans="1:13">
      <c r="A188" s="227" t="s">
        <v>25</v>
      </c>
      <c r="B188" s="288">
        <f>'6-x'!R870</f>
        <v>0</v>
      </c>
      <c r="C188" s="288">
        <f>'6-x'!S870</f>
        <v>344.87594401765227</v>
      </c>
      <c r="D188" s="288">
        <f>'6-x'!T870</f>
        <v>866.77793208540561</v>
      </c>
      <c r="E188" s="288">
        <f>'6-x'!U870</f>
        <v>362.58001760901311</v>
      </c>
      <c r="F188" s="288">
        <f>'6-x'!V870</f>
        <v>356.3856329352239</v>
      </c>
      <c r="G188" s="288">
        <f>'6-x'!W870</f>
        <v>8.1091503652008665</v>
      </c>
      <c r="H188" s="249">
        <f>'6-x'!X870</f>
        <v>346.16175345430514</v>
      </c>
      <c r="I188" s="56"/>
      <c r="J188" s="256"/>
      <c r="M188" s="254"/>
    </row>
    <row r="189" spans="1:13">
      <c r="A189" s="227" t="s">
        <v>26</v>
      </c>
      <c r="B189" s="288">
        <f>'6-x'!R871</f>
        <v>416.08152627345402</v>
      </c>
      <c r="C189" s="288">
        <f>'6-x'!S871</f>
        <v>356.46017943669432</v>
      </c>
      <c r="D189" s="288">
        <f>'6-x'!T871</f>
        <v>1527.3473431289622</v>
      </c>
      <c r="E189" s="288">
        <f>'6-x'!U871</f>
        <v>467.74984776637876</v>
      </c>
      <c r="F189" s="288">
        <f>'6-x'!V871</f>
        <v>242.38874337234796</v>
      </c>
      <c r="G189" s="288">
        <f>'6-x'!W871</f>
        <v>8.1614067794630181</v>
      </c>
      <c r="H189" s="249">
        <f>'6-x'!X871</f>
        <v>361.77246777792021</v>
      </c>
      <c r="I189" s="56"/>
      <c r="J189" s="256"/>
      <c r="M189" s="254"/>
    </row>
    <row r="190" spans="1:13">
      <c r="A190" s="227" t="s">
        <v>27</v>
      </c>
      <c r="B190" s="288">
        <f>'6-x'!R872</f>
        <v>475.52174431251882</v>
      </c>
      <c r="C190" s="288">
        <f>'6-x'!S872</f>
        <v>282.57465800777885</v>
      </c>
      <c r="D190" s="288">
        <f>'6-x'!T872</f>
        <v>0</v>
      </c>
      <c r="E190" s="288">
        <f>'6-x'!U872</f>
        <v>334.10703411884197</v>
      </c>
      <c r="F190" s="288">
        <f>'6-x'!V872</f>
        <v>236.85530307699912</v>
      </c>
      <c r="G190" s="288">
        <f>'6-x'!W872</f>
        <v>4.9622690983340272</v>
      </c>
      <c r="H190" s="249">
        <f>'6-x'!X872</f>
        <v>272.26048359766577</v>
      </c>
      <c r="I190" s="56"/>
      <c r="J190" s="256"/>
      <c r="M190" s="254"/>
    </row>
    <row r="191" spans="1:13">
      <c r="A191" s="227" t="s">
        <v>28</v>
      </c>
      <c r="B191" s="288">
        <f>'6-x'!R873</f>
        <v>0</v>
      </c>
      <c r="C191" s="288">
        <f>'6-x'!S873</f>
        <v>485.1546953109285</v>
      </c>
      <c r="D191" s="288">
        <f>'6-x'!T873</f>
        <v>1703.6223691808655</v>
      </c>
      <c r="E191" s="288">
        <f>'6-x'!U873</f>
        <v>621.57604211580883</v>
      </c>
      <c r="F191" s="288">
        <f>'6-x'!V873</f>
        <v>509.83835764754417</v>
      </c>
      <c r="G191" s="288">
        <f>'6-x'!W873</f>
        <v>10.759595696577254</v>
      </c>
      <c r="H191" s="249">
        <f>'6-x'!X873</f>
        <v>747.27453179822055</v>
      </c>
      <c r="I191" s="56"/>
      <c r="J191" s="256"/>
      <c r="M191" s="254"/>
    </row>
    <row r="192" spans="1:13">
      <c r="A192" s="322" t="s">
        <v>9</v>
      </c>
      <c r="B192" s="324">
        <f>'6-x'!R874</f>
        <v>899.77381817586729</v>
      </c>
      <c r="C192" s="324">
        <f>'6-x'!S874</f>
        <v>367.51607543854271</v>
      </c>
      <c r="D192" s="324">
        <f>'6-x'!T874</f>
        <v>1608.0041370244637</v>
      </c>
      <c r="E192" s="324">
        <f>'6-x'!U874</f>
        <v>616.9968793589544</v>
      </c>
      <c r="F192" s="324">
        <f>'6-x'!V874</f>
        <v>368.23828998991752</v>
      </c>
      <c r="G192" s="324">
        <f>'6-x'!W874</f>
        <v>8.4913273520293728</v>
      </c>
      <c r="H192" s="324">
        <f>'6-x'!X874</f>
        <v>492.30211551491101</v>
      </c>
      <c r="I192" s="56"/>
      <c r="J192" s="256"/>
    </row>
    <row r="193" spans="1:10">
      <c r="B193" s="248"/>
      <c r="C193" s="248"/>
      <c r="D193" s="248"/>
      <c r="E193" s="248"/>
      <c r="F193" s="248"/>
      <c r="G193" s="248"/>
      <c r="H193" s="248"/>
    </row>
    <row r="194" spans="1:10">
      <c r="B194" s="247"/>
      <c r="C194" s="247"/>
      <c r="D194" s="247"/>
      <c r="E194" s="247"/>
      <c r="F194" s="247"/>
      <c r="G194" s="247"/>
      <c r="H194" s="247"/>
    </row>
    <row r="195" spans="1:10">
      <c r="A195" s="253">
        <v>2010</v>
      </c>
      <c r="B195" s="1105" t="s">
        <v>245</v>
      </c>
      <c r="C195" s="1105"/>
      <c r="D195" s="1105"/>
      <c r="E195" s="1105"/>
      <c r="F195" s="1105"/>
      <c r="G195" s="1105"/>
      <c r="H195" s="1105"/>
    </row>
    <row r="196" spans="1:10">
      <c r="A196" s="228" t="s">
        <v>262</v>
      </c>
      <c r="B196" s="249">
        <f>'6-x'!R946</f>
        <v>890.48823839475472</v>
      </c>
      <c r="C196" s="249">
        <f>'6-x'!S946</f>
        <v>409.00519293006289</v>
      </c>
      <c r="D196" s="249">
        <f>'6-x'!T946</f>
        <v>1795.0367668642903</v>
      </c>
      <c r="E196" s="249">
        <f>'6-x'!U946</f>
        <v>784.4874592005599</v>
      </c>
      <c r="F196" s="249">
        <f>'6-x'!V946</f>
        <v>723.76887771216582</v>
      </c>
      <c r="G196" s="249">
        <f>'6-x'!W946</f>
        <v>30.855943965622988</v>
      </c>
      <c r="H196" s="249">
        <f>'6-x'!X946</f>
        <v>606.86237695759462</v>
      </c>
      <c r="J196" s="256"/>
    </row>
    <row r="197" spans="1:10">
      <c r="A197" s="227" t="s">
        <v>17</v>
      </c>
      <c r="B197" s="288">
        <f>'6-x'!R947</f>
        <v>0</v>
      </c>
      <c r="C197" s="288">
        <f>'6-x'!S947</f>
        <v>595.34125480345142</v>
      </c>
      <c r="D197" s="288">
        <f>'6-x'!T947</f>
        <v>1653.4174578331445</v>
      </c>
      <c r="E197" s="288">
        <f>'6-x'!U947</f>
        <v>714.01889414547486</v>
      </c>
      <c r="F197" s="288">
        <f>'6-x'!V947</f>
        <v>501.08695980900353</v>
      </c>
      <c r="G197" s="288">
        <f>'6-x'!W947</f>
        <v>30.834298874065983</v>
      </c>
      <c r="H197" s="249">
        <f>'6-x'!X947</f>
        <v>303.62182136542901</v>
      </c>
      <c r="J197" s="256"/>
    </row>
    <row r="198" spans="1:10">
      <c r="A198" s="227" t="s">
        <v>18</v>
      </c>
      <c r="B198" s="288">
        <f>'6-x'!R948</f>
        <v>0</v>
      </c>
      <c r="C198" s="288">
        <f>'6-x'!S948</f>
        <v>739.91750852494374</v>
      </c>
      <c r="D198" s="288">
        <f>'6-x'!T948</f>
        <v>0</v>
      </c>
      <c r="E198" s="288">
        <f>'6-x'!U948</f>
        <v>1283.4224129675226</v>
      </c>
      <c r="F198" s="288">
        <f>'6-x'!V948</f>
        <v>744.86380416523912</v>
      </c>
      <c r="G198" s="288">
        <f>'6-x'!W948</f>
        <v>33.58241381087258</v>
      </c>
      <c r="H198" s="249">
        <f>'6-x'!X948</f>
        <v>767.57338991959148</v>
      </c>
      <c r="J198" s="256"/>
    </row>
    <row r="199" spans="1:10">
      <c r="A199" s="227" t="s">
        <v>19</v>
      </c>
      <c r="B199" s="288">
        <f>'6-x'!R949</f>
        <v>890.48823839475472</v>
      </c>
      <c r="C199" s="288">
        <f>'6-x'!S949</f>
        <v>571.55425995268081</v>
      </c>
      <c r="D199" s="288">
        <f>'6-x'!T949</f>
        <v>1800.4362688414203</v>
      </c>
      <c r="E199" s="288">
        <f>'6-x'!U949</f>
        <v>784.88907324788704</v>
      </c>
      <c r="F199" s="288">
        <f>'6-x'!V949</f>
        <v>891.24453591355166</v>
      </c>
      <c r="G199" s="288">
        <f>'6-x'!W949</f>
        <v>0</v>
      </c>
      <c r="H199" s="249">
        <f>'6-x'!X949</f>
        <v>874.24439300276265</v>
      </c>
      <c r="J199" s="256"/>
    </row>
    <row r="200" spans="1:10">
      <c r="A200" s="227" t="s">
        <v>20</v>
      </c>
      <c r="B200" s="288">
        <f>'6-x'!R950</f>
        <v>0</v>
      </c>
      <c r="C200" s="288">
        <f>'6-x'!S950</f>
        <v>395.39722135014119</v>
      </c>
      <c r="D200" s="288">
        <f>'6-x'!T950</f>
        <v>1794.3058002734285</v>
      </c>
      <c r="E200" s="288">
        <f>'6-x'!U950</f>
        <v>2120.5049310383329</v>
      </c>
      <c r="F200" s="288">
        <f>'6-x'!V950</f>
        <v>420.63760477035839</v>
      </c>
      <c r="G200" s="288">
        <f>'6-x'!W950</f>
        <v>0</v>
      </c>
      <c r="H200" s="249">
        <f>'6-x'!X950</f>
        <v>397.85284133176287</v>
      </c>
      <c r="J200" s="256"/>
    </row>
    <row r="201" spans="1:10">
      <c r="A201" s="227" t="s">
        <v>22</v>
      </c>
      <c r="B201" s="288">
        <f>'6-x'!R951</f>
        <v>0</v>
      </c>
      <c r="C201" s="288">
        <f>'6-x'!S951</f>
        <v>584.67911825645569</v>
      </c>
      <c r="D201" s="288">
        <f>'6-x'!T951</f>
        <v>0</v>
      </c>
      <c r="E201" s="288">
        <f>'6-x'!U951</f>
        <v>771.17788698389222</v>
      </c>
      <c r="F201" s="288">
        <f>'6-x'!V951</f>
        <v>0</v>
      </c>
      <c r="G201" s="288">
        <f>'6-x'!W951</f>
        <v>0</v>
      </c>
      <c r="H201" s="249">
        <f>'6-x'!X951</f>
        <v>615.90543946545336</v>
      </c>
      <c r="J201" s="256"/>
    </row>
    <row r="202" spans="1:10">
      <c r="A202" s="228" t="s">
        <v>263</v>
      </c>
      <c r="B202" s="249">
        <f>'6-x'!R952</f>
        <v>581.27582842291031</v>
      </c>
      <c r="C202" s="249">
        <f>'6-x'!S952</f>
        <v>377.34549755113426</v>
      </c>
      <c r="D202" s="249">
        <f>'6-x'!T952</f>
        <v>1622.197535953308</v>
      </c>
      <c r="E202" s="249">
        <f>'6-x'!U952</f>
        <v>571.39582744934978</v>
      </c>
      <c r="F202" s="249">
        <f>'6-x'!V952</f>
        <v>505.01293018883308</v>
      </c>
      <c r="G202" s="249">
        <f>'6-x'!W952</f>
        <v>25.130685222742986</v>
      </c>
      <c r="H202" s="249">
        <f>'6-x'!X952</f>
        <v>443.99098253657206</v>
      </c>
      <c r="J202" s="256"/>
    </row>
    <row r="203" spans="1:10">
      <c r="A203" s="227" t="s">
        <v>24</v>
      </c>
      <c r="B203" s="288">
        <f>'6-x'!R953</f>
        <v>0</v>
      </c>
      <c r="C203" s="288">
        <f>'6-x'!S953</f>
        <v>376.77327340802253</v>
      </c>
      <c r="D203" s="288">
        <f>'6-x'!T953</f>
        <v>1669.5072477379151</v>
      </c>
      <c r="E203" s="288">
        <f>'6-x'!U953</f>
        <v>475.38790765066182</v>
      </c>
      <c r="F203" s="288">
        <f>'6-x'!V953</f>
        <v>405.87839056788982</v>
      </c>
      <c r="G203" s="288">
        <f>'6-x'!W953</f>
        <v>23.287503809866394</v>
      </c>
      <c r="H203" s="249">
        <f>'6-x'!X953</f>
        <v>385.42840500986409</v>
      </c>
      <c r="J203" s="256"/>
    </row>
    <row r="204" spans="1:10">
      <c r="A204" s="227" t="s">
        <v>25</v>
      </c>
      <c r="B204" s="288">
        <f>'6-x'!R954</f>
        <v>0</v>
      </c>
      <c r="C204" s="288">
        <f>'6-x'!S954</f>
        <v>354.45315676054145</v>
      </c>
      <c r="D204" s="288">
        <f>'6-x'!T954</f>
        <v>891.83406900731211</v>
      </c>
      <c r="E204" s="288">
        <f>'6-x'!U954</f>
        <v>489.44339769289564</v>
      </c>
      <c r="F204" s="288">
        <f>'6-x'!V954</f>
        <v>0</v>
      </c>
      <c r="G204" s="288">
        <f>'6-x'!W954</f>
        <v>19.399982980001781</v>
      </c>
      <c r="H204" s="249">
        <f>'6-x'!X954</f>
        <v>372.98643567859511</v>
      </c>
      <c r="J204" s="256"/>
    </row>
    <row r="205" spans="1:10">
      <c r="A205" s="227" t="s">
        <v>26</v>
      </c>
      <c r="B205" s="288">
        <f>'6-x'!R955</f>
        <v>600.54570293409665</v>
      </c>
      <c r="C205" s="288">
        <f>'6-x'!S955</f>
        <v>376.04515378537241</v>
      </c>
      <c r="D205" s="288">
        <f>'6-x'!T955</f>
        <v>1586.7597567990924</v>
      </c>
      <c r="E205" s="288">
        <f>'6-x'!U955</f>
        <v>500.37544550352192</v>
      </c>
      <c r="F205" s="288">
        <f>'6-x'!V955</f>
        <v>409.92527188147</v>
      </c>
      <c r="G205" s="288">
        <f>'6-x'!W955</f>
        <v>63.178483680186801</v>
      </c>
      <c r="H205" s="249">
        <f>'6-x'!X955</f>
        <v>428.34105064643416</v>
      </c>
      <c r="J205" s="256"/>
    </row>
    <row r="206" spans="1:10">
      <c r="A206" s="227" t="s">
        <v>27</v>
      </c>
      <c r="B206" s="288">
        <f>'6-x'!R956</f>
        <v>450.95609026162936</v>
      </c>
      <c r="C206" s="288">
        <f>'6-x'!S956</f>
        <v>442.76318349622738</v>
      </c>
      <c r="D206" s="288">
        <f>'6-x'!T956</f>
        <v>0</v>
      </c>
      <c r="E206" s="288">
        <f>'6-x'!U956</f>
        <v>614.06874273403491</v>
      </c>
      <c r="F206" s="288">
        <f>'6-x'!V956</f>
        <v>353.98308901727398</v>
      </c>
      <c r="G206" s="288">
        <f>'6-x'!W956</f>
        <v>21.118016379006466</v>
      </c>
      <c r="H206" s="249">
        <f>'6-x'!X956</f>
        <v>451.34510845188174</v>
      </c>
      <c r="J206" s="256"/>
    </row>
    <row r="207" spans="1:10">
      <c r="A207" s="227" t="s">
        <v>28</v>
      </c>
      <c r="B207" s="288">
        <f>'6-x'!R957</f>
        <v>0</v>
      </c>
      <c r="C207" s="288">
        <f>'6-x'!S957</f>
        <v>516.27400245477907</v>
      </c>
      <c r="D207" s="288">
        <f>'6-x'!T957</f>
        <v>3195.738747276203</v>
      </c>
      <c r="E207" s="288">
        <f>'6-x'!U957</f>
        <v>647.48957461223517</v>
      </c>
      <c r="F207" s="288">
        <f>'6-x'!V957</f>
        <v>1025.765387071576</v>
      </c>
      <c r="G207" s="288">
        <f>'6-x'!W957</f>
        <v>36.454913072311044</v>
      </c>
      <c r="H207" s="249">
        <f>'6-x'!X957</f>
        <v>827.9451752038326</v>
      </c>
      <c r="J207" s="256"/>
    </row>
    <row r="208" spans="1:10">
      <c r="A208" s="322" t="s">
        <v>9</v>
      </c>
      <c r="B208" s="324">
        <f>'6-x'!R958</f>
        <v>889.47937175868947</v>
      </c>
      <c r="C208" s="324">
        <f>'6-x'!S958</f>
        <v>391.03234749628189</v>
      </c>
      <c r="D208" s="324">
        <f>'6-x'!T958</f>
        <v>1657.0715088762943</v>
      </c>
      <c r="E208" s="324">
        <f>'6-x'!U958</f>
        <v>678.29920307584575</v>
      </c>
      <c r="F208" s="324">
        <f>'6-x'!V958</f>
        <v>565.99558753876204</v>
      </c>
      <c r="G208" s="324">
        <f>'6-x'!W958</f>
        <v>29.232887568412714</v>
      </c>
      <c r="H208" s="324">
        <f>'6-x'!X958</f>
        <v>526.31453265479502</v>
      </c>
      <c r="J208" s="256"/>
    </row>
    <row r="211" spans="1:8">
      <c r="A211" s="253">
        <v>2005</v>
      </c>
      <c r="B211" s="1105" t="s">
        <v>245</v>
      </c>
      <c r="C211" s="1105"/>
      <c r="D211" s="1105"/>
      <c r="E211" s="1105"/>
      <c r="F211" s="1105"/>
      <c r="G211" s="1105"/>
      <c r="H211" s="1105"/>
    </row>
    <row r="212" spans="1:8">
      <c r="A212" s="228" t="s">
        <v>262</v>
      </c>
      <c r="B212" s="249">
        <f>'6-x'!R1029</f>
        <v>923.0128061404738</v>
      </c>
      <c r="C212" s="249">
        <f>'6-x'!S1029</f>
        <v>411.16892166157544</v>
      </c>
      <c r="D212" s="249">
        <f>'6-x'!T1029</f>
        <v>2111.562176270575</v>
      </c>
      <c r="E212" s="249">
        <f>'6-x'!U1029</f>
        <v>721.80131362522832</v>
      </c>
      <c r="F212" s="249">
        <f>'6-x'!V1029</f>
        <v>1134.2191759871762</v>
      </c>
      <c r="G212" s="249">
        <f>'6-x'!W1029</f>
        <v>63.33516336760394</v>
      </c>
      <c r="H212" s="249">
        <f>'6-x'!X1029</f>
        <v>634.77072606528156</v>
      </c>
    </row>
    <row r="213" spans="1:8">
      <c r="A213" s="227" t="s">
        <v>17</v>
      </c>
      <c r="B213" s="288">
        <f>'6-x'!R1030</f>
        <v>0</v>
      </c>
      <c r="C213" s="288">
        <f>'6-x'!S1030</f>
        <v>558.03993468331362</v>
      </c>
      <c r="D213" s="288">
        <f>'6-x'!T1030</f>
        <v>1877.7109523607164</v>
      </c>
      <c r="E213" s="288">
        <f>'6-x'!U1030</f>
        <v>740.94098023857111</v>
      </c>
      <c r="F213" s="288">
        <f>'6-x'!V1030</f>
        <v>2082.7016689831498</v>
      </c>
      <c r="G213" s="288">
        <f>'6-x'!W1030</f>
        <v>62.812515745089875</v>
      </c>
      <c r="H213" s="249">
        <f>'6-x'!X1030</f>
        <v>326.54612775952904</v>
      </c>
    </row>
    <row r="214" spans="1:8">
      <c r="A214" s="227" t="s">
        <v>18</v>
      </c>
      <c r="B214" s="288">
        <f>'6-x'!R1031</f>
        <v>0</v>
      </c>
      <c r="C214" s="288">
        <f>'6-x'!S1031</f>
        <v>692.34785116641626</v>
      </c>
      <c r="D214" s="288">
        <f>'6-x'!T1031</f>
        <v>0</v>
      </c>
      <c r="E214" s="288">
        <f>'6-x'!U1031</f>
        <v>1191.3725339979069</v>
      </c>
      <c r="F214" s="288">
        <f>'6-x'!V1031</f>
        <v>0</v>
      </c>
      <c r="G214" s="288">
        <f>'6-x'!W1031</f>
        <v>78.027047916507854</v>
      </c>
      <c r="H214" s="249">
        <f>'6-x'!X1031</f>
        <v>721.23625782388558</v>
      </c>
    </row>
    <row r="215" spans="1:8">
      <c r="A215" s="227" t="s">
        <v>19</v>
      </c>
      <c r="B215" s="288">
        <f>'6-x'!R1032</f>
        <v>923.0128061404738</v>
      </c>
      <c r="C215" s="288">
        <f>'6-x'!S1032</f>
        <v>535.34000513687386</v>
      </c>
      <c r="D215" s="288">
        <f>'6-x'!T1032</f>
        <v>2114.2729621069484</v>
      </c>
      <c r="E215" s="288">
        <f>'6-x'!U1032</f>
        <v>725.48499555075102</v>
      </c>
      <c r="F215" s="288">
        <f>'6-x'!V1032</f>
        <v>1119.9894897720533</v>
      </c>
      <c r="G215" s="288">
        <f>'6-x'!W1032</f>
        <v>0</v>
      </c>
      <c r="H215" s="249">
        <f>'6-x'!X1032</f>
        <v>865.77505208475156</v>
      </c>
    </row>
    <row r="216" spans="1:8">
      <c r="A216" s="227" t="s">
        <v>20</v>
      </c>
      <c r="B216" s="288">
        <f>'6-x'!R1033</f>
        <v>0</v>
      </c>
      <c r="C216" s="288">
        <f>'6-x'!S1033</f>
        <v>371.47488872351084</v>
      </c>
      <c r="D216" s="288">
        <f>'6-x'!T1033</f>
        <v>0</v>
      </c>
      <c r="E216" s="288">
        <f>'6-x'!U1033</f>
        <v>1310.2889876164431</v>
      </c>
      <c r="F216" s="288">
        <f>'6-x'!V1033</f>
        <v>915.34879927129884</v>
      </c>
      <c r="G216" s="288">
        <f>'6-x'!W1033</f>
        <v>0</v>
      </c>
      <c r="H216" s="249">
        <f>'6-x'!X1033</f>
        <v>371.71912037403496</v>
      </c>
    </row>
    <row r="217" spans="1:8">
      <c r="A217" s="227" t="s">
        <v>22</v>
      </c>
      <c r="B217" s="288">
        <f>'6-x'!R1034</f>
        <v>0</v>
      </c>
      <c r="C217" s="288">
        <f>'6-x'!S1034</f>
        <v>495.14221323171978</v>
      </c>
      <c r="D217" s="288">
        <f>'6-x'!T1034</f>
        <v>0</v>
      </c>
      <c r="E217" s="288">
        <f>'6-x'!U1034</f>
        <v>650.72849818313</v>
      </c>
      <c r="F217" s="288">
        <f>'6-x'!V1034</f>
        <v>0</v>
      </c>
      <c r="G217" s="288">
        <f>'6-x'!W1034</f>
        <v>0</v>
      </c>
      <c r="H217" s="249">
        <f>'6-x'!X1034</f>
        <v>512.54273466367169</v>
      </c>
    </row>
    <row r="218" spans="1:8">
      <c r="A218" s="228" t="s">
        <v>263</v>
      </c>
      <c r="B218" s="249">
        <f>'6-x'!R1035</f>
        <v>667.19060837356744</v>
      </c>
      <c r="C218" s="249">
        <f>'6-x'!S1035</f>
        <v>387.68435670665099</v>
      </c>
      <c r="D218" s="249">
        <f>'6-x'!T1035</f>
        <v>1785.5570096122528</v>
      </c>
      <c r="E218" s="249">
        <f>'6-x'!U1035</f>
        <v>597.73459461065067</v>
      </c>
      <c r="F218" s="249">
        <f>'6-x'!V1035</f>
        <v>463.34642192623892</v>
      </c>
      <c r="G218" s="249">
        <f>'6-x'!W1035</f>
        <v>47.324781846216233</v>
      </c>
      <c r="H218" s="249">
        <f>'6-x'!X1035</f>
        <v>473.88736923440973</v>
      </c>
    </row>
    <row r="219" spans="1:8">
      <c r="A219" s="227" t="s">
        <v>24</v>
      </c>
      <c r="B219" s="288">
        <f>'6-x'!R1036</f>
        <v>0</v>
      </c>
      <c r="C219" s="288">
        <f>'6-x'!S1036</f>
        <v>366.50927913522719</v>
      </c>
      <c r="D219" s="288">
        <f>'6-x'!T1036</f>
        <v>1875.1018125473395</v>
      </c>
      <c r="E219" s="288">
        <f>'6-x'!U1036</f>
        <v>574.07943126189866</v>
      </c>
      <c r="F219" s="288">
        <f>'6-x'!V1036</f>
        <v>415.20180349398345</v>
      </c>
      <c r="G219" s="288">
        <f>'6-x'!W1036</f>
        <v>50.09663032052265</v>
      </c>
      <c r="H219" s="249">
        <f>'6-x'!X1036</f>
        <v>469.21113229047415</v>
      </c>
    </row>
    <row r="220" spans="1:8">
      <c r="A220" s="227" t="s">
        <v>25</v>
      </c>
      <c r="B220" s="288">
        <f>'6-x'!R1037</f>
        <v>0</v>
      </c>
      <c r="C220" s="288">
        <f>'6-x'!S1037</f>
        <v>376.44049831179467</v>
      </c>
      <c r="D220" s="288">
        <f>'6-x'!T1037</f>
        <v>0</v>
      </c>
      <c r="E220" s="288">
        <f>'6-x'!U1037</f>
        <v>489.86008612622447</v>
      </c>
      <c r="F220" s="288">
        <f>'6-x'!V1037</f>
        <v>320.73245328797481</v>
      </c>
      <c r="G220" s="288">
        <f>'6-x'!W1037</f>
        <v>68.279851696119749</v>
      </c>
      <c r="H220" s="249">
        <f>'6-x'!X1037</f>
        <v>386.37965869855924</v>
      </c>
    </row>
    <row r="221" spans="1:8">
      <c r="A221" s="227" t="s">
        <v>26</v>
      </c>
      <c r="B221" s="288">
        <f>'6-x'!R1038</f>
        <v>0</v>
      </c>
      <c r="C221" s="288">
        <f>'6-x'!S1038</f>
        <v>391.10086947720367</v>
      </c>
      <c r="D221" s="288">
        <f>'6-x'!T1038</f>
        <v>1707.2471512200493</v>
      </c>
      <c r="E221" s="288">
        <f>'6-x'!U1038</f>
        <v>591.42798550332964</v>
      </c>
      <c r="F221" s="288">
        <f>'6-x'!V1038</f>
        <v>384.31264266368095</v>
      </c>
      <c r="G221" s="288">
        <f>'6-x'!W1038</f>
        <v>75.874748243477995</v>
      </c>
      <c r="H221" s="249">
        <f>'6-x'!X1038</f>
        <v>455.68098090422086</v>
      </c>
    </row>
    <row r="222" spans="1:8">
      <c r="A222" s="227" t="s">
        <v>27</v>
      </c>
      <c r="B222" s="288">
        <f>'6-x'!R1039</f>
        <v>667.19060837356744</v>
      </c>
      <c r="C222" s="288">
        <f>'6-x'!S1039</f>
        <v>304.0844728825175</v>
      </c>
      <c r="D222" s="288">
        <f>'6-x'!T1039</f>
        <v>1407.1960726816303</v>
      </c>
      <c r="E222" s="288">
        <f>'6-x'!U1039</f>
        <v>393.33903889208108</v>
      </c>
      <c r="F222" s="288">
        <f>'6-x'!V1039</f>
        <v>546.73814669635533</v>
      </c>
      <c r="G222" s="288">
        <f>'6-x'!W1039</f>
        <v>55.761878885164471</v>
      </c>
      <c r="H222" s="249">
        <f>'6-x'!X1039</f>
        <v>421.90492994469702</v>
      </c>
    </row>
    <row r="223" spans="1:8">
      <c r="A223" s="227" t="s">
        <v>28</v>
      </c>
      <c r="B223" s="288">
        <f>'6-x'!R1040</f>
        <v>0</v>
      </c>
      <c r="C223" s="288">
        <f>'6-x'!S1040</f>
        <v>464.87564050313335</v>
      </c>
      <c r="D223" s="288">
        <f>'6-x'!T1040</f>
        <v>2684.8048679655089</v>
      </c>
      <c r="E223" s="288">
        <f>'6-x'!U1040</f>
        <v>675.33190238006853</v>
      </c>
      <c r="F223" s="288">
        <f>'6-x'!V1040</f>
        <v>791.27733660291699</v>
      </c>
      <c r="G223" s="288">
        <f>'6-x'!W1040</f>
        <v>42.056430392537528</v>
      </c>
      <c r="H223" s="249">
        <f>'6-x'!X1040</f>
        <v>739.25507551215992</v>
      </c>
    </row>
    <row r="224" spans="1:8">
      <c r="A224" s="322" t="s">
        <v>9</v>
      </c>
      <c r="B224" s="324">
        <f>'6-x'!R1041</f>
        <v>919.8630104003845</v>
      </c>
      <c r="C224" s="324">
        <f>'6-x'!S1041</f>
        <v>400.53609580344573</v>
      </c>
      <c r="D224" s="324">
        <f>'6-x'!T1041</f>
        <v>1900.5843425525975</v>
      </c>
      <c r="E224" s="324">
        <f>'6-x'!U1041</f>
        <v>693.46032768208408</v>
      </c>
      <c r="F224" s="324">
        <f>'6-x'!V1041</f>
        <v>546.91571775445925</v>
      </c>
      <c r="G224" s="324">
        <f>'6-x'!W1041</f>
        <v>60.458628994930521</v>
      </c>
      <c r="H224" s="324">
        <f>'6-x'!X1041</f>
        <v>571.9424387782683</v>
      </c>
    </row>
    <row r="227" spans="2:8">
      <c r="B227" s="56"/>
      <c r="C227" s="56"/>
      <c r="D227" s="56"/>
      <c r="E227" s="56"/>
      <c r="F227" s="56"/>
      <c r="G227" s="56"/>
      <c r="H227" s="56"/>
    </row>
    <row r="228" spans="2:8">
      <c r="B228" s="56"/>
      <c r="C228" s="56"/>
      <c r="D228" s="56"/>
      <c r="E228" s="56"/>
      <c r="F228" s="56"/>
      <c r="G228" s="56"/>
      <c r="H228" s="56"/>
    </row>
    <row r="229" spans="2:8">
      <c r="B229" s="56"/>
      <c r="C229" s="56"/>
      <c r="D229" s="56"/>
      <c r="E229" s="56"/>
      <c r="F229" s="56"/>
      <c r="G229" s="56"/>
      <c r="H229" s="56"/>
    </row>
  </sheetData>
  <sheetProtection algorithmName="SHA-512" hashValue="uD3pw7CZeG6RKkWuZ9JHoolJh59QaT0df97nUqELLAm7kWpP58EUVzjvyGJp6cOPaK1Bqde3IH2jXqTQwHXo1Q==" saltValue="DXrhmZhMZmrmdozdxjWpxw==" spinCount="100000" sheet="1" objects="1" scenarios="1"/>
  <mergeCells count="22">
    <mergeCell ref="B5:H5"/>
    <mergeCell ref="B179:H179"/>
    <mergeCell ref="B195:H195"/>
    <mergeCell ref="B211:H211"/>
    <mergeCell ref="B163:H163"/>
    <mergeCell ref="B161:H161"/>
    <mergeCell ref="A2:H2"/>
    <mergeCell ref="B143:H143"/>
    <mergeCell ref="B145:H145"/>
    <mergeCell ref="B123:H123"/>
    <mergeCell ref="B125:H125"/>
    <mergeCell ref="B103:H103"/>
    <mergeCell ref="B105:H105"/>
    <mergeCell ref="B83:H83"/>
    <mergeCell ref="B85:H85"/>
    <mergeCell ref="B63:H63"/>
    <mergeCell ref="B65:H65"/>
    <mergeCell ref="B43:H43"/>
    <mergeCell ref="B45:H45"/>
    <mergeCell ref="B23:H23"/>
    <mergeCell ref="B25:H25"/>
    <mergeCell ref="B3:H3"/>
  </mergeCells>
  <hyperlinks>
    <hyperlink ref="A1" location="Indice!A1" display="Torna indietro" xr:uid="{BE3E8991-36AC-48F6-97CF-73B2E9B47A8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5"/>
  <dimension ref="A1:Q157"/>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6.65" customHeight="1">
      <c r="A2" s="1103" t="s">
        <v>341</v>
      </c>
      <c r="B2" s="1103"/>
      <c r="C2" s="1103"/>
      <c r="D2" s="1103"/>
      <c r="E2" s="1103"/>
      <c r="F2" s="1103"/>
      <c r="G2" s="1103"/>
      <c r="H2" s="1103"/>
    </row>
    <row r="3" spans="1:8">
      <c r="B3" s="1104" t="s">
        <v>10</v>
      </c>
      <c r="C3" s="1104"/>
      <c r="D3" s="1104"/>
      <c r="E3" s="1104"/>
      <c r="F3" s="1104"/>
      <c r="G3" s="1104"/>
      <c r="H3" s="1104"/>
    </row>
    <row r="4" spans="1:8" ht="29">
      <c r="B4" s="251" t="s">
        <v>5</v>
      </c>
      <c r="C4" s="251" t="s">
        <v>63</v>
      </c>
      <c r="D4" s="251" t="s">
        <v>7</v>
      </c>
      <c r="E4" s="251" t="s">
        <v>8</v>
      </c>
      <c r="F4" s="251" t="s">
        <v>243</v>
      </c>
      <c r="G4" s="251" t="s">
        <v>244</v>
      </c>
      <c r="H4" s="251" t="s">
        <v>9</v>
      </c>
    </row>
    <row r="5" spans="1:8">
      <c r="A5" s="253">
        <v>2024</v>
      </c>
      <c r="B5" s="1106" t="s">
        <v>267</v>
      </c>
      <c r="C5" s="1107"/>
      <c r="D5" s="1107"/>
      <c r="E5" s="1107"/>
      <c r="F5" s="1107"/>
      <c r="G5" s="1107"/>
      <c r="H5" s="1108"/>
    </row>
    <row r="6" spans="1:8">
      <c r="A6" s="228" t="s">
        <v>263</v>
      </c>
      <c r="B6" s="249" t="str">
        <f>'6-x'!J80</f>
        <v/>
      </c>
      <c r="C6" s="249">
        <f>'6-x'!K80</f>
        <v>318.12183994284953</v>
      </c>
      <c r="D6" s="249">
        <f>'6-x'!L80</f>
        <v>1113.4974268540318</v>
      </c>
      <c r="E6" s="249">
        <f>'6-x'!M80</f>
        <v>274.56551146581745</v>
      </c>
      <c r="F6" s="249">
        <f>'6-x'!N80</f>
        <v>275.28186477088644</v>
      </c>
      <c r="G6" s="249">
        <f>'6-x'!O80</f>
        <v>1.6181431830921325</v>
      </c>
      <c r="H6" s="249">
        <f>'6-x'!P80</f>
        <v>297.90608579817462</v>
      </c>
    </row>
    <row r="7" spans="1:8">
      <c r="A7" s="227" t="s">
        <v>24</v>
      </c>
      <c r="B7" s="250" t="str">
        <f>'6-x'!J81</f>
        <v/>
      </c>
      <c r="C7" s="250">
        <f>'6-x'!K81</f>
        <v>293.9034231676643</v>
      </c>
      <c r="D7" s="250">
        <f>'6-x'!L81</f>
        <v>985.68859904959379</v>
      </c>
      <c r="E7" s="250">
        <f>'6-x'!M81</f>
        <v>344.02075145876211</v>
      </c>
      <c r="F7" s="250">
        <f>'6-x'!N81</f>
        <v>257.13002474906335</v>
      </c>
      <c r="G7" s="250">
        <f>'6-x'!O81</f>
        <v>1.6201196484087164</v>
      </c>
      <c r="H7" s="249">
        <f>'6-x'!P81</f>
        <v>238.2701510465875</v>
      </c>
    </row>
    <row r="8" spans="1:8">
      <c r="A8" s="227" t="s">
        <v>25</v>
      </c>
      <c r="B8" s="250" t="str">
        <f>'6-x'!J82</f>
        <v/>
      </c>
      <c r="C8" s="250">
        <f>'6-x'!K82</f>
        <v>266.95001802098648</v>
      </c>
      <c r="D8" s="250" t="str">
        <f>'6-x'!L82</f>
        <v/>
      </c>
      <c r="E8" s="250">
        <f>'6-x'!M82</f>
        <v>264.6919630829986</v>
      </c>
      <c r="F8" s="250">
        <f>'6-x'!N82</f>
        <v>247.39540955115632</v>
      </c>
      <c r="G8" s="250">
        <f>'6-x'!O82</f>
        <v>1.6087528011355925</v>
      </c>
      <c r="H8" s="249">
        <f>'6-x'!P82</f>
        <v>257.00209299561124</v>
      </c>
    </row>
    <row r="9" spans="1:8">
      <c r="A9" s="227" t="s">
        <v>26</v>
      </c>
      <c r="B9" s="250" t="str">
        <f>'6-x'!J83</f>
        <v/>
      </c>
      <c r="C9" s="250">
        <f>'6-x'!K83</f>
        <v>334.89043792405141</v>
      </c>
      <c r="D9" s="250">
        <f>'6-x'!L83</f>
        <v>1021.9116943980184</v>
      </c>
      <c r="E9" s="250">
        <f>'6-x'!M83</f>
        <v>285.68910131792558</v>
      </c>
      <c r="F9" s="250">
        <f>'6-x'!N83</f>
        <v>227.09582922290633</v>
      </c>
      <c r="G9" s="250">
        <f>'6-x'!O83</f>
        <v>1.2597602601117408</v>
      </c>
      <c r="H9" s="249">
        <f>'6-x'!P83</f>
        <v>320.78252037193772</v>
      </c>
    </row>
    <row r="10" spans="1:8">
      <c r="A10" s="227" t="s">
        <v>27</v>
      </c>
      <c r="B10" s="250">
        <f>'6-x'!J84</f>
        <v>0</v>
      </c>
      <c r="C10" s="250">
        <f>'6-x'!K84</f>
        <v>248.2581747814996</v>
      </c>
      <c r="D10" s="250" t="str">
        <f>'6-x'!L84</f>
        <v/>
      </c>
      <c r="E10" s="250">
        <f>'6-x'!M84</f>
        <v>245.94811460605735</v>
      </c>
      <c r="F10" s="250">
        <f>'6-x'!N84</f>
        <v>214.95674657907119</v>
      </c>
      <c r="G10" s="250" t="str">
        <f>'6-x'!O84</f>
        <v/>
      </c>
      <c r="H10" s="249">
        <f>'6-x'!P84</f>
        <v>231.61513115076397</v>
      </c>
    </row>
    <row r="11" spans="1:8">
      <c r="A11" s="227" t="s">
        <v>28</v>
      </c>
      <c r="B11" s="250" t="str">
        <f>'6-x'!J85</f>
        <v/>
      </c>
      <c r="C11" s="250">
        <f>'6-x'!K85</f>
        <v>429.93131967493656</v>
      </c>
      <c r="D11" s="250">
        <f>'6-x'!L85</f>
        <v>1202.4537440711779</v>
      </c>
      <c r="E11" s="250">
        <f>'6-x'!M85</f>
        <v>267.09925971422263</v>
      </c>
      <c r="F11" s="250">
        <f>'6-x'!N85</f>
        <v>345.18605792513949</v>
      </c>
      <c r="G11" s="250">
        <f>'6-x'!O85</f>
        <v>1.9452580381726552</v>
      </c>
      <c r="H11" s="249">
        <f>'6-x'!P85</f>
        <v>398.96732205783405</v>
      </c>
    </row>
    <row r="12" spans="1:8">
      <c r="A12" s="227" t="s">
        <v>349</v>
      </c>
      <c r="B12" s="250" t="str">
        <f>'6-x'!J86</f>
        <v/>
      </c>
      <c r="C12" s="250">
        <f>'6-x'!K86</f>
        <v>247.82987684047851</v>
      </c>
      <c r="D12" s="250" t="str">
        <f>'6-x'!L86</f>
        <v/>
      </c>
      <c r="E12" s="250" t="str">
        <f>'6-x'!M86</f>
        <v/>
      </c>
      <c r="F12" s="250" t="str">
        <f>'6-x'!N86</f>
        <v/>
      </c>
      <c r="G12" s="250" t="str">
        <f>'6-x'!O86</f>
        <v/>
      </c>
      <c r="H12" s="409">
        <f>'6-x'!P86</f>
        <v>242.69510585523452</v>
      </c>
    </row>
    <row r="13" spans="1:8">
      <c r="A13" s="238"/>
      <c r="B13" s="1106" t="s">
        <v>268</v>
      </c>
      <c r="C13" s="1107"/>
      <c r="D13" s="1107"/>
      <c r="E13" s="1107"/>
      <c r="F13" s="1107"/>
      <c r="G13" s="1107"/>
      <c r="H13" s="1108"/>
    </row>
    <row r="14" spans="1:8">
      <c r="A14" s="228" t="s">
        <v>263</v>
      </c>
      <c r="B14" s="249" t="str">
        <f>'6-x'!J75</f>
        <v/>
      </c>
      <c r="C14" s="249">
        <f>'6-x'!K75</f>
        <v>238.11296023573985</v>
      </c>
      <c r="D14" s="249">
        <f>'6-x'!L75</f>
        <v>718.7870144105492</v>
      </c>
      <c r="E14" s="249">
        <f>'6-x'!M75</f>
        <v>233.30131480155811</v>
      </c>
      <c r="F14" s="249">
        <f>'6-x'!N75</f>
        <v>205.25356335656252</v>
      </c>
      <c r="G14" s="249">
        <f>'6-x'!O75</f>
        <v>0.15466795793076607</v>
      </c>
      <c r="H14" s="249">
        <f>'6-x'!P75</f>
        <v>221.85285211762508</v>
      </c>
    </row>
    <row r="15" spans="1:8" ht="15.5">
      <c r="A15" s="314"/>
      <c r="B15" s="314"/>
      <c r="C15" s="314"/>
      <c r="D15" s="314"/>
      <c r="E15" s="314"/>
      <c r="F15" s="314"/>
      <c r="G15" s="314"/>
      <c r="H15" s="314"/>
    </row>
    <row r="16" spans="1:8" ht="15.5">
      <c r="A16" s="314"/>
      <c r="B16" s="314"/>
      <c r="C16" s="314"/>
      <c r="D16" s="314"/>
      <c r="E16" s="314"/>
      <c r="F16" s="314"/>
      <c r="G16" s="314"/>
      <c r="H16" s="314"/>
    </row>
    <row r="17" spans="1:8">
      <c r="B17" s="1104" t="s">
        <v>10</v>
      </c>
      <c r="C17" s="1104"/>
      <c r="D17" s="1104"/>
      <c r="E17" s="1104"/>
      <c r="F17" s="1104"/>
      <c r="G17" s="1104"/>
      <c r="H17" s="1104"/>
    </row>
    <row r="18" spans="1:8" ht="29">
      <c r="B18" s="251" t="s">
        <v>5</v>
      </c>
      <c r="C18" s="251" t="s">
        <v>63</v>
      </c>
      <c r="D18" s="251" t="s">
        <v>7</v>
      </c>
      <c r="E18" s="251" t="s">
        <v>8</v>
      </c>
      <c r="F18" s="251" t="s">
        <v>243</v>
      </c>
      <c r="G18" s="251" t="s">
        <v>244</v>
      </c>
      <c r="H18" s="251" t="s">
        <v>9</v>
      </c>
    </row>
    <row r="19" spans="1:8">
      <c r="A19" s="253">
        <v>2023</v>
      </c>
      <c r="B19" s="1106" t="s">
        <v>267</v>
      </c>
      <c r="C19" s="1107"/>
      <c r="D19" s="1107"/>
      <c r="E19" s="1107"/>
      <c r="F19" s="1107"/>
      <c r="G19" s="1107"/>
      <c r="H19" s="1108"/>
    </row>
    <row r="20" spans="1:8">
      <c r="A20" s="228" t="s">
        <v>263</v>
      </c>
      <c r="B20" s="249" t="str">
        <f>'6-x'!J173</f>
        <v/>
      </c>
      <c r="C20" s="249">
        <f>'6-x'!K173</f>
        <v>321.90541083740612</v>
      </c>
      <c r="D20" s="249">
        <f>'6-x'!L173</f>
        <v>1152.2877561030687</v>
      </c>
      <c r="E20" s="249">
        <f>'6-x'!M173</f>
        <v>297.13733934793635</v>
      </c>
      <c r="F20" s="249">
        <f>'6-x'!N173</f>
        <v>307.68185744585196</v>
      </c>
      <c r="G20" s="249">
        <f>'6-x'!O173</f>
        <v>1.6742015753691979</v>
      </c>
      <c r="H20" s="249">
        <f>'6-x'!P173</f>
        <v>309.96946064366915</v>
      </c>
    </row>
    <row r="21" spans="1:8">
      <c r="A21" s="227" t="s">
        <v>24</v>
      </c>
      <c r="B21" s="250" t="str">
        <f>'6-x'!J174</f>
        <v/>
      </c>
      <c r="C21" s="250">
        <f>'6-x'!K174</f>
        <v>293.07769279009943</v>
      </c>
      <c r="D21" s="250">
        <f>'6-x'!L174</f>
        <v>954.96436259773918</v>
      </c>
      <c r="E21" s="250">
        <f>'6-x'!M174</f>
        <v>308.35521208947381</v>
      </c>
      <c r="F21" s="250">
        <f>'6-x'!N174</f>
        <v>268.60906663362249</v>
      </c>
      <c r="G21" s="250">
        <f>'6-x'!O174</f>
        <v>1.6752194001256913</v>
      </c>
      <c r="H21" s="249">
        <f>'6-x'!P174</f>
        <v>237.58249138707527</v>
      </c>
    </row>
    <row r="22" spans="1:8">
      <c r="A22" s="227" t="s">
        <v>25</v>
      </c>
      <c r="B22" s="250" t="str">
        <f>'6-x'!J175</f>
        <v/>
      </c>
      <c r="C22" s="250">
        <f>'6-x'!K175</f>
        <v>269.65776273127148</v>
      </c>
      <c r="D22" s="250" t="str">
        <f>'6-x'!L175</f>
        <v/>
      </c>
      <c r="E22" s="250">
        <f>'6-x'!M175</f>
        <v>271.08108950275903</v>
      </c>
      <c r="F22" s="250">
        <f>'6-x'!N175</f>
        <v>290.38247314192625</v>
      </c>
      <c r="G22" s="250">
        <f>'6-x'!O175</f>
        <v>1.1777965046939147</v>
      </c>
      <c r="H22" s="249">
        <f>'6-x'!P175</f>
        <v>261.39868887918504</v>
      </c>
    </row>
    <row r="23" spans="1:8">
      <c r="A23" s="227" t="s">
        <v>26</v>
      </c>
      <c r="B23" s="250" t="str">
        <f>'6-x'!J176</f>
        <v/>
      </c>
      <c r="C23" s="250">
        <f>'6-x'!K176</f>
        <v>339.16845763414489</v>
      </c>
      <c r="D23" s="250">
        <f>'6-x'!L176</f>
        <v>1128.8585848946775</v>
      </c>
      <c r="E23" s="250">
        <f>'6-x'!M176</f>
        <v>319.16244271375376</v>
      </c>
      <c r="F23" s="250">
        <f>'6-x'!N176</f>
        <v>258.98993482101838</v>
      </c>
      <c r="G23" s="250">
        <f>'6-x'!O176</f>
        <v>1.6526782046166426</v>
      </c>
      <c r="H23" s="249">
        <f>'6-x'!P176</f>
        <v>333.67884869921028</v>
      </c>
    </row>
    <row r="24" spans="1:8">
      <c r="A24" s="227" t="s">
        <v>27</v>
      </c>
      <c r="B24" s="250">
        <f>'6-x'!J177</f>
        <v>0</v>
      </c>
      <c r="C24" s="250">
        <f>'6-x'!K177</f>
        <v>250.58271915224927</v>
      </c>
      <c r="D24" s="250" t="str">
        <f>'6-x'!L177</f>
        <v/>
      </c>
      <c r="E24" s="250">
        <f>'6-x'!M177</f>
        <v>253.17982230284184</v>
      </c>
      <c r="F24" s="250">
        <f>'6-x'!N177</f>
        <v>245.90879850077167</v>
      </c>
      <c r="G24" s="250" t="str">
        <f>'6-x'!O177</f>
        <v/>
      </c>
      <c r="H24" s="249">
        <f>'6-x'!P177</f>
        <v>245.89234982009069</v>
      </c>
    </row>
    <row r="25" spans="1:8">
      <c r="A25" s="227" t="s">
        <v>28</v>
      </c>
      <c r="B25" s="250" t="str">
        <f>'6-x'!J178</f>
        <v/>
      </c>
      <c r="C25" s="250">
        <f>'6-x'!K178</f>
        <v>428.63195860737045</v>
      </c>
      <c r="D25" s="250">
        <f>'6-x'!L178</f>
        <v>1265.2171448002196</v>
      </c>
      <c r="E25" s="250">
        <f>'6-x'!M178</f>
        <v>277.90688184462067</v>
      </c>
      <c r="F25" s="250">
        <f>'6-x'!N178</f>
        <v>396.76150638377976</v>
      </c>
      <c r="G25" s="250">
        <f>'6-x'!O178</f>
        <v>2.3482938269386833</v>
      </c>
      <c r="H25" s="249">
        <f>'6-x'!P178</f>
        <v>435.29710982546811</v>
      </c>
    </row>
    <row r="26" spans="1:8">
      <c r="A26" s="227" t="s">
        <v>349</v>
      </c>
      <c r="B26" s="250" t="str">
        <f>'6-x'!J179</f>
        <v/>
      </c>
      <c r="C26" s="250">
        <f>'6-x'!K179</f>
        <v>378.04859795222029</v>
      </c>
      <c r="D26" s="250" t="str">
        <f>'6-x'!L179</f>
        <v/>
      </c>
      <c r="E26" s="250" t="str">
        <f>'6-x'!M179</f>
        <v/>
      </c>
      <c r="F26" s="250" t="str">
        <f>'6-x'!N179</f>
        <v/>
      </c>
      <c r="G26" s="250" t="str">
        <f>'6-x'!O179</f>
        <v/>
      </c>
      <c r="H26" s="409">
        <f>'6-x'!P179</f>
        <v>378.04859795222029</v>
      </c>
    </row>
    <row r="27" spans="1:8">
      <c r="A27" s="238"/>
      <c r="B27" s="1106" t="s">
        <v>268</v>
      </c>
      <c r="C27" s="1107"/>
      <c r="D27" s="1107"/>
      <c r="E27" s="1107"/>
      <c r="F27" s="1107"/>
      <c r="G27" s="1107"/>
      <c r="H27" s="1108"/>
    </row>
    <row r="28" spans="1:8">
      <c r="A28" s="228" t="s">
        <v>263</v>
      </c>
      <c r="B28" s="249" t="str">
        <f>'6-x'!J168</f>
        <v/>
      </c>
      <c r="C28" s="249">
        <f>'6-x'!K168</f>
        <v>238.78199576905035</v>
      </c>
      <c r="D28" s="249">
        <f>'6-x'!L168</f>
        <v>705.87393266618415</v>
      </c>
      <c r="E28" s="249">
        <f>'6-x'!M168</f>
        <v>239.57438953093236</v>
      </c>
      <c r="F28" s="249">
        <f>'6-x'!N168</f>
        <v>212.17115130874535</v>
      </c>
      <c r="G28" s="249">
        <f>'6-x'!O168</f>
        <v>0.24906956339403172</v>
      </c>
      <c r="H28" s="249">
        <f>'6-x'!P168</f>
        <v>225.10038107558341</v>
      </c>
    </row>
    <row r="29" spans="1:8" ht="15.5">
      <c r="A29" s="314"/>
      <c r="B29" s="314"/>
      <c r="C29" s="314"/>
      <c r="D29" s="314"/>
      <c r="E29" s="314"/>
      <c r="F29" s="314"/>
      <c r="G29" s="314"/>
      <c r="H29" s="314"/>
    </row>
    <row r="30" spans="1:8" ht="15.5">
      <c r="A30" s="314"/>
      <c r="B30" s="314"/>
      <c r="C30" s="314"/>
      <c r="D30" s="314"/>
      <c r="E30" s="314"/>
      <c r="F30" s="314"/>
      <c r="G30" s="314"/>
      <c r="H30" s="314"/>
    </row>
    <row r="31" spans="1:8">
      <c r="B31" s="1104" t="s">
        <v>10</v>
      </c>
      <c r="C31" s="1104"/>
      <c r="D31" s="1104"/>
      <c r="E31" s="1104"/>
      <c r="F31" s="1104"/>
      <c r="G31" s="1104"/>
      <c r="H31" s="1104"/>
    </row>
    <row r="32" spans="1:8" ht="29">
      <c r="B32" s="251" t="s">
        <v>5</v>
      </c>
      <c r="C32" s="251" t="s">
        <v>63</v>
      </c>
      <c r="D32" s="251" t="s">
        <v>7</v>
      </c>
      <c r="E32" s="251" t="s">
        <v>8</v>
      </c>
      <c r="F32" s="251" t="s">
        <v>243</v>
      </c>
      <c r="G32" s="251" t="s">
        <v>244</v>
      </c>
      <c r="H32" s="251" t="s">
        <v>9</v>
      </c>
    </row>
    <row r="33" spans="1:8">
      <c r="A33" s="253">
        <v>2022</v>
      </c>
      <c r="B33" s="1106" t="s">
        <v>267</v>
      </c>
      <c r="C33" s="1107"/>
      <c r="D33" s="1107"/>
      <c r="E33" s="1107"/>
      <c r="F33" s="1107"/>
      <c r="G33" s="1107"/>
      <c r="H33" s="1108"/>
    </row>
    <row r="34" spans="1:8">
      <c r="A34" s="228" t="s">
        <v>263</v>
      </c>
      <c r="B34" s="249" t="str">
        <f>'6-x'!J265</f>
        <v/>
      </c>
      <c r="C34" s="249">
        <f>'6-x'!K265</f>
        <v>318.64142326540025</v>
      </c>
      <c r="D34" s="249">
        <f>'6-x'!L265</f>
        <v>1350.7679082468089</v>
      </c>
      <c r="E34" s="249">
        <f>'6-x'!M265</f>
        <v>293.93023313984668</v>
      </c>
      <c r="F34" s="249">
        <f>'6-x'!N265</f>
        <v>286.30452664222099</v>
      </c>
      <c r="G34" s="249">
        <f>'6-x'!O265</f>
        <v>2.1954410209813919</v>
      </c>
      <c r="H34" s="249">
        <f>'6-x'!P265</f>
        <v>309.59578032692747</v>
      </c>
    </row>
    <row r="35" spans="1:8">
      <c r="A35" s="227" t="s">
        <v>24</v>
      </c>
      <c r="B35" s="250" t="str">
        <f>'6-x'!J266</f>
        <v/>
      </c>
      <c r="C35" s="250">
        <f>'6-x'!K266</f>
        <v>291.61969125049501</v>
      </c>
      <c r="D35" s="250">
        <f>'6-x'!L266</f>
        <v>1087.4102182197901</v>
      </c>
      <c r="E35" s="250">
        <f>'6-x'!M266</f>
        <v>309.98496562720777</v>
      </c>
      <c r="F35" s="250">
        <f>'6-x'!N266</f>
        <v>256.02429545170884</v>
      </c>
      <c r="G35" s="250">
        <f>'6-x'!O266</f>
        <v>2.1948274875283542</v>
      </c>
      <c r="H35" s="249">
        <f>'6-x'!P266</f>
        <v>235.93059139875876</v>
      </c>
    </row>
    <row r="36" spans="1:8">
      <c r="A36" s="227" t="s">
        <v>25</v>
      </c>
      <c r="B36" s="250" t="str">
        <f>'6-x'!J267</f>
        <v/>
      </c>
      <c r="C36" s="250">
        <f>'6-x'!K267</f>
        <v>269.51962145480212</v>
      </c>
      <c r="D36" s="250" t="str">
        <f>'6-x'!L267</f>
        <v/>
      </c>
      <c r="E36" s="250">
        <f>'6-x'!M267</f>
        <v>283.10422986494592</v>
      </c>
      <c r="F36" s="250">
        <f>'6-x'!N267</f>
        <v>259.5038454302898</v>
      </c>
      <c r="G36" s="250">
        <f>'6-x'!O267</f>
        <v>1.3418869627776677</v>
      </c>
      <c r="H36" s="249">
        <f>'6-x'!P267</f>
        <v>262.71865083491667</v>
      </c>
    </row>
    <row r="37" spans="1:8">
      <c r="A37" s="227" t="s">
        <v>26</v>
      </c>
      <c r="B37" s="250" t="str">
        <f>'6-x'!J268</f>
        <v/>
      </c>
      <c r="C37" s="250">
        <f>'6-x'!K268</f>
        <v>334.90452998079843</v>
      </c>
      <c r="D37" s="250">
        <f>'6-x'!L268</f>
        <v>1228.4033473274615</v>
      </c>
      <c r="E37" s="250">
        <f>'6-x'!M268</f>
        <v>311.71401768286756</v>
      </c>
      <c r="F37" s="250">
        <f>'6-x'!N268</f>
        <v>240.94127778443533</v>
      </c>
      <c r="G37" s="250">
        <f>'6-x'!O268</f>
        <v>2.4548901085941606</v>
      </c>
      <c r="H37" s="249">
        <f>'6-x'!P268</f>
        <v>328.71967643601221</v>
      </c>
    </row>
    <row r="38" spans="1:8">
      <c r="A38" s="227" t="s">
        <v>27</v>
      </c>
      <c r="B38" s="250">
        <f>'6-x'!J269</f>
        <v>0</v>
      </c>
      <c r="C38" s="250">
        <f>'6-x'!K269</f>
        <v>246.68247395453938</v>
      </c>
      <c r="D38" s="250" t="str">
        <f>'6-x'!L269</f>
        <v/>
      </c>
      <c r="E38" s="250">
        <f>'6-x'!M269</f>
        <v>256.95999975527633</v>
      </c>
      <c r="F38" s="250">
        <f>'6-x'!N269</f>
        <v>223.14107320630185</v>
      </c>
      <c r="G38" s="250">
        <f>'6-x'!O269</f>
        <v>0</v>
      </c>
      <c r="H38" s="249">
        <f>'6-x'!P269</f>
        <v>236.10887892363303</v>
      </c>
    </row>
    <row r="39" spans="1:8">
      <c r="A39" s="227" t="s">
        <v>28</v>
      </c>
      <c r="B39" s="250" t="str">
        <f>'6-x'!J270</f>
        <v/>
      </c>
      <c r="C39" s="250">
        <f>'6-x'!K270</f>
        <v>392.5517260826432</v>
      </c>
      <c r="D39" s="250">
        <f>'6-x'!L270</f>
        <v>1569.448708261561</v>
      </c>
      <c r="E39" s="250">
        <f>'6-x'!M270</f>
        <v>277.60641484366784</v>
      </c>
      <c r="F39" s="250">
        <f>'6-x'!N270</f>
        <v>375.14703950187391</v>
      </c>
      <c r="G39" s="250">
        <f>'6-x'!O270</f>
        <v>1.9896829263810512</v>
      </c>
      <c r="H39" s="249">
        <f>'6-x'!P270</f>
        <v>458.20836753222028</v>
      </c>
    </row>
    <row r="40" spans="1:8">
      <c r="A40" s="227" t="s">
        <v>349</v>
      </c>
      <c r="B40" s="250" t="str">
        <f>'6-x'!J271</f>
        <v/>
      </c>
      <c r="C40" s="250">
        <f>'6-x'!K271</f>
        <v>329.87403542930923</v>
      </c>
      <c r="D40" s="250" t="str">
        <f>'6-x'!L271</f>
        <v/>
      </c>
      <c r="E40" s="250">
        <f>'6-x'!M271</f>
        <v>0</v>
      </c>
      <c r="F40" s="250" t="str">
        <f>'6-x'!N271</f>
        <v/>
      </c>
      <c r="G40" s="250">
        <f>'6-x'!O271</f>
        <v>0</v>
      </c>
      <c r="H40" s="409">
        <f>'6-x'!P271</f>
        <v>307.95260427853918</v>
      </c>
    </row>
    <row r="41" spans="1:8">
      <c r="A41" s="238"/>
      <c r="B41" s="1106" t="s">
        <v>268</v>
      </c>
      <c r="C41" s="1107"/>
      <c r="D41" s="1107"/>
      <c r="E41" s="1107"/>
      <c r="F41" s="1107"/>
      <c r="G41" s="1107"/>
      <c r="H41" s="1108"/>
    </row>
    <row r="42" spans="1:8">
      <c r="A42" s="228" t="s">
        <v>263</v>
      </c>
      <c r="B42" s="249" t="str">
        <f>'6-x'!J260</f>
        <v/>
      </c>
      <c r="C42" s="249">
        <f>'6-x'!K260</f>
        <v>236.82063564162172</v>
      </c>
      <c r="D42" s="249">
        <f>'6-x'!L260</f>
        <v>706.66011635748339</v>
      </c>
      <c r="E42" s="249">
        <f>'6-x'!M260</f>
        <v>239.49845684612964</v>
      </c>
      <c r="F42" s="249">
        <f>'6-x'!N260</f>
        <v>212.01153945848574</v>
      </c>
      <c r="G42" s="249">
        <f>'6-x'!O260</f>
        <v>0.26336302768481046</v>
      </c>
      <c r="H42" s="249">
        <f>'6-x'!P260</f>
        <v>223.77303376648001</v>
      </c>
    </row>
    <row r="43" spans="1:8" ht="15.5">
      <c r="A43" s="314"/>
      <c r="B43" s="171"/>
      <c r="C43" s="171"/>
      <c r="D43" s="171"/>
      <c r="E43" s="171"/>
      <c r="F43" s="171"/>
      <c r="G43" s="171"/>
      <c r="H43" s="171"/>
    </row>
    <row r="44" spans="1:8" ht="15.5">
      <c r="A44" s="314"/>
      <c r="B44" s="314"/>
      <c r="C44" s="314"/>
      <c r="D44" s="314"/>
      <c r="E44" s="314"/>
      <c r="F44" s="314"/>
      <c r="G44" s="314"/>
      <c r="H44" s="314"/>
    </row>
    <row r="45" spans="1:8">
      <c r="B45" s="1104" t="s">
        <v>10</v>
      </c>
      <c r="C45" s="1104"/>
      <c r="D45" s="1104"/>
      <c r="E45" s="1104"/>
      <c r="F45" s="1104"/>
      <c r="G45" s="1104"/>
      <c r="H45" s="1104"/>
    </row>
    <row r="46" spans="1:8" ht="29">
      <c r="B46" s="251" t="s">
        <v>5</v>
      </c>
      <c r="C46" s="251" t="s">
        <v>63</v>
      </c>
      <c r="D46" s="251" t="s">
        <v>7</v>
      </c>
      <c r="E46" s="251" t="s">
        <v>8</v>
      </c>
      <c r="F46" s="251" t="s">
        <v>243</v>
      </c>
      <c r="G46" s="251" t="s">
        <v>244</v>
      </c>
      <c r="H46" s="251" t="s">
        <v>9</v>
      </c>
    </row>
    <row r="47" spans="1:8">
      <c r="A47" s="253">
        <v>2021</v>
      </c>
      <c r="B47" s="1106" t="s">
        <v>267</v>
      </c>
      <c r="C47" s="1107"/>
      <c r="D47" s="1107"/>
      <c r="E47" s="1107"/>
      <c r="F47" s="1107"/>
      <c r="G47" s="1107"/>
      <c r="H47" s="1108"/>
    </row>
    <row r="48" spans="1:8">
      <c r="A48" s="228" t="s">
        <v>263</v>
      </c>
      <c r="B48" s="249" t="str">
        <f>'6-x'!J357</f>
        <v/>
      </c>
      <c r="C48" s="249">
        <f>'6-x'!K357</f>
        <v>315.83409187130189</v>
      </c>
      <c r="D48" s="249">
        <f>'6-x'!L357</f>
        <v>1518.6171478885256</v>
      </c>
      <c r="E48" s="249">
        <f>'6-x'!M357</f>
        <v>295.16575994944697</v>
      </c>
      <c r="F48" s="249">
        <f>'6-x'!N357</f>
        <v>225.74577034248722</v>
      </c>
      <c r="G48" s="249">
        <f>'6-x'!O357</f>
        <v>3.4311142911008949</v>
      </c>
      <c r="H48" s="249">
        <f>'6-x'!P357</f>
        <v>304.93908137637084</v>
      </c>
    </row>
    <row r="49" spans="1:10">
      <c r="A49" s="227" t="s">
        <v>24</v>
      </c>
      <c r="B49" s="250" t="str">
        <f>'6-x'!J358</f>
        <v/>
      </c>
      <c r="C49" s="250">
        <f>'6-x'!K358</f>
        <v>291.93702857451171</v>
      </c>
      <c r="D49" s="250">
        <f>'6-x'!L358</f>
        <v>1074.90366102557</v>
      </c>
      <c r="E49" s="250">
        <f>'6-x'!M358</f>
        <v>336.40738364704561</v>
      </c>
      <c r="F49" s="250">
        <f>'6-x'!N358</f>
        <v>197.31109367742658</v>
      </c>
      <c r="G49" s="250">
        <f>'6-x'!O358</f>
        <v>3.4302252273920075</v>
      </c>
      <c r="H49" s="249">
        <f>'6-x'!P358</f>
        <v>229.79469228978695</v>
      </c>
    </row>
    <row r="50" spans="1:10">
      <c r="A50" s="227" t="s">
        <v>25</v>
      </c>
      <c r="B50" s="250" t="str">
        <f>'6-x'!J359</f>
        <v/>
      </c>
      <c r="C50" s="250">
        <f>'6-x'!K359</f>
        <v>273.43779919586621</v>
      </c>
      <c r="D50" s="250" t="str">
        <f>'6-x'!L359</f>
        <v/>
      </c>
      <c r="E50" s="250">
        <f>'6-x'!M359</f>
        <v>278.84166504532493</v>
      </c>
      <c r="F50" s="250">
        <f>'6-x'!N359</f>
        <v>191.79757007914586</v>
      </c>
      <c r="G50" s="250">
        <f>'6-x'!O359</f>
        <v>2.1199899642153452</v>
      </c>
      <c r="H50" s="249">
        <f>'6-x'!P359</f>
        <v>261.91731693013202</v>
      </c>
    </row>
    <row r="51" spans="1:10">
      <c r="A51" s="227" t="s">
        <v>26</v>
      </c>
      <c r="B51" s="250" t="str">
        <f>'6-x'!J360</f>
        <v/>
      </c>
      <c r="C51" s="250">
        <f>'6-x'!K360</f>
        <v>331.66136632990094</v>
      </c>
      <c r="D51" s="250">
        <f>'6-x'!L360</f>
        <v>1347.2741177107625</v>
      </c>
      <c r="E51" s="250">
        <f>'6-x'!M360</f>
        <v>320.0207780005469</v>
      </c>
      <c r="F51" s="250">
        <f>'6-x'!N360</f>
        <v>178.7355036795108</v>
      </c>
      <c r="G51" s="250">
        <f>'6-x'!O360</f>
        <v>3.8931402794742462</v>
      </c>
      <c r="H51" s="249">
        <f>'6-x'!P360</f>
        <v>331.18371836845455</v>
      </c>
    </row>
    <row r="52" spans="1:10">
      <c r="A52" s="227" t="s">
        <v>27</v>
      </c>
      <c r="B52" s="250">
        <f>'6-x'!J361</f>
        <v>0</v>
      </c>
      <c r="C52" s="250">
        <f>'6-x'!K361</f>
        <v>250.36373393073393</v>
      </c>
      <c r="D52" s="250" t="str">
        <f>'6-x'!L361</f>
        <v/>
      </c>
      <c r="E52" s="250">
        <f>'6-x'!M361</f>
        <v>253.11265264944473</v>
      </c>
      <c r="F52" s="250">
        <f>'6-x'!N361</f>
        <v>172.14147526690112</v>
      </c>
      <c r="G52" s="250">
        <f>'6-x'!O361</f>
        <v>0</v>
      </c>
      <c r="H52" s="249">
        <f>'6-x'!P361</f>
        <v>223.29333910254744</v>
      </c>
    </row>
    <row r="53" spans="1:10">
      <c r="A53" s="227" t="s">
        <v>28</v>
      </c>
      <c r="B53" s="250" t="str">
        <f>'6-x'!J362</f>
        <v/>
      </c>
      <c r="C53" s="250">
        <f>'6-x'!K362</f>
        <v>380.70062444867119</v>
      </c>
      <c r="D53" s="250">
        <f>'6-x'!L362</f>
        <v>1896.1739713493712</v>
      </c>
      <c r="E53" s="250">
        <f>'6-x'!M362</f>
        <v>273.18977566056037</v>
      </c>
      <c r="F53" s="250">
        <f>'6-x'!N362</f>
        <v>282.85450876917594</v>
      </c>
      <c r="G53" s="250">
        <f>'6-x'!O362</f>
        <v>3.13944712859456</v>
      </c>
      <c r="H53" s="249">
        <f>'6-x'!P362</f>
        <v>430.13511860456191</v>
      </c>
    </row>
    <row r="54" spans="1:10">
      <c r="A54" s="227" t="s">
        <v>349</v>
      </c>
      <c r="B54" s="250" t="str">
        <f>'6-x'!J363</f>
        <v/>
      </c>
      <c r="C54" s="250">
        <f>'6-x'!K363</f>
        <v>351.10093911596408</v>
      </c>
      <c r="D54" s="250" t="str">
        <f>'6-x'!L363</f>
        <v/>
      </c>
      <c r="E54" s="250">
        <f>'6-x'!M363</f>
        <v>0</v>
      </c>
      <c r="F54" s="250" t="str">
        <f>'6-x'!N363</f>
        <v/>
      </c>
      <c r="G54" s="250">
        <f>'6-x'!O363</f>
        <v>0</v>
      </c>
      <c r="H54" s="409">
        <f>'6-x'!P363</f>
        <v>335.50059735218315</v>
      </c>
    </row>
    <row r="55" spans="1:10">
      <c r="A55" s="238"/>
      <c r="B55" s="1106" t="s">
        <v>268</v>
      </c>
      <c r="C55" s="1107"/>
      <c r="D55" s="1107"/>
      <c r="E55" s="1107"/>
      <c r="F55" s="1107"/>
      <c r="G55" s="1107"/>
      <c r="H55" s="1108"/>
    </row>
    <row r="56" spans="1:10">
      <c r="A56" s="228" t="s">
        <v>263</v>
      </c>
      <c r="B56" s="249" t="str">
        <f>'6-x'!J352</f>
        <v/>
      </c>
      <c r="C56" s="249">
        <f>'6-x'!K352</f>
        <v>234.23506424386622</v>
      </c>
      <c r="D56" s="249">
        <f>'6-x'!L352</f>
        <v>644.24574217282384</v>
      </c>
      <c r="E56" s="249">
        <f>'6-x'!M352</f>
        <v>239.12298872188111</v>
      </c>
      <c r="F56" s="249">
        <f>'6-x'!N352</f>
        <v>164.7361177591097</v>
      </c>
      <c r="G56" s="249">
        <f>'6-x'!O352</f>
        <v>0.28473952672769887</v>
      </c>
      <c r="H56" s="249">
        <f>'6-x'!P352</f>
        <v>213.68674268959563</v>
      </c>
    </row>
    <row r="57" spans="1:10" ht="15.5">
      <c r="A57" s="314"/>
      <c r="B57" s="171"/>
      <c r="C57" s="171"/>
      <c r="D57" s="171"/>
      <c r="E57" s="171"/>
      <c r="F57" s="171"/>
      <c r="G57" s="171"/>
      <c r="H57" s="171"/>
    </row>
    <row r="58" spans="1:10" ht="15.5">
      <c r="A58" s="314"/>
      <c r="B58" s="314"/>
      <c r="C58" s="314"/>
      <c r="D58" s="314"/>
      <c r="E58" s="314"/>
      <c r="F58" s="314"/>
      <c r="G58" s="314"/>
      <c r="H58" s="314"/>
    </row>
    <row r="59" spans="1:10">
      <c r="B59" s="1104" t="s">
        <v>10</v>
      </c>
      <c r="C59" s="1104"/>
      <c r="D59" s="1104"/>
      <c r="E59" s="1104"/>
      <c r="F59" s="1104"/>
      <c r="G59" s="1104"/>
      <c r="H59" s="1104"/>
    </row>
    <row r="60" spans="1:10" ht="29">
      <c r="B60" s="251" t="s">
        <v>5</v>
      </c>
      <c r="C60" s="251" t="s">
        <v>63</v>
      </c>
      <c r="D60" s="251" t="s">
        <v>7</v>
      </c>
      <c r="E60" s="251" t="s">
        <v>8</v>
      </c>
      <c r="F60" s="251" t="s">
        <v>243</v>
      </c>
      <c r="G60" s="251" t="s">
        <v>244</v>
      </c>
      <c r="H60" s="251" t="s">
        <v>9</v>
      </c>
    </row>
    <row r="61" spans="1:10">
      <c r="A61" s="253">
        <v>2020</v>
      </c>
      <c r="B61" s="1106" t="s">
        <v>267</v>
      </c>
      <c r="C61" s="1107"/>
      <c r="D61" s="1107"/>
      <c r="E61" s="1107"/>
      <c r="F61" s="1107"/>
      <c r="G61" s="1107"/>
      <c r="H61" s="1108"/>
    </row>
    <row r="62" spans="1:10">
      <c r="A62" s="228" t="s">
        <v>263</v>
      </c>
      <c r="B62" s="249">
        <f>'6-x'!J449</f>
        <v>384.73516324478692</v>
      </c>
      <c r="C62" s="249">
        <f>'6-x'!K449</f>
        <v>315.35440638206154</v>
      </c>
      <c r="D62" s="249">
        <f>'6-x'!L449</f>
        <v>1141.8895145730871</v>
      </c>
      <c r="E62" s="249">
        <f>'6-x'!M449</f>
        <v>288.30959568789888</v>
      </c>
      <c r="F62" s="249">
        <f>'6-x'!N449</f>
        <v>244.66040579533549</v>
      </c>
      <c r="G62" s="249">
        <f>'6-x'!O449</f>
        <v>5.4550124198638814</v>
      </c>
      <c r="H62" s="249">
        <f>'6-x'!P449</f>
        <v>299.12601651082991</v>
      </c>
    </row>
    <row r="63" spans="1:10">
      <c r="A63" s="227" t="s">
        <v>24</v>
      </c>
      <c r="B63" s="250" t="str">
        <f>'6-x'!J450</f>
        <v/>
      </c>
      <c r="C63" s="250">
        <f>'6-x'!K450</f>
        <v>295.19357907561096</v>
      </c>
      <c r="D63" s="250">
        <f>'6-x'!L450</f>
        <v>919.74483605487717</v>
      </c>
      <c r="E63" s="250">
        <f>'6-x'!M450</f>
        <v>312.01732196485858</v>
      </c>
      <c r="F63" s="250">
        <f>'6-x'!N450</f>
        <v>224.48016413288093</v>
      </c>
      <c r="G63" s="250">
        <f>'6-x'!O450</f>
        <v>5.4526752848500157</v>
      </c>
      <c r="H63" s="249">
        <f>'6-x'!P450</f>
        <v>230.70898090572157</v>
      </c>
      <c r="J63" s="171"/>
    </row>
    <row r="64" spans="1:10">
      <c r="A64" s="227" t="s">
        <v>25</v>
      </c>
      <c r="B64" s="250" t="str">
        <f>'6-x'!J451</f>
        <v/>
      </c>
      <c r="C64" s="250">
        <f>'6-x'!K451</f>
        <v>279.12476496151066</v>
      </c>
      <c r="D64" s="250" t="str">
        <f>'6-x'!L451</f>
        <v/>
      </c>
      <c r="E64" s="250">
        <f>'6-x'!M451</f>
        <v>276.47309223001082</v>
      </c>
      <c r="F64" s="250">
        <f>'6-x'!N451</f>
        <v>201.55801339357038</v>
      </c>
      <c r="G64" s="250">
        <f>'6-x'!O451</f>
        <v>5.3767650080609037</v>
      </c>
      <c r="H64" s="249">
        <f>'6-x'!P451</f>
        <v>266.88802653768272</v>
      </c>
      <c r="J64" s="171"/>
    </row>
    <row r="65" spans="1:10">
      <c r="A65" s="227" t="s">
        <v>26</v>
      </c>
      <c r="B65" s="250" t="str">
        <f>'6-x'!J452</f>
        <v/>
      </c>
      <c r="C65" s="250">
        <f>'6-x'!K452</f>
        <v>325.21200060799936</v>
      </c>
      <c r="D65" s="250">
        <f>'6-x'!L452</f>
        <v>1109.7388702694323</v>
      </c>
      <c r="E65" s="250">
        <f>'6-x'!M452</f>
        <v>306.77096097401977</v>
      </c>
      <c r="F65" s="250">
        <f>'6-x'!N452</f>
        <v>215.41420303182542</v>
      </c>
      <c r="G65" s="250">
        <f>'6-x'!O452</f>
        <v>5.9190383576092547</v>
      </c>
      <c r="H65" s="249">
        <f>'6-x'!P452</f>
        <v>319.57191185104733</v>
      </c>
      <c r="J65" s="171"/>
    </row>
    <row r="66" spans="1:10">
      <c r="A66" s="227" t="s">
        <v>27</v>
      </c>
      <c r="B66" s="250">
        <f>'6-x'!J453</f>
        <v>0</v>
      </c>
      <c r="C66" s="250">
        <f>'6-x'!K453</f>
        <v>246.17927760998933</v>
      </c>
      <c r="D66" s="250" t="str">
        <f>'6-x'!L453</f>
        <v/>
      </c>
      <c r="E66" s="250">
        <f>'6-x'!M453</f>
        <v>263.04014408914765</v>
      </c>
      <c r="F66" s="250">
        <f>'6-x'!N453</f>
        <v>188.7398334647113</v>
      </c>
      <c r="G66" s="250">
        <f>'6-x'!O453</f>
        <v>0.16234713011758573</v>
      </c>
      <c r="H66" s="249">
        <f>'6-x'!P453</f>
        <v>229.33856472654486</v>
      </c>
      <c r="J66" s="171"/>
    </row>
    <row r="67" spans="1:10">
      <c r="A67" s="227" t="s">
        <v>28</v>
      </c>
      <c r="B67" s="250">
        <f>'6-x'!J454</f>
        <v>384.74662582047694</v>
      </c>
      <c r="C67" s="250">
        <f>'6-x'!K454</f>
        <v>375.87762055369507</v>
      </c>
      <c r="D67" s="250">
        <f>'6-x'!L454</f>
        <v>1245.9546795950014</v>
      </c>
      <c r="E67" s="250">
        <f>'6-x'!M454</f>
        <v>254.06388293827249</v>
      </c>
      <c r="F67" s="250">
        <f>'6-x'!N454</f>
        <v>290.07945746682543</v>
      </c>
      <c r="G67" s="250">
        <f>'6-x'!O454</f>
        <v>6.7041136987310512</v>
      </c>
      <c r="H67" s="249">
        <f>'6-x'!P454</f>
        <v>365.88367275412577</v>
      </c>
      <c r="J67" s="171"/>
    </row>
    <row r="68" spans="1:10">
      <c r="A68" s="227" t="s">
        <v>349</v>
      </c>
      <c r="B68" s="250" t="str">
        <f>'6-x'!J455</f>
        <v/>
      </c>
      <c r="C68" s="250">
        <f>'6-x'!K455</f>
        <v>0</v>
      </c>
      <c r="D68" s="250" t="str">
        <f>'6-x'!L455</f>
        <v/>
      </c>
      <c r="E68" s="250" t="str">
        <f>'6-x'!M455</f>
        <v/>
      </c>
      <c r="F68" s="250" t="str">
        <f>'6-x'!N455</f>
        <v/>
      </c>
      <c r="G68" s="250">
        <f>'6-x'!O455</f>
        <v>0</v>
      </c>
      <c r="H68" s="409">
        <f>'6-x'!P455</f>
        <v>0</v>
      </c>
      <c r="J68" s="171"/>
    </row>
    <row r="69" spans="1:10">
      <c r="A69" s="238"/>
      <c r="B69" s="1106" t="s">
        <v>268</v>
      </c>
      <c r="C69" s="1107"/>
      <c r="D69" s="1107"/>
      <c r="E69" s="1107"/>
      <c r="F69" s="1107"/>
      <c r="G69" s="1107"/>
      <c r="H69" s="1108"/>
    </row>
    <row r="70" spans="1:10">
      <c r="A70" s="228" t="s">
        <v>263</v>
      </c>
      <c r="B70" s="249">
        <f>'6-x'!J444</f>
        <v>376.54954041595386</v>
      </c>
      <c r="C70" s="249">
        <f>'6-x'!K444</f>
        <v>233.46529246169149</v>
      </c>
      <c r="D70" s="249">
        <f>'6-x'!L444</f>
        <v>697.24739339393932</v>
      </c>
      <c r="E70" s="249">
        <f>'6-x'!M444</f>
        <v>240.28235797192636</v>
      </c>
      <c r="F70" s="249">
        <f>'6-x'!N444</f>
        <v>167.39316078491635</v>
      </c>
      <c r="G70" s="249">
        <f>'6-x'!O444</f>
        <v>0.30194053520579361</v>
      </c>
      <c r="H70" s="249">
        <f>'6-x'!P444</f>
        <v>215.0306605910435</v>
      </c>
    </row>
    <row r="71" spans="1:10" ht="15.5">
      <c r="A71" s="314"/>
      <c r="B71" s="171"/>
      <c r="C71" s="171"/>
      <c r="D71" s="171"/>
      <c r="E71" s="171"/>
      <c r="F71" s="171"/>
      <c r="G71" s="171"/>
      <c r="H71" s="171"/>
    </row>
    <row r="72" spans="1:10" ht="15.5">
      <c r="A72" s="314"/>
      <c r="B72" s="314"/>
      <c r="C72" s="314"/>
      <c r="D72" s="314"/>
      <c r="E72" s="314"/>
      <c r="F72" s="314"/>
      <c r="G72" s="314"/>
      <c r="H72" s="314"/>
    </row>
    <row r="73" spans="1:10">
      <c r="B73" s="1104" t="s">
        <v>10</v>
      </c>
      <c r="C73" s="1104"/>
      <c r="D73" s="1104"/>
      <c r="E73" s="1104"/>
      <c r="F73" s="1104"/>
      <c r="G73" s="1104"/>
      <c r="H73" s="1104"/>
    </row>
    <row r="74" spans="1:10" ht="29">
      <c r="B74" s="251" t="s">
        <v>5</v>
      </c>
      <c r="C74" s="251" t="s">
        <v>63</v>
      </c>
      <c r="D74" s="251" t="s">
        <v>7</v>
      </c>
      <c r="E74" s="251" t="s">
        <v>8</v>
      </c>
      <c r="F74" s="251" t="s">
        <v>243</v>
      </c>
      <c r="G74" s="251" t="s">
        <v>244</v>
      </c>
      <c r="H74" s="251" t="s">
        <v>9</v>
      </c>
    </row>
    <row r="75" spans="1:10">
      <c r="A75" s="253">
        <v>2019</v>
      </c>
      <c r="B75" s="1106" t="s">
        <v>267</v>
      </c>
      <c r="C75" s="1107"/>
      <c r="D75" s="1107"/>
      <c r="E75" s="1107"/>
      <c r="F75" s="1107"/>
      <c r="G75" s="1107"/>
      <c r="H75" s="1108"/>
    </row>
    <row r="76" spans="1:10">
      <c r="A76" s="228" t="s">
        <v>263</v>
      </c>
      <c r="B76" s="249">
        <f>'6-x'!J541</f>
        <v>393.15977340913895</v>
      </c>
      <c r="C76" s="249">
        <f>'6-x'!K541</f>
        <v>316.33605271872926</v>
      </c>
      <c r="D76" s="249">
        <f>'6-x'!L541</f>
        <v>1152.3677137425386</v>
      </c>
      <c r="E76" s="249">
        <f>'6-x'!M541</f>
        <v>292.40692919758862</v>
      </c>
      <c r="F76" s="249">
        <f>'6-x'!N541</f>
        <v>243.98081325719781</v>
      </c>
      <c r="G76" s="249">
        <f>'6-x'!O541</f>
        <v>5.2775195134903825</v>
      </c>
      <c r="H76" s="249">
        <f>'6-x'!P541</f>
        <v>307.46769948587115</v>
      </c>
    </row>
    <row r="77" spans="1:10">
      <c r="A77" s="227" t="s">
        <v>24</v>
      </c>
      <c r="B77" s="250" t="str">
        <f>'6-x'!J542</f>
        <v/>
      </c>
      <c r="C77" s="250">
        <f>'6-x'!K542</f>
        <v>287.61701343136485</v>
      </c>
      <c r="D77" s="250">
        <f>'6-x'!L542</f>
        <v>933.4807244664272</v>
      </c>
      <c r="E77" s="250">
        <f>'6-x'!M542</f>
        <v>357.28059426495827</v>
      </c>
      <c r="F77" s="250">
        <f>'6-x'!N542</f>
        <v>220.64700150415356</v>
      </c>
      <c r="G77" s="250">
        <f>'6-x'!O542</f>
        <v>5.2807634087867985</v>
      </c>
      <c r="H77" s="249">
        <f>'6-x'!P542</f>
        <v>228.16951151707312</v>
      </c>
      <c r="J77" s="56"/>
    </row>
    <row r="78" spans="1:10">
      <c r="A78" s="227" t="s">
        <v>25</v>
      </c>
      <c r="B78" s="250" t="str">
        <f>'6-x'!J543</f>
        <v/>
      </c>
      <c r="C78" s="250">
        <f>'6-x'!K543</f>
        <v>278.71771257486262</v>
      </c>
      <c r="D78" s="250" t="str">
        <f>'6-x'!L543</f>
        <v/>
      </c>
      <c r="E78" s="250">
        <f>'6-x'!M543</f>
        <v>287.03721285201419</v>
      </c>
      <c r="F78" s="250">
        <f>'6-x'!N543</f>
        <v>187.9124035123109</v>
      </c>
      <c r="G78" s="250">
        <f>'6-x'!O543</f>
        <v>3.9198056444969378</v>
      </c>
      <c r="H78" s="249">
        <f>'6-x'!P543</f>
        <v>269.34011055946172</v>
      </c>
      <c r="J78" s="56"/>
    </row>
    <row r="79" spans="1:10">
      <c r="A79" s="227" t="s">
        <v>26</v>
      </c>
      <c r="B79" s="250" t="str">
        <f>'6-x'!J544</f>
        <v/>
      </c>
      <c r="C79" s="250">
        <f>'6-x'!K544</f>
        <v>328.10714088243873</v>
      </c>
      <c r="D79" s="250">
        <f>'6-x'!L544</f>
        <v>1116.8390311061103</v>
      </c>
      <c r="E79" s="250">
        <f>'6-x'!M544</f>
        <v>305.51644982607706</v>
      </c>
      <c r="F79" s="250">
        <f>'6-x'!N544</f>
        <v>230.21818487563559</v>
      </c>
      <c r="G79" s="250">
        <f>'6-x'!O544</f>
        <v>5.4520958552135479</v>
      </c>
      <c r="H79" s="249">
        <f>'6-x'!P544</f>
        <v>330.87167595868493</v>
      </c>
      <c r="J79" s="56"/>
    </row>
    <row r="80" spans="1:10">
      <c r="A80" s="227" t="s">
        <v>27</v>
      </c>
      <c r="B80" s="250">
        <f>'6-x'!J545</f>
        <v>394.76780301028072</v>
      </c>
      <c r="C80" s="250">
        <f>'6-x'!K545</f>
        <v>245.62931886097738</v>
      </c>
      <c r="D80" s="250" t="str">
        <f>'6-x'!L545</f>
        <v/>
      </c>
      <c r="E80" s="250">
        <f>'6-x'!M545</f>
        <v>251.20407208228247</v>
      </c>
      <c r="F80" s="250">
        <f>'6-x'!N545</f>
        <v>179.76642662191927</v>
      </c>
      <c r="G80" s="250" t="str">
        <f>'6-x'!O545</f>
        <v/>
      </c>
      <c r="H80" s="249">
        <f>'6-x'!P545</f>
        <v>230.25154688848096</v>
      </c>
      <c r="J80" s="56"/>
    </row>
    <row r="81" spans="1:17">
      <c r="A81" s="227" t="s">
        <v>28</v>
      </c>
      <c r="B81" s="250">
        <f>'6-x'!J546</f>
        <v>392.86802753390555</v>
      </c>
      <c r="C81" s="250">
        <f>'6-x'!K546</f>
        <v>387.05817261966138</v>
      </c>
      <c r="D81" s="250">
        <f>'6-x'!L546</f>
        <v>1286.6486490688317</v>
      </c>
      <c r="E81" s="250">
        <f>'6-x'!M546</f>
        <v>281.73776546059725</v>
      </c>
      <c r="F81" s="250">
        <f>'6-x'!N546</f>
        <v>277.76345831847169</v>
      </c>
      <c r="G81" s="250">
        <f>'6-x'!O546</f>
        <v>3.6504044720854059</v>
      </c>
      <c r="H81" s="249">
        <f>'6-x'!P546</f>
        <v>380.52300625375318</v>
      </c>
      <c r="J81" s="56"/>
    </row>
    <row r="82" spans="1:17">
      <c r="A82" s="227" t="s">
        <v>349</v>
      </c>
      <c r="B82" s="250" t="str">
        <f>'6-x'!J547</f>
        <v/>
      </c>
      <c r="C82" s="250">
        <f>'6-x'!K547</f>
        <v>0</v>
      </c>
      <c r="D82" s="250" t="str">
        <f>'6-x'!L547</f>
        <v/>
      </c>
      <c r="E82" s="250" t="str">
        <f>'6-x'!M547</f>
        <v/>
      </c>
      <c r="F82" s="250" t="str">
        <f>'6-x'!N547</f>
        <v/>
      </c>
      <c r="G82" s="250">
        <f>'6-x'!O547</f>
        <v>0</v>
      </c>
      <c r="H82" s="409">
        <f>'6-x'!P547</f>
        <v>0</v>
      </c>
      <c r="J82" s="56"/>
    </row>
    <row r="83" spans="1:17">
      <c r="A83" s="238"/>
      <c r="B83" s="1106" t="s">
        <v>268</v>
      </c>
      <c r="C83" s="1107"/>
      <c r="D83" s="1107"/>
      <c r="E83" s="1107"/>
      <c r="F83" s="1107"/>
      <c r="G83" s="1107"/>
      <c r="H83" s="1108"/>
      <c r="J83" s="56"/>
    </row>
    <row r="84" spans="1:17">
      <c r="A84" s="228" t="s">
        <v>263</v>
      </c>
      <c r="B84" s="249">
        <f>'6-x'!J536</f>
        <v>385.27065034388858</v>
      </c>
      <c r="C84" s="249">
        <f>'6-x'!K536</f>
        <v>232.88487332730634</v>
      </c>
      <c r="D84" s="249">
        <f>'6-x'!L536</f>
        <v>692.90179057376065</v>
      </c>
      <c r="E84" s="249">
        <f>'6-x'!M536</f>
        <v>236.31576499309134</v>
      </c>
      <c r="F84" s="249">
        <f>'6-x'!N536</f>
        <v>152.31865177369903</v>
      </c>
      <c r="G84" s="249">
        <f>'6-x'!O536</f>
        <v>0.85370191382798988</v>
      </c>
      <c r="H84" s="249">
        <f>'6-x'!P536</f>
        <v>216.38342470700459</v>
      </c>
      <c r="J84" s="56"/>
    </row>
    <row r="85" spans="1:17" ht="15.5">
      <c r="A85" s="314"/>
      <c r="B85" s="314"/>
      <c r="C85" s="314"/>
      <c r="D85" s="314"/>
      <c r="E85" s="314"/>
      <c r="F85" s="314"/>
      <c r="G85" s="314"/>
      <c r="H85" s="314"/>
    </row>
    <row r="86" spans="1:17" ht="15.5">
      <c r="A86" s="314"/>
      <c r="B86" s="56"/>
      <c r="C86" s="56"/>
      <c r="D86" s="56"/>
      <c r="E86" s="56"/>
      <c r="F86" s="56"/>
      <c r="G86" s="56"/>
      <c r="H86" s="56"/>
    </row>
    <row r="87" spans="1:17">
      <c r="B87" s="1104" t="s">
        <v>10</v>
      </c>
      <c r="C87" s="1104"/>
      <c r="D87" s="1104"/>
      <c r="E87" s="1104"/>
      <c r="F87" s="1104"/>
      <c r="G87" s="1104"/>
      <c r="H87" s="1104"/>
    </row>
    <row r="88" spans="1:17" ht="29">
      <c r="B88" s="251" t="s">
        <v>5</v>
      </c>
      <c r="C88" s="251" t="s">
        <v>63</v>
      </c>
      <c r="D88" s="251" t="s">
        <v>7</v>
      </c>
      <c r="E88" s="251" t="s">
        <v>8</v>
      </c>
      <c r="F88" s="251" t="s">
        <v>243</v>
      </c>
      <c r="G88" s="251" t="s">
        <v>244</v>
      </c>
      <c r="H88" s="251" t="s">
        <v>9</v>
      </c>
    </row>
    <row r="89" spans="1:17">
      <c r="A89" s="253">
        <v>2018</v>
      </c>
      <c r="B89" s="1106" t="s">
        <v>267</v>
      </c>
      <c r="C89" s="1107"/>
      <c r="D89" s="1107"/>
      <c r="E89" s="1107"/>
      <c r="F89" s="1107"/>
      <c r="G89" s="1107"/>
      <c r="H89" s="1108"/>
    </row>
    <row r="90" spans="1:17">
      <c r="A90" s="228" t="s">
        <v>263</v>
      </c>
      <c r="B90" s="249">
        <f>'6-x'!J633</f>
        <v>389.35391813471864</v>
      </c>
      <c r="C90" s="249">
        <f>'6-x'!K633</f>
        <v>316.0716954165818</v>
      </c>
      <c r="D90" s="249">
        <f>'6-x'!L633</f>
        <v>1411.8089749253115</v>
      </c>
      <c r="E90" s="249">
        <f>'6-x'!M633</f>
        <v>296.37575764609215</v>
      </c>
      <c r="F90" s="249">
        <f>'6-x'!N633</f>
        <v>250.15341134477299</v>
      </c>
      <c r="G90" s="249">
        <f>'6-x'!O633</f>
        <v>5.5364774186788983</v>
      </c>
      <c r="H90" s="249">
        <f>'6-x'!P633</f>
        <v>311.17416832725536</v>
      </c>
      <c r="K90" s="56"/>
      <c r="L90" s="56"/>
      <c r="M90" s="56"/>
      <c r="N90" s="56"/>
      <c r="O90" s="56"/>
      <c r="P90" s="56"/>
      <c r="Q90" s="56"/>
    </row>
    <row r="91" spans="1:17">
      <c r="A91" s="227" t="s">
        <v>24</v>
      </c>
      <c r="B91" s="250" t="str">
        <f>'6-x'!J634</f>
        <v/>
      </c>
      <c r="C91" s="250">
        <f>'6-x'!K634</f>
        <v>285.52639751104147</v>
      </c>
      <c r="D91" s="250">
        <f>'6-x'!L634</f>
        <v>996.36570339838977</v>
      </c>
      <c r="E91" s="250">
        <f>'6-x'!M634</f>
        <v>343.54005977224813</v>
      </c>
      <c r="F91" s="250">
        <f>'6-x'!N634</f>
        <v>223.68469170861039</v>
      </c>
      <c r="G91" s="250">
        <f>'6-x'!O634</f>
        <v>5.5499956495463527</v>
      </c>
      <c r="H91" s="249">
        <f>'6-x'!P634</f>
        <v>225.25738542948039</v>
      </c>
      <c r="K91" s="56"/>
      <c r="L91" s="56"/>
      <c r="M91" s="56"/>
      <c r="N91" s="56"/>
      <c r="O91" s="56"/>
      <c r="P91" s="56"/>
      <c r="Q91" s="56"/>
    </row>
    <row r="92" spans="1:17">
      <c r="A92" s="227" t="s">
        <v>25</v>
      </c>
      <c r="B92" s="250" t="str">
        <f>'6-x'!J635</f>
        <v/>
      </c>
      <c r="C92" s="250">
        <f>'6-x'!K635</f>
        <v>283.69659953293996</v>
      </c>
      <c r="D92" s="250" t="str">
        <f>'6-x'!L635</f>
        <v/>
      </c>
      <c r="E92" s="250">
        <f>'6-x'!M635</f>
        <v>279.64756291312403</v>
      </c>
      <c r="F92" s="250">
        <f>'6-x'!N635</f>
        <v>193.01222418309109</v>
      </c>
      <c r="G92" s="250">
        <f>'6-x'!O635</f>
        <v>3.30827462496568</v>
      </c>
      <c r="H92" s="249">
        <f>'6-x'!P635</f>
        <v>271.2978729966066</v>
      </c>
      <c r="K92" s="56"/>
      <c r="L92" s="56"/>
      <c r="M92" s="56"/>
      <c r="N92" s="56"/>
      <c r="O92" s="56"/>
      <c r="P92" s="56"/>
      <c r="Q92" s="56"/>
    </row>
    <row r="93" spans="1:17">
      <c r="A93" s="227" t="s">
        <v>26</v>
      </c>
      <c r="B93" s="250">
        <f>'6-x'!J636</f>
        <v>388.96024487135611</v>
      </c>
      <c r="C93" s="250">
        <f>'6-x'!K636</f>
        <v>327.08786542380642</v>
      </c>
      <c r="D93" s="250">
        <f>'6-x'!L636</f>
        <v>1313.5331363113135</v>
      </c>
      <c r="E93" s="250">
        <f>'6-x'!M636</f>
        <v>310.59381173410418</v>
      </c>
      <c r="F93" s="250">
        <f>'6-x'!N636</f>
        <v>239.66899707673224</v>
      </c>
      <c r="G93" s="250">
        <f>'6-x'!O636</f>
        <v>5.316599318680554</v>
      </c>
      <c r="H93" s="249">
        <f>'6-x'!P636</f>
        <v>330.61919685475988</v>
      </c>
      <c r="K93" s="56"/>
      <c r="L93" s="56"/>
      <c r="M93" s="56"/>
      <c r="N93" s="56"/>
      <c r="O93" s="56"/>
      <c r="P93" s="56"/>
      <c r="Q93" s="56"/>
    </row>
    <row r="94" spans="1:17">
      <c r="A94" s="227" t="s">
        <v>27</v>
      </c>
      <c r="B94" s="250">
        <f>'6-x'!J637</f>
        <v>391.23853163509483</v>
      </c>
      <c r="C94" s="250">
        <f>'6-x'!K637</f>
        <v>245.82259513116233</v>
      </c>
      <c r="D94" s="250" t="str">
        <f>'6-x'!L637</f>
        <v/>
      </c>
      <c r="E94" s="250">
        <f>'6-x'!M637</f>
        <v>255.54288912014849</v>
      </c>
      <c r="F94" s="250">
        <f>'6-x'!N637</f>
        <v>192.32532623282228</v>
      </c>
      <c r="G94" s="250" t="str">
        <f>'6-x'!O637</f>
        <v/>
      </c>
      <c r="H94" s="249">
        <f>'6-x'!P637</f>
        <v>230.15753911065045</v>
      </c>
      <c r="K94" s="56"/>
      <c r="L94" s="56"/>
      <c r="M94" s="56"/>
      <c r="N94" s="56"/>
      <c r="O94" s="56"/>
      <c r="P94" s="56"/>
      <c r="Q94" s="56"/>
    </row>
    <row r="95" spans="1:17">
      <c r="A95" s="227" t="s">
        <v>28</v>
      </c>
      <c r="B95" s="250" t="str">
        <f>'6-x'!J638</f>
        <v/>
      </c>
      <c r="C95" s="250">
        <f>'6-x'!K638</f>
        <v>408.86913993685482</v>
      </c>
      <c r="D95" s="250">
        <f>'6-x'!L638</f>
        <v>1697.9589193999032</v>
      </c>
      <c r="E95" s="250">
        <f>'6-x'!M638</f>
        <v>290.97031206152951</v>
      </c>
      <c r="F95" s="250">
        <f>'6-x'!N638</f>
        <v>280.38500865462089</v>
      </c>
      <c r="G95" s="250">
        <f>'6-x'!O638</f>
        <v>2.9602672336075022</v>
      </c>
      <c r="H95" s="249">
        <f>'6-x'!P638</f>
        <v>418.34953899890257</v>
      </c>
      <c r="K95" s="56"/>
      <c r="L95" s="56"/>
      <c r="M95" s="56"/>
      <c r="N95" s="56"/>
      <c r="O95" s="56"/>
      <c r="P95" s="56"/>
      <c r="Q95" s="56"/>
    </row>
    <row r="96" spans="1:17">
      <c r="A96" s="227" t="s">
        <v>349</v>
      </c>
      <c r="B96" s="250" t="str">
        <f>'6-x'!J639</f>
        <v/>
      </c>
      <c r="C96" s="250" t="str">
        <f>'6-x'!K639</f>
        <v/>
      </c>
      <c r="D96" s="250" t="str">
        <f>'6-x'!L639</f>
        <v/>
      </c>
      <c r="E96" s="250" t="str">
        <f>'6-x'!M639</f>
        <v/>
      </c>
      <c r="F96" s="250" t="str">
        <f>'6-x'!N639</f>
        <v/>
      </c>
      <c r="G96" s="250" t="str">
        <f>'6-x'!O639</f>
        <v/>
      </c>
      <c r="H96" s="409"/>
    </row>
    <row r="97" spans="1:16">
      <c r="A97" s="238"/>
      <c r="B97" s="1106" t="s">
        <v>268</v>
      </c>
      <c r="C97" s="1107"/>
      <c r="D97" s="1107"/>
      <c r="E97" s="1107"/>
      <c r="F97" s="1107"/>
      <c r="G97" s="1107"/>
      <c r="H97" s="1108"/>
    </row>
    <row r="98" spans="1:16">
      <c r="A98" s="228" t="s">
        <v>263</v>
      </c>
      <c r="B98" s="249">
        <f>'6-x'!J628</f>
        <v>381.58068760723734</v>
      </c>
      <c r="C98" s="249">
        <f>'6-x'!K628</f>
        <v>232.88461660679565</v>
      </c>
      <c r="D98" s="249">
        <f>'6-x'!L628</f>
        <v>594.04164605337826</v>
      </c>
      <c r="E98" s="249">
        <f>'6-x'!M628</f>
        <v>243.61545190666712</v>
      </c>
      <c r="F98" s="249">
        <f>'6-x'!N628</f>
        <v>157.24659417924855</v>
      </c>
      <c r="G98" s="249">
        <f>'6-x'!O628</f>
        <v>0.56511947200921842</v>
      </c>
      <c r="H98" s="249">
        <f>'6-x'!P628</f>
        <v>213.40571197738365</v>
      </c>
    </row>
    <row r="99" spans="1:16" ht="15.5">
      <c r="A99" s="314"/>
      <c r="B99" s="314"/>
      <c r="C99" s="314"/>
      <c r="D99" s="314"/>
      <c r="E99" s="314"/>
      <c r="F99" s="314"/>
      <c r="G99" s="314"/>
      <c r="H99" s="314"/>
    </row>
    <row r="100" spans="1:16" ht="15.5">
      <c r="A100" s="314"/>
      <c r="B100" s="314"/>
      <c r="C100" s="314"/>
      <c r="D100" s="314"/>
      <c r="E100" s="314"/>
      <c r="F100" s="314"/>
      <c r="G100" s="314"/>
      <c r="H100" s="314"/>
    </row>
    <row r="101" spans="1:16">
      <c r="B101" s="1104" t="s">
        <v>10</v>
      </c>
      <c r="C101" s="1104"/>
      <c r="D101" s="1104"/>
      <c r="E101" s="1104"/>
      <c r="F101" s="1104"/>
      <c r="G101" s="1104"/>
      <c r="H101" s="1104"/>
    </row>
    <row r="102" spans="1:16" ht="29">
      <c r="B102" s="251" t="s">
        <v>5</v>
      </c>
      <c r="C102" s="251" t="s">
        <v>63</v>
      </c>
      <c r="D102" s="251" t="s">
        <v>7</v>
      </c>
      <c r="E102" s="251" t="s">
        <v>8</v>
      </c>
      <c r="F102" s="251" t="s">
        <v>243</v>
      </c>
      <c r="G102" s="251" t="s">
        <v>244</v>
      </c>
      <c r="H102" s="251" t="s">
        <v>9</v>
      </c>
    </row>
    <row r="103" spans="1:16">
      <c r="A103" s="253">
        <v>2017</v>
      </c>
      <c r="B103" s="1106" t="s">
        <v>267</v>
      </c>
      <c r="C103" s="1107"/>
      <c r="D103" s="1107"/>
      <c r="E103" s="1107"/>
      <c r="F103" s="1107"/>
      <c r="G103" s="1107"/>
      <c r="H103" s="1108"/>
    </row>
    <row r="104" spans="1:16">
      <c r="A104" s="228" t="s">
        <v>263</v>
      </c>
      <c r="B104" s="249">
        <f>'6-x'!J718</f>
        <v>387.71781754606212</v>
      </c>
      <c r="C104" s="249">
        <f>'6-x'!K718</f>
        <v>318.6409401680545</v>
      </c>
      <c r="D104" s="249">
        <f>'6-x'!L718</f>
        <v>1229.5046385993339</v>
      </c>
      <c r="E104" s="249">
        <f>'6-x'!M718</f>
        <v>300.48983395814332</v>
      </c>
      <c r="F104" s="249">
        <f>'6-x'!N718</f>
        <v>242.07502389928277</v>
      </c>
      <c r="G104" s="249">
        <f>'6-x'!O718</f>
        <v>5.1620577354360568</v>
      </c>
      <c r="H104" s="249">
        <f>'6-x'!P718</f>
        <v>311.49096235306348</v>
      </c>
      <c r="J104" s="56"/>
      <c r="K104" s="56"/>
      <c r="L104" s="56"/>
      <c r="M104" s="56"/>
      <c r="N104" s="56"/>
      <c r="O104" s="56"/>
      <c r="P104" s="56"/>
    </row>
    <row r="105" spans="1:16">
      <c r="A105" s="227" t="s">
        <v>24</v>
      </c>
      <c r="B105" s="250" t="str">
        <f>'6-x'!J719</f>
        <v/>
      </c>
      <c r="C105" s="250">
        <f>'6-x'!K719</f>
        <v>286.42583351653025</v>
      </c>
      <c r="D105" s="250">
        <f>'6-x'!L719</f>
        <v>981.64343873571647</v>
      </c>
      <c r="E105" s="250">
        <f>'6-x'!M719</f>
        <v>375.90917438723147</v>
      </c>
      <c r="F105" s="250">
        <f>'6-x'!N719</f>
        <v>219.03546636544078</v>
      </c>
      <c r="G105" s="250">
        <f>'6-x'!O719</f>
        <v>5.170261460193295</v>
      </c>
      <c r="H105" s="249">
        <f>'6-x'!P719</f>
        <v>224.46153009498823</v>
      </c>
      <c r="P105" s="56"/>
    </row>
    <row r="106" spans="1:16">
      <c r="A106" s="227" t="s">
        <v>25</v>
      </c>
      <c r="B106" s="250" t="str">
        <f>'6-x'!J720</f>
        <v/>
      </c>
      <c r="C106" s="250">
        <f>'6-x'!K720</f>
        <v>285.03388999046877</v>
      </c>
      <c r="D106" s="250" t="str">
        <f>'6-x'!L720</f>
        <v/>
      </c>
      <c r="E106" s="250">
        <f>'6-x'!M720</f>
        <v>280.97507884810648</v>
      </c>
      <c r="F106" s="250">
        <f>'6-x'!N720</f>
        <v>194.16953288330973</v>
      </c>
      <c r="G106" s="250">
        <f>'6-x'!O720</f>
        <v>3.7803830494941906</v>
      </c>
      <c r="H106" s="249">
        <f>'6-x'!P720</f>
        <v>274.90640293098835</v>
      </c>
      <c r="P106" s="56"/>
    </row>
    <row r="107" spans="1:16">
      <c r="A107" s="227" t="s">
        <v>26</v>
      </c>
      <c r="B107" s="250">
        <f>'6-x'!J721</f>
        <v>387.28484890747444</v>
      </c>
      <c r="C107" s="250">
        <f>'6-x'!K721</f>
        <v>329.19712658793486</v>
      </c>
      <c r="D107" s="250">
        <f>'6-x'!L721</f>
        <v>1133.6029340442626</v>
      </c>
      <c r="E107" s="250">
        <f>'6-x'!M721</f>
        <v>316.97953491163747</v>
      </c>
      <c r="F107" s="250">
        <f>'6-x'!N721</f>
        <v>227.40244053021135</v>
      </c>
      <c r="G107" s="250">
        <f>'6-x'!O721</f>
        <v>5.0861894242609988</v>
      </c>
      <c r="H107" s="249">
        <f>'6-x'!P721</f>
        <v>329.62243431480891</v>
      </c>
      <c r="P107" s="56"/>
    </row>
    <row r="108" spans="1:16">
      <c r="A108" s="227" t="s">
        <v>27</v>
      </c>
      <c r="B108" s="250">
        <f>'6-x'!J722</f>
        <v>389.74281354392508</v>
      </c>
      <c r="C108" s="250">
        <f>'6-x'!K722</f>
        <v>246.38472817826215</v>
      </c>
      <c r="D108" s="250" t="str">
        <f>'6-x'!L722</f>
        <v/>
      </c>
      <c r="E108" s="250">
        <f>'6-x'!M722</f>
        <v>255.19966335664452</v>
      </c>
      <c r="F108" s="250">
        <f>'6-x'!N722</f>
        <v>182.78454110380488</v>
      </c>
      <c r="G108" s="250" t="str">
        <f>'6-x'!O722</f>
        <v/>
      </c>
      <c r="H108" s="249">
        <f>'6-x'!P722</f>
        <v>231.68690515589768</v>
      </c>
      <c r="P108" s="56"/>
    </row>
    <row r="109" spans="1:16">
      <c r="A109" s="227" t="s">
        <v>28</v>
      </c>
      <c r="B109" s="250" t="str">
        <f>'6-x'!J723</f>
        <v/>
      </c>
      <c r="C109" s="250">
        <f>'6-x'!K723</f>
        <v>375.50819596779854</v>
      </c>
      <c r="D109" s="250">
        <f>'6-x'!L723</f>
        <v>1446.7219794951332</v>
      </c>
      <c r="E109" s="250">
        <f>'6-x'!M723</f>
        <v>300.02417803466687</v>
      </c>
      <c r="F109" s="250">
        <f>'6-x'!N723</f>
        <v>274.80412850142818</v>
      </c>
      <c r="G109" s="250">
        <f>'6-x'!O723</f>
        <v>2.8619852987358243</v>
      </c>
      <c r="H109" s="249">
        <f>'6-x'!P723</f>
        <v>406.07422284511944</v>
      </c>
      <c r="P109" s="56"/>
    </row>
    <row r="110" spans="1:16">
      <c r="A110" s="238"/>
      <c r="B110" s="1106" t="s">
        <v>268</v>
      </c>
      <c r="C110" s="1107"/>
      <c r="D110" s="1107"/>
      <c r="E110" s="1107"/>
      <c r="F110" s="1107"/>
      <c r="G110" s="1107"/>
      <c r="H110" s="1108"/>
      <c r="P110" s="56"/>
    </row>
    <row r="111" spans="1:16">
      <c r="A111" s="228" t="s">
        <v>263</v>
      </c>
      <c r="B111" s="249">
        <f>'6-x'!J713</f>
        <v>379.8312676466017</v>
      </c>
      <c r="C111" s="249">
        <f>'6-x'!K713</f>
        <v>233.75295992953019</v>
      </c>
      <c r="D111" s="249">
        <f>'6-x'!L713</f>
        <v>705.69307565612485</v>
      </c>
      <c r="E111" s="249">
        <f>'6-x'!M713</f>
        <v>244.48926517679109</v>
      </c>
      <c r="F111" s="249">
        <f>'6-x'!N713</f>
        <v>154.21403709324665</v>
      </c>
      <c r="G111" s="249">
        <f>'6-x'!O713</f>
        <v>0.30032594795581485</v>
      </c>
      <c r="H111" s="249">
        <f>'6-x'!P713</f>
        <v>218.78165008132791</v>
      </c>
      <c r="P111" s="56"/>
    </row>
    <row r="112" spans="1:16" ht="15.5">
      <c r="A112" s="314"/>
      <c r="B112" s="314"/>
      <c r="C112" s="314"/>
      <c r="D112" s="314"/>
      <c r="E112" s="314"/>
      <c r="F112" s="314"/>
      <c r="G112" s="314"/>
      <c r="H112" s="314"/>
    </row>
    <row r="113" spans="1:16" ht="15.5">
      <c r="A113" s="314"/>
      <c r="B113" s="314"/>
      <c r="C113" s="314"/>
      <c r="D113" s="314"/>
      <c r="E113" s="314"/>
      <c r="F113" s="314"/>
      <c r="G113" s="314"/>
      <c r="H113" s="314"/>
    </row>
    <row r="114" spans="1:16">
      <c r="B114" s="1104" t="s">
        <v>10</v>
      </c>
      <c r="C114" s="1104"/>
      <c r="D114" s="1104"/>
      <c r="E114" s="1104"/>
      <c r="F114" s="1104"/>
      <c r="G114" s="1104"/>
      <c r="H114" s="1104"/>
    </row>
    <row r="115" spans="1:16" ht="29">
      <c r="B115" s="251" t="s">
        <v>5</v>
      </c>
      <c r="C115" s="251" t="s">
        <v>63</v>
      </c>
      <c r="D115" s="251" t="s">
        <v>7</v>
      </c>
      <c r="E115" s="251" t="s">
        <v>8</v>
      </c>
      <c r="F115" s="251" t="s">
        <v>243</v>
      </c>
      <c r="G115" s="251" t="s">
        <v>244</v>
      </c>
      <c r="H115" s="251" t="s">
        <v>9</v>
      </c>
    </row>
    <row r="116" spans="1:16" ht="14.75" customHeight="1">
      <c r="A116" s="253">
        <v>2016</v>
      </c>
      <c r="B116" s="1106" t="s">
        <v>267</v>
      </c>
      <c r="C116" s="1107"/>
      <c r="D116" s="1107"/>
      <c r="E116" s="1107"/>
      <c r="F116" s="1107"/>
      <c r="G116" s="1107"/>
      <c r="H116" s="1108"/>
    </row>
    <row r="117" spans="1:16">
      <c r="A117" s="228" t="s">
        <v>263</v>
      </c>
      <c r="B117" s="249">
        <f>'6-x'!J803</f>
        <v>392.18416917840028</v>
      </c>
      <c r="C117" s="249">
        <f>'6-x'!K803</f>
        <v>316.72210681862674</v>
      </c>
      <c r="D117" s="249">
        <f>'6-x'!L803</f>
        <v>1318.2470942360696</v>
      </c>
      <c r="E117" s="249">
        <f>'6-x'!M803</f>
        <v>299.5502946228367</v>
      </c>
      <c r="F117" s="249">
        <f>'6-x'!N803</f>
        <v>244.43780500200828</v>
      </c>
      <c r="G117" s="249">
        <f>'6-x'!O803</f>
        <v>5.3608461754206349</v>
      </c>
      <c r="H117" s="249">
        <f>'6-x'!P803</f>
        <v>316.63395323893189</v>
      </c>
      <c r="I117" s="56"/>
      <c r="J117" s="56"/>
    </row>
    <row r="118" spans="1:16">
      <c r="A118" s="227" t="s">
        <v>24</v>
      </c>
      <c r="B118" s="288" t="str">
        <f>'6-x'!J804</f>
        <v/>
      </c>
      <c r="C118" s="288">
        <f>'6-x'!K804</f>
        <v>284.20336170809725</v>
      </c>
      <c r="D118" s="288">
        <f>'6-x'!L804</f>
        <v>1196.8303988490379</v>
      </c>
      <c r="E118" s="288">
        <f>'6-x'!M804</f>
        <v>381.75683054429038</v>
      </c>
      <c r="F118" s="288">
        <f>'6-x'!N804</f>
        <v>220.23822043737724</v>
      </c>
      <c r="G118" s="288">
        <f>'6-x'!O804</f>
        <v>5.3677427548660246</v>
      </c>
      <c r="H118" s="249">
        <f>'6-x'!P804</f>
        <v>224.78966077693838</v>
      </c>
      <c r="I118" s="56"/>
      <c r="J118" s="56"/>
    </row>
    <row r="119" spans="1:16">
      <c r="A119" s="227" t="s">
        <v>25</v>
      </c>
      <c r="B119" s="288" t="str">
        <f>'6-x'!J805</f>
        <v/>
      </c>
      <c r="C119" s="288">
        <f>'6-x'!K805</f>
        <v>284.26378485620427</v>
      </c>
      <c r="D119" s="288">
        <f>'6-x'!L805</f>
        <v>924.94400595518562</v>
      </c>
      <c r="E119" s="288">
        <f>'6-x'!M805</f>
        <v>282.62934800695217</v>
      </c>
      <c r="F119" s="288">
        <f>'6-x'!N805</f>
        <v>192.18881903148548</v>
      </c>
      <c r="G119" s="288">
        <f>'6-x'!O805</f>
        <v>4.4015715701656832</v>
      </c>
      <c r="H119" s="249">
        <f>'6-x'!P805</f>
        <v>276.81505456064519</v>
      </c>
      <c r="I119" s="56"/>
      <c r="J119" s="56"/>
    </row>
    <row r="120" spans="1:16">
      <c r="A120" s="227" t="s">
        <v>26</v>
      </c>
      <c r="B120" s="288">
        <f>'6-x'!J806</f>
        <v>391.80205780496476</v>
      </c>
      <c r="C120" s="288">
        <f>'6-x'!K806</f>
        <v>327.70836140856329</v>
      </c>
      <c r="D120" s="288">
        <f>'6-x'!L806</f>
        <v>1204.1380386835338</v>
      </c>
      <c r="E120" s="288">
        <f>'6-x'!M806</f>
        <v>317.33939169375941</v>
      </c>
      <c r="F120" s="288">
        <f>'6-x'!N806</f>
        <v>232.7236911118373</v>
      </c>
      <c r="G120" s="288">
        <f>'6-x'!O806</f>
        <v>5.3600047222980782</v>
      </c>
      <c r="H120" s="249">
        <f>'6-x'!P806</f>
        <v>331.57954435577614</v>
      </c>
      <c r="I120" s="56"/>
      <c r="J120" s="56"/>
    </row>
    <row r="121" spans="1:16">
      <c r="A121" s="227" t="s">
        <v>27</v>
      </c>
      <c r="B121" s="288">
        <f>'6-x'!J807</f>
        <v>394.25987873529436</v>
      </c>
      <c r="C121" s="288">
        <f>'6-x'!K807</f>
        <v>246.80432431067428</v>
      </c>
      <c r="D121" s="288" t="str">
        <f>'6-x'!L807</f>
        <v/>
      </c>
      <c r="E121" s="288">
        <f>'6-x'!M807</f>
        <v>256.3385774778497</v>
      </c>
      <c r="F121" s="288">
        <f>'6-x'!N807</f>
        <v>183.36961771986554</v>
      </c>
      <c r="G121" s="288">
        <f>'6-x'!O807</f>
        <v>0.95155905424561138</v>
      </c>
      <c r="H121" s="249">
        <f>'6-x'!P807</f>
        <v>235.67853353417689</v>
      </c>
      <c r="I121" s="56"/>
      <c r="J121" s="56"/>
    </row>
    <row r="122" spans="1:16">
      <c r="A122" s="227" t="s">
        <v>28</v>
      </c>
      <c r="B122" s="288" t="str">
        <f>'6-x'!J808</f>
        <v/>
      </c>
      <c r="C122" s="288">
        <f>'6-x'!K808</f>
        <v>358.64294690758334</v>
      </c>
      <c r="D122" s="288">
        <f>'6-x'!L808</f>
        <v>1502.9784087519492</v>
      </c>
      <c r="E122" s="288">
        <f>'6-x'!M808</f>
        <v>288.0952428102658</v>
      </c>
      <c r="F122" s="288">
        <f>'6-x'!N808</f>
        <v>276.53252487777274</v>
      </c>
      <c r="G122" s="288">
        <f>'6-x'!O808</f>
        <v>2.7487739080625055</v>
      </c>
      <c r="H122" s="249">
        <f>'6-x'!P808</f>
        <v>441.83010422676603</v>
      </c>
      <c r="I122" s="56"/>
      <c r="J122" s="56"/>
    </row>
    <row r="123" spans="1:16">
      <c r="A123" s="238"/>
      <c r="B123" s="1106" t="s">
        <v>268</v>
      </c>
      <c r="C123" s="1107"/>
      <c r="D123" s="1107"/>
      <c r="E123" s="1107"/>
      <c r="F123" s="1107"/>
      <c r="G123" s="1107"/>
      <c r="H123" s="1108"/>
      <c r="I123" s="56"/>
      <c r="J123" s="56"/>
    </row>
    <row r="124" spans="1:16">
      <c r="A124" s="228" t="s">
        <v>263</v>
      </c>
      <c r="B124" s="249">
        <f>'6-x'!J798</f>
        <v>384.08041202654817</v>
      </c>
      <c r="C124" s="249">
        <f>'6-x'!K798</f>
        <v>234.47701751138837</v>
      </c>
      <c r="D124" s="249">
        <f>'6-x'!L798</f>
        <v>747.76229753123539</v>
      </c>
      <c r="E124" s="249">
        <f>'6-x'!M798</f>
        <v>245.06116337065791</v>
      </c>
      <c r="F124" s="249">
        <f>'6-x'!N798</f>
        <v>152.99570120545243</v>
      </c>
      <c r="G124" s="249">
        <f>'6-x'!O798</f>
        <v>0.31937736375804654</v>
      </c>
      <c r="H124" s="249">
        <f>'6-x'!P798</f>
        <v>223.54597906631111</v>
      </c>
      <c r="I124" s="56"/>
      <c r="J124" s="56"/>
    </row>
    <row r="125" spans="1:16">
      <c r="B125" s="56"/>
      <c r="C125" s="56"/>
      <c r="D125" s="56"/>
      <c r="E125" s="56"/>
      <c r="F125" s="56"/>
      <c r="G125" s="56"/>
      <c r="H125" s="56"/>
    </row>
    <row r="127" spans="1:16" ht="14.75" customHeight="1">
      <c r="A127" s="253">
        <v>2015</v>
      </c>
      <c r="B127" s="1106" t="s">
        <v>267</v>
      </c>
      <c r="C127" s="1107"/>
      <c r="D127" s="1107"/>
      <c r="E127" s="1107"/>
      <c r="F127" s="1107"/>
      <c r="G127" s="1107"/>
      <c r="H127" s="1108"/>
    </row>
    <row r="128" spans="1:16">
      <c r="A128" s="228" t="s">
        <v>263</v>
      </c>
      <c r="B128" s="249">
        <f>'6-x'!J888</f>
        <v>391.41590691199769</v>
      </c>
      <c r="C128" s="249">
        <f>'6-x'!K888</f>
        <v>312.21820268733592</v>
      </c>
      <c r="D128" s="249">
        <f>'6-x'!L888</f>
        <v>1319.1563856179177</v>
      </c>
      <c r="E128" s="249">
        <f>'6-x'!M888</f>
        <v>311.53596492069391</v>
      </c>
      <c r="F128" s="249">
        <f>'6-x'!N888</f>
        <v>242.60270274142374</v>
      </c>
      <c r="G128" s="249">
        <f>'6-x'!O888</f>
        <v>5.1849699479333911</v>
      </c>
      <c r="H128" s="249">
        <f>'6-x'!P888</f>
        <v>308.32793093848068</v>
      </c>
      <c r="I128" s="56"/>
      <c r="K128" s="254"/>
      <c r="L128" s="254"/>
      <c r="M128" s="254"/>
      <c r="N128" s="254"/>
      <c r="O128" s="254"/>
      <c r="P128" s="254"/>
    </row>
    <row r="129" spans="1:16">
      <c r="A129" s="227" t="s">
        <v>24</v>
      </c>
      <c r="B129" s="250" t="str">
        <f>'6-x'!J889</f>
        <v/>
      </c>
      <c r="C129" s="250">
        <f>'6-x'!K889</f>
        <v>281.48384929497723</v>
      </c>
      <c r="D129" s="250">
        <f>'6-x'!L889</f>
        <v>1120.8384593231908</v>
      </c>
      <c r="E129" s="250">
        <f>'6-x'!M889</f>
        <v>385.00942008401785</v>
      </c>
      <c r="F129" s="250">
        <f>'6-x'!N889</f>
        <v>225.97972664796288</v>
      </c>
      <c r="G129" s="250">
        <f>'6-x'!O889</f>
        <v>5.1903252464307927</v>
      </c>
      <c r="H129" s="249">
        <f>'6-x'!P889</f>
        <v>220.55405552226065</v>
      </c>
      <c r="I129" s="56"/>
      <c r="J129" s="56"/>
      <c r="P129" s="254"/>
    </row>
    <row r="130" spans="1:16">
      <c r="A130" s="227" t="s">
        <v>25</v>
      </c>
      <c r="B130" s="250" t="str">
        <f>'6-x'!J890</f>
        <v/>
      </c>
      <c r="C130" s="250">
        <f>'6-x'!K890</f>
        <v>279.34490095799987</v>
      </c>
      <c r="D130" s="250">
        <f>'6-x'!L890</f>
        <v>866.77793208540561</v>
      </c>
      <c r="E130" s="250">
        <f>'6-x'!M890</f>
        <v>290.13590238529349</v>
      </c>
      <c r="F130" s="250">
        <f>'6-x'!N890</f>
        <v>190.2055272502792</v>
      </c>
      <c r="G130" s="250">
        <f>'6-x'!O890</f>
        <v>3.330163779596842</v>
      </c>
      <c r="H130" s="249">
        <f>'6-x'!P890</f>
        <v>272.66566075108369</v>
      </c>
      <c r="I130" s="56"/>
      <c r="J130" s="56"/>
      <c r="P130" s="254"/>
    </row>
    <row r="131" spans="1:16">
      <c r="A131" s="227" t="s">
        <v>26</v>
      </c>
      <c r="B131" s="250">
        <f>'6-x'!J891</f>
        <v>391.12476797077727</v>
      </c>
      <c r="C131" s="250">
        <f>'6-x'!K891</f>
        <v>322.92109115322847</v>
      </c>
      <c r="D131" s="250">
        <f>'6-x'!L891</f>
        <v>1290.9284012035023</v>
      </c>
      <c r="E131" s="250">
        <f>'6-x'!M891</f>
        <v>331.35744302848167</v>
      </c>
      <c r="F131" s="250">
        <f>'6-x'!N891</f>
        <v>221.60935506096499</v>
      </c>
      <c r="G131" s="250">
        <f>'6-x'!O891</f>
        <v>5.3880818349385571</v>
      </c>
      <c r="H131" s="249">
        <f>'6-x'!P891</f>
        <v>321.85284619299404</v>
      </c>
      <c r="I131" s="56"/>
      <c r="J131" s="56"/>
      <c r="P131" s="254"/>
    </row>
    <row r="132" spans="1:16">
      <c r="A132" s="227" t="s">
        <v>27</v>
      </c>
      <c r="B132" s="250">
        <f>'6-x'!J892</f>
        <v>392.80062635489696</v>
      </c>
      <c r="C132" s="250">
        <f>'6-x'!K892</f>
        <v>245.40664985081057</v>
      </c>
      <c r="D132" s="250" t="str">
        <f>'6-x'!L892</f>
        <v/>
      </c>
      <c r="E132" s="250">
        <f>'6-x'!M892</f>
        <v>258.48524715612751</v>
      </c>
      <c r="F132" s="250">
        <f>'6-x'!N892</f>
        <v>183.28173814394552</v>
      </c>
      <c r="G132" s="250">
        <f>'6-x'!O892</f>
        <v>1.3782437424801901</v>
      </c>
      <c r="H132" s="249">
        <f>'6-x'!P892</f>
        <v>233.84328052362892</v>
      </c>
      <c r="I132" s="56"/>
      <c r="J132" s="56"/>
      <c r="P132" s="254"/>
    </row>
    <row r="133" spans="1:16">
      <c r="A133" s="227" t="s">
        <v>28</v>
      </c>
      <c r="B133" s="250" t="str">
        <f>'6-x'!J893</f>
        <v/>
      </c>
      <c r="C133" s="250">
        <f>'6-x'!K893</f>
        <v>352.93894877493796</v>
      </c>
      <c r="D133" s="250">
        <f>'6-x'!L893</f>
        <v>1362.9723734263546</v>
      </c>
      <c r="E133" s="250">
        <f>'6-x'!M893</f>
        <v>331.54366847094428</v>
      </c>
      <c r="F133" s="250">
        <f>'6-x'!N893</f>
        <v>281.50366150828194</v>
      </c>
      <c r="G133" s="250">
        <f>'6-x'!O893</f>
        <v>3.0911888319764627</v>
      </c>
      <c r="H133" s="249">
        <f>'6-x'!P893</f>
        <v>427.68408382799453</v>
      </c>
      <c r="I133" s="56"/>
      <c r="P133" s="254"/>
    </row>
    <row r="134" spans="1:16">
      <c r="A134" s="238"/>
      <c r="B134" s="1106" t="s">
        <v>268</v>
      </c>
      <c r="C134" s="1107"/>
      <c r="D134" s="1107"/>
      <c r="E134" s="1107"/>
      <c r="F134" s="1107"/>
      <c r="G134" s="1107"/>
      <c r="H134" s="1108"/>
      <c r="I134" s="255"/>
    </row>
    <row r="135" spans="1:16">
      <c r="A135" s="228" t="s">
        <v>263</v>
      </c>
      <c r="B135" s="249">
        <f>'6-x'!J883</f>
        <v>383.39600895071516</v>
      </c>
      <c r="C135" s="249">
        <f>'6-x'!K883</f>
        <v>232.55664465966052</v>
      </c>
      <c r="D135" s="249">
        <f>'6-x'!L883</f>
        <v>780.84006071243448</v>
      </c>
      <c r="E135" s="249">
        <f>'6-x'!M883</f>
        <v>249.42050973951652</v>
      </c>
      <c r="F135" s="249">
        <f>'6-x'!N883</f>
        <v>154.6233219630943</v>
      </c>
      <c r="G135" s="249">
        <f>'6-x'!O883</f>
        <v>0.4537316128532331</v>
      </c>
      <c r="H135" s="249">
        <f>'6-x'!P883</f>
        <v>221.71522945030736</v>
      </c>
      <c r="I135" s="255"/>
    </row>
    <row r="138" spans="1:16" ht="14.75" customHeight="1">
      <c r="A138" s="253">
        <v>2010</v>
      </c>
      <c r="B138" s="1106" t="s">
        <v>267</v>
      </c>
      <c r="C138" s="1107"/>
      <c r="D138" s="1107"/>
      <c r="E138" s="1107"/>
      <c r="F138" s="1107"/>
      <c r="G138" s="1107"/>
      <c r="H138" s="1108"/>
    </row>
    <row r="139" spans="1:16">
      <c r="A139" s="228" t="s">
        <v>263</v>
      </c>
      <c r="B139" s="249">
        <f>'6-x'!J972</f>
        <v>436.15138204699758</v>
      </c>
      <c r="C139" s="249">
        <f>'6-x'!K972</f>
        <v>335.24447285973156</v>
      </c>
      <c r="D139" s="249">
        <f>'6-x'!L972</f>
        <v>1555.7572673928603</v>
      </c>
      <c r="E139" s="249">
        <f>'6-x'!M972</f>
        <v>364.98346741880005</v>
      </c>
      <c r="F139" s="249">
        <f>'6-x'!N972</f>
        <v>429.41169269411756</v>
      </c>
      <c r="G139" s="249">
        <f>'6-x'!O972</f>
        <v>17.086911217892592</v>
      </c>
      <c r="H139" s="249">
        <f>'6-x'!P972</f>
        <v>378.60024318297189</v>
      </c>
      <c r="J139" s="255"/>
      <c r="K139" s="255"/>
      <c r="L139" s="255"/>
      <c r="M139" s="255"/>
      <c r="N139" s="255"/>
    </row>
    <row r="140" spans="1:16">
      <c r="A140" s="227" t="s">
        <v>24</v>
      </c>
      <c r="B140" s="250" t="str">
        <f>'6-x'!J973</f>
        <v/>
      </c>
      <c r="C140" s="250">
        <f>'6-x'!K973</f>
        <v>303.61481053124896</v>
      </c>
      <c r="D140" s="250">
        <f>'6-x'!L973</f>
        <v>1572.7666079290123</v>
      </c>
      <c r="E140" s="250">
        <f>'6-x'!M973</f>
        <v>415.2239935366934</v>
      </c>
      <c r="F140" s="250">
        <f>'6-x'!N973</f>
        <v>349.17062676934501</v>
      </c>
      <c r="G140" s="250">
        <f>'6-x'!O973</f>
        <v>16.977589555802879</v>
      </c>
      <c r="H140" s="249">
        <f>'6-x'!P973</f>
        <v>322.45887907813363</v>
      </c>
      <c r="J140" s="255"/>
      <c r="K140" s="255"/>
      <c r="L140" s="255"/>
      <c r="M140" s="255"/>
      <c r="N140" s="255"/>
    </row>
    <row r="141" spans="1:16">
      <c r="A141" s="227" t="s">
        <v>25</v>
      </c>
      <c r="B141" s="250" t="str">
        <f>'6-x'!J974</f>
        <v/>
      </c>
      <c r="C141" s="250">
        <f>'6-x'!K974</f>
        <v>283.08867353680711</v>
      </c>
      <c r="D141" s="250">
        <f>'6-x'!L974</f>
        <v>891.83406900731211</v>
      </c>
      <c r="E141" s="250">
        <f>'6-x'!M974</f>
        <v>364.99107480872391</v>
      </c>
      <c r="F141" s="250" t="str">
        <f>'6-x'!N974</f>
        <v/>
      </c>
      <c r="G141" s="250">
        <f>'6-x'!O974</f>
        <v>6.9553165675682056</v>
      </c>
      <c r="H141" s="249">
        <f>'6-x'!P974</f>
        <v>299.41018169179546</v>
      </c>
      <c r="J141" s="255"/>
      <c r="K141" s="255"/>
      <c r="L141" s="255"/>
      <c r="M141" s="255"/>
      <c r="N141" s="255"/>
    </row>
    <row r="142" spans="1:16">
      <c r="A142" s="227" t="s">
        <v>26</v>
      </c>
      <c r="B142" s="250">
        <f>'6-x'!J975</f>
        <v>458.45140559351438</v>
      </c>
      <c r="C142" s="250">
        <f>'6-x'!K975</f>
        <v>344.3372915766252</v>
      </c>
      <c r="D142" s="250">
        <f>'6-x'!L975</f>
        <v>1528.5408466898591</v>
      </c>
      <c r="E142" s="250">
        <f>'6-x'!M975</f>
        <v>356.03561231383247</v>
      </c>
      <c r="F142" s="250">
        <f>'6-x'!N975</f>
        <v>381.84753817325367</v>
      </c>
      <c r="G142" s="250">
        <f>'6-x'!O975</f>
        <v>25.747726410672158</v>
      </c>
      <c r="H142" s="249">
        <f>'6-x'!P975</f>
        <v>386.51177148333477</v>
      </c>
      <c r="J142" s="255"/>
      <c r="K142" s="255"/>
      <c r="L142" s="255"/>
      <c r="M142" s="255"/>
      <c r="N142" s="255"/>
    </row>
    <row r="143" spans="1:16">
      <c r="A143" s="227" t="s">
        <v>27</v>
      </c>
      <c r="B143" s="250">
        <f>'6-x'!J976</f>
        <v>390.51359215091156</v>
      </c>
      <c r="C143" s="250">
        <f>'6-x'!K976</f>
        <v>286.02317156738837</v>
      </c>
      <c r="D143" s="250" t="str">
        <f>'6-x'!L976</f>
        <v/>
      </c>
      <c r="E143" s="250">
        <f>'6-x'!M976</f>
        <v>339.87728972641463</v>
      </c>
      <c r="F143" s="250">
        <f>'6-x'!N976</f>
        <v>286.85750535115648</v>
      </c>
      <c r="G143" s="250">
        <f>'6-x'!O976</f>
        <v>7.1493433561081376</v>
      </c>
      <c r="H143" s="249">
        <f>'6-x'!P976</f>
        <v>298.59737991155879</v>
      </c>
      <c r="J143" s="255"/>
      <c r="K143" s="255"/>
      <c r="L143" s="255"/>
      <c r="M143" s="255"/>
      <c r="N143" s="255"/>
    </row>
    <row r="144" spans="1:16">
      <c r="A144" s="227" t="s">
        <v>28</v>
      </c>
      <c r="B144" s="250" t="str">
        <f>'6-x'!J977</f>
        <v/>
      </c>
      <c r="C144" s="250">
        <f>'6-x'!K977</f>
        <v>334.68606577918399</v>
      </c>
      <c r="D144" s="250">
        <f>'6-x'!L977</f>
        <v>2546.5357514462894</v>
      </c>
      <c r="E144" s="250">
        <f>'6-x'!M977</f>
        <v>380.81730493705248</v>
      </c>
      <c r="F144" s="250">
        <f>'6-x'!N977</f>
        <v>635.86264076183056</v>
      </c>
      <c r="G144" s="250">
        <f>'6-x'!O977</f>
        <v>20.10753487065524</v>
      </c>
      <c r="H144" s="249">
        <f>'6-x'!P977</f>
        <v>454.68011253115702</v>
      </c>
      <c r="J144" s="255"/>
      <c r="K144" s="255"/>
      <c r="L144" s="255"/>
      <c r="M144" s="255"/>
      <c r="N144" s="255"/>
    </row>
    <row r="145" spans="1:9">
      <c r="A145" s="238"/>
      <c r="B145" s="1106" t="s">
        <v>268</v>
      </c>
      <c r="C145" s="1107"/>
      <c r="D145" s="1107"/>
      <c r="E145" s="1107"/>
      <c r="F145" s="1107"/>
      <c r="G145" s="1107"/>
      <c r="H145" s="1108"/>
      <c r="I145" s="254"/>
    </row>
    <row r="146" spans="1:9">
      <c r="A146" s="228" t="s">
        <v>263</v>
      </c>
      <c r="B146" s="249">
        <f>'6-x'!J967</f>
        <v>383.45734066751078</v>
      </c>
      <c r="C146" s="249">
        <f>'6-x'!K967</f>
        <v>233.23887659740089</v>
      </c>
      <c r="D146" s="249">
        <f>'6-x'!L967</f>
        <v>625.7717873907734</v>
      </c>
      <c r="E146" s="249">
        <f>'6-x'!M967</f>
        <v>289.03570788431529</v>
      </c>
      <c r="F146" s="249">
        <f>'6-x'!N967</f>
        <v>240.66986638971335</v>
      </c>
      <c r="G146" s="249">
        <f>'6-x'!O967</f>
        <v>0</v>
      </c>
      <c r="H146" s="249">
        <f>'6-x'!P967</f>
        <v>249.01947221567406</v>
      </c>
      <c r="I146" s="254"/>
    </row>
    <row r="149" spans="1:9" ht="14.75" customHeight="1">
      <c r="A149" s="253">
        <v>2005</v>
      </c>
      <c r="B149" s="1106" t="s">
        <v>267</v>
      </c>
      <c r="C149" s="1107"/>
      <c r="D149" s="1107"/>
      <c r="E149" s="1107"/>
      <c r="F149" s="1107"/>
      <c r="G149" s="1107"/>
      <c r="H149" s="1108"/>
    </row>
    <row r="150" spans="1:9">
      <c r="A150" s="228" t="s">
        <v>263</v>
      </c>
      <c r="B150" s="249">
        <f>'6-x'!J1055</f>
        <v>492.25908007973288</v>
      </c>
      <c r="C150" s="249">
        <f>'6-x'!K1055</f>
        <v>333.99812218626033</v>
      </c>
      <c r="D150" s="249">
        <f>'6-x'!L1055</f>
        <v>1586.5979822263969</v>
      </c>
      <c r="E150" s="249">
        <f>'6-x'!M1055</f>
        <v>395.76661629498517</v>
      </c>
      <c r="F150" s="249">
        <f>'6-x'!N1055</f>
        <v>411.03229785476447</v>
      </c>
      <c r="G150" s="249">
        <f>'6-x'!O1055</f>
        <v>20.512534785400728</v>
      </c>
      <c r="H150" s="249">
        <f>'6-x'!P1055</f>
        <v>390.74150048721327</v>
      </c>
      <c r="I150" s="255"/>
    </row>
    <row r="151" spans="1:9">
      <c r="A151" s="227" t="s">
        <v>24</v>
      </c>
      <c r="B151" s="250" t="str">
        <f>'6-x'!J1056</f>
        <v/>
      </c>
      <c r="C151" s="250">
        <f>'6-x'!K1056</f>
        <v>298.27108964105901</v>
      </c>
      <c r="D151" s="250">
        <f>'6-x'!L1056</f>
        <v>1835.4531188042524</v>
      </c>
      <c r="E151" s="250">
        <f>'6-x'!M1056</f>
        <v>487.79021479759757</v>
      </c>
      <c r="F151" s="250">
        <f>'6-x'!N1056</f>
        <v>353.752057140967</v>
      </c>
      <c r="G151" s="250">
        <f>'6-x'!O1056</f>
        <v>29.471060714161823</v>
      </c>
      <c r="H151" s="249">
        <f>'6-x'!P1056</f>
        <v>368.97252063117338</v>
      </c>
      <c r="I151" s="255"/>
    </row>
    <row r="152" spans="1:9">
      <c r="A152" s="227" t="s">
        <v>25</v>
      </c>
      <c r="B152" s="250" t="str">
        <f>'6-x'!J1057</f>
        <v/>
      </c>
      <c r="C152" s="250">
        <f>'6-x'!K1057</f>
        <v>294.05577102215204</v>
      </c>
      <c r="D152" s="250" t="str">
        <f>'6-x'!L1057</f>
        <v/>
      </c>
      <c r="E152" s="250">
        <f>'6-x'!M1057</f>
        <v>359.66666314324368</v>
      </c>
      <c r="F152" s="250">
        <f>'6-x'!N1057</f>
        <v>256.70753565908291</v>
      </c>
      <c r="G152" s="250">
        <f>'6-x'!O1057</f>
        <v>38.4602994908673</v>
      </c>
      <c r="H152" s="249">
        <f>'6-x'!P1057</f>
        <v>307.36461849460045</v>
      </c>
      <c r="I152" s="255"/>
    </row>
    <row r="153" spans="1:9">
      <c r="A153" s="227" t="s">
        <v>26</v>
      </c>
      <c r="B153" s="250" t="str">
        <f>'6-x'!J1058</f>
        <v/>
      </c>
      <c r="C153" s="250">
        <f>'6-x'!K1058</f>
        <v>359.06551220075141</v>
      </c>
      <c r="D153" s="250">
        <f>'6-x'!L1058</f>
        <v>1500.7392493347252</v>
      </c>
      <c r="E153" s="250">
        <f>'6-x'!M1058</f>
        <v>420.50893719049827</v>
      </c>
      <c r="F153" s="250">
        <f>'6-x'!N1058</f>
        <v>379.87441110072825</v>
      </c>
      <c r="G153" s="250">
        <f>'6-x'!O1058</f>
        <v>7.096624933139017</v>
      </c>
      <c r="H153" s="249">
        <f>'6-x'!P1058</f>
        <v>415.47994712898839</v>
      </c>
      <c r="I153" s="255"/>
    </row>
    <row r="154" spans="1:9">
      <c r="A154" s="227" t="s">
        <v>27</v>
      </c>
      <c r="B154" s="250">
        <f>'6-x'!J1059</f>
        <v>492.25908007973288</v>
      </c>
      <c r="C154" s="250">
        <f>'6-x'!K1059</f>
        <v>240.75683455592784</v>
      </c>
      <c r="D154" s="250">
        <f>'6-x'!L1059</f>
        <v>1277.4685642454056</v>
      </c>
      <c r="E154" s="250">
        <f>'6-x'!M1059</f>
        <v>306.22660652888817</v>
      </c>
      <c r="F154" s="250">
        <f>'6-x'!N1059</f>
        <v>386.26610231751675</v>
      </c>
      <c r="G154" s="250">
        <f>'6-x'!O1059</f>
        <v>16.647846832422445</v>
      </c>
      <c r="H154" s="249">
        <f>'6-x'!P1059</f>
        <v>288.10055792458166</v>
      </c>
      <c r="I154" s="255"/>
    </row>
    <row r="155" spans="1:9">
      <c r="A155" s="227" t="s">
        <v>28</v>
      </c>
      <c r="B155" s="250" t="str">
        <f>'6-x'!J1060</f>
        <v/>
      </c>
      <c r="C155" s="250">
        <f>'6-x'!K1060</f>
        <v>309.49831162716038</v>
      </c>
      <c r="D155" s="250">
        <f>'6-x'!L1060</f>
        <v>2684.8048679655089</v>
      </c>
      <c r="E155" s="250">
        <f>'6-x'!M1060</f>
        <v>441.31538754362674</v>
      </c>
      <c r="F155" s="250">
        <f>'6-x'!N1060</f>
        <v>508.2054289281707</v>
      </c>
      <c r="G155" s="250">
        <f>'6-x'!O1060</f>
        <v>15.27041636470503</v>
      </c>
      <c r="H155" s="249">
        <f>'6-x'!P1060</f>
        <v>456.29515803031779</v>
      </c>
      <c r="I155" s="255"/>
    </row>
    <row r="156" spans="1:9">
      <c r="A156" s="238"/>
      <c r="B156" s="1106" t="s">
        <v>268</v>
      </c>
      <c r="C156" s="1107"/>
      <c r="D156" s="1107"/>
      <c r="E156" s="1107"/>
      <c r="F156" s="1107"/>
      <c r="G156" s="1107"/>
      <c r="H156" s="1108"/>
    </row>
    <row r="157" spans="1:9">
      <c r="A157" s="228" t="s">
        <v>263</v>
      </c>
      <c r="B157" s="249">
        <f>'6-x'!J1050</f>
        <v>377.22019408031616</v>
      </c>
      <c r="C157" s="249">
        <f>'6-x'!K1050</f>
        <v>225.89886230648628</v>
      </c>
      <c r="D157" s="249">
        <f>'6-x'!L1050</f>
        <v>474.34039507874905</v>
      </c>
      <c r="E157" s="249">
        <f>'6-x'!M1050</f>
        <v>283.52108403381533</v>
      </c>
      <c r="F157" s="249">
        <f>'6-x'!N1050</f>
        <v>202.5161957700542</v>
      </c>
      <c r="G157" s="249">
        <f>'6-x'!O1050</f>
        <v>0</v>
      </c>
      <c r="H157" s="249">
        <f>'6-x'!P1050</f>
        <v>244.34840622386804</v>
      </c>
    </row>
  </sheetData>
  <sheetProtection algorithmName="SHA-512" hashValue="mROXuQC6L4frFfDHH2mrg4FLKc2Nk3m+/n7jKC6afI6ItM8aXHj9qV0orldiBP9xID+pPTZzKJb6lUPNOIfFAw==" saltValue="mY88op/wB7RGXAnsWdDRqA==" spinCount="100000" sheet="1" objects="1" scenarios="1"/>
  <mergeCells count="34">
    <mergeCell ref="B3:H3"/>
    <mergeCell ref="B5:H5"/>
    <mergeCell ref="B13:H13"/>
    <mergeCell ref="A2:H2"/>
    <mergeCell ref="B114:H114"/>
    <mergeCell ref="B101:H101"/>
    <mergeCell ref="B103:H103"/>
    <mergeCell ref="B110:H110"/>
    <mergeCell ref="B87:H87"/>
    <mergeCell ref="B89:H89"/>
    <mergeCell ref="B97:H97"/>
    <mergeCell ref="B59:H59"/>
    <mergeCell ref="B61:H61"/>
    <mergeCell ref="B69:H69"/>
    <mergeCell ref="B45:H45"/>
    <mergeCell ref="B47:H47"/>
    <mergeCell ref="B17:H17"/>
    <mergeCell ref="B19:H19"/>
    <mergeCell ref="B27:H27"/>
    <mergeCell ref="B75:H75"/>
    <mergeCell ref="B83:H83"/>
    <mergeCell ref="B31:H31"/>
    <mergeCell ref="B33:H33"/>
    <mergeCell ref="B41:H41"/>
    <mergeCell ref="B55:H55"/>
    <mergeCell ref="B73:H73"/>
    <mergeCell ref="B116:H116"/>
    <mergeCell ref="B127:H127"/>
    <mergeCell ref="B156:H156"/>
    <mergeCell ref="B145:H145"/>
    <mergeCell ref="B123:H123"/>
    <mergeCell ref="B134:H134"/>
    <mergeCell ref="B138:H138"/>
    <mergeCell ref="B149:H149"/>
  </mergeCells>
  <hyperlinks>
    <hyperlink ref="A1" location="Indice!A1" display="Torna indietro" xr:uid="{89FF0F38-9957-40DA-9077-15162D0C4C0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8"/>
  <dimension ref="A1:Q224"/>
  <sheetViews>
    <sheetView zoomScaleNormal="100" workbookViewId="0"/>
  </sheetViews>
  <sheetFormatPr defaultRowHeight="14.5"/>
  <cols>
    <col min="1" max="1" width="41.1796875" customWidth="1"/>
    <col min="2" max="8" width="10.81640625" customWidth="1"/>
    <col min="9" max="9" width="10.81640625" bestFit="1" customWidth="1"/>
    <col min="10" max="10" width="11.1796875" bestFit="1" customWidth="1"/>
    <col min="11" max="11" width="10.1796875" bestFit="1" customWidth="1"/>
    <col min="12" max="12" width="10" bestFit="1" customWidth="1"/>
    <col min="13" max="13" width="9.81640625" bestFit="1" customWidth="1"/>
    <col min="14" max="14" width="10.1796875" bestFit="1" customWidth="1"/>
    <col min="15" max="15" width="9.1796875" bestFit="1" customWidth="1"/>
    <col min="16" max="16" width="12.453125" customWidth="1"/>
  </cols>
  <sheetData>
    <row r="1" spans="1:8" ht="15.5">
      <c r="A1" s="108" t="s">
        <v>694</v>
      </c>
    </row>
    <row r="2" spans="1:8" ht="33.65" customHeight="1">
      <c r="A2" s="1103" t="s">
        <v>255</v>
      </c>
      <c r="B2" s="1103"/>
      <c r="C2" s="1103"/>
      <c r="D2" s="1103"/>
      <c r="E2" s="1103"/>
      <c r="F2" s="1103"/>
      <c r="G2" s="1103"/>
      <c r="H2" s="1103"/>
    </row>
    <row r="3" spans="1:8">
      <c r="B3" s="1104" t="s">
        <v>10</v>
      </c>
      <c r="C3" s="1104"/>
      <c r="D3" s="1104"/>
      <c r="E3" s="1104"/>
      <c r="F3" s="1104"/>
      <c r="G3" s="1104"/>
      <c r="H3" s="1104"/>
    </row>
    <row r="4" spans="1:8" ht="29">
      <c r="B4" s="251" t="s">
        <v>5</v>
      </c>
      <c r="C4" s="251" t="s">
        <v>63</v>
      </c>
      <c r="D4" s="251" t="s">
        <v>7</v>
      </c>
      <c r="E4" s="251" t="s">
        <v>8</v>
      </c>
      <c r="F4" s="251" t="s">
        <v>243</v>
      </c>
      <c r="G4" s="251" t="s">
        <v>244</v>
      </c>
      <c r="H4" s="251" t="s">
        <v>9</v>
      </c>
    </row>
    <row r="5" spans="1:8">
      <c r="A5" s="253">
        <v>2024</v>
      </c>
      <c r="B5" s="1106" t="s">
        <v>176</v>
      </c>
      <c r="C5" s="1107"/>
      <c r="D5" s="1107"/>
      <c r="E5" s="1107"/>
      <c r="F5" s="1107"/>
      <c r="G5" s="1107"/>
      <c r="H5" s="1108"/>
    </row>
    <row r="6" spans="1:8">
      <c r="A6" s="228" t="s">
        <v>262</v>
      </c>
      <c r="B6" s="249">
        <f>('6-x'!J25)/41.868</f>
        <v>888.36170822585268</v>
      </c>
      <c r="C6" s="249">
        <f>('6-x'!K25)/41.868</f>
        <v>7454.4412291009839</v>
      </c>
      <c r="D6" s="249">
        <f>('6-x'!L25)/41.868</f>
        <v>3.6042208846852009</v>
      </c>
      <c r="E6" s="249">
        <f>('6-x'!M25)/41.868</f>
        <v>187.38031384350816</v>
      </c>
      <c r="F6" s="249">
        <f>('6-x'!N25)/41.868</f>
        <v>1747.4114932645457</v>
      </c>
      <c r="G6" s="249">
        <f>('6-x'!O25)/41.868</f>
        <v>488.20223691124488</v>
      </c>
      <c r="H6" s="249">
        <f>('6-x'!P25)/41.868</f>
        <v>10769.401202230822</v>
      </c>
    </row>
    <row r="7" spans="1:8">
      <c r="A7" s="227" t="s">
        <v>17</v>
      </c>
      <c r="B7" s="288">
        <f>('6-x'!J26)/41.868</f>
        <v>0</v>
      </c>
      <c r="C7" s="288">
        <f>('6-x'!K26)/41.868</f>
        <v>103.23094009744914</v>
      </c>
      <c r="D7" s="288">
        <f>('6-x'!L26)/41.868</f>
        <v>3.6042208846852009</v>
      </c>
      <c r="E7" s="288">
        <f>('6-x'!M26)/41.868</f>
        <v>44.893704499856689</v>
      </c>
      <c r="F7" s="288">
        <f>('6-x'!N26)/41.868</f>
        <v>169.61636572083691</v>
      </c>
      <c r="G7" s="288">
        <f>('6-x'!O26)/41.868</f>
        <v>475.99957843699241</v>
      </c>
      <c r="H7" s="249">
        <f>('6-x'!P26)/41.868</f>
        <v>797.34480963982037</v>
      </c>
    </row>
    <row r="8" spans="1:8">
      <c r="A8" s="227" t="s">
        <v>18</v>
      </c>
      <c r="B8" s="288">
        <f>('6-x'!J27)/41.868</f>
        <v>0</v>
      </c>
      <c r="C8" s="288">
        <f>('6-x'!K27)/41.868</f>
        <v>110.01927199770709</v>
      </c>
      <c r="D8" s="288">
        <f>('6-x'!L27)/41.868</f>
        <v>0</v>
      </c>
      <c r="E8" s="288">
        <f>('6-x'!M27)/41.868</f>
        <v>1.5155345371166522</v>
      </c>
      <c r="F8" s="288">
        <f>('6-x'!N27)/41.868</f>
        <v>2.2255087417598163</v>
      </c>
      <c r="G8" s="288">
        <f>('6-x'!O27)/41.868</f>
        <v>9.478493479507021</v>
      </c>
      <c r="H8" s="249">
        <f>('6-x'!P27)/41.868</f>
        <v>123.23880875609058</v>
      </c>
    </row>
    <row r="9" spans="1:8">
      <c r="A9" s="227" t="s">
        <v>19</v>
      </c>
      <c r="B9" s="288">
        <f>('6-x'!J28)/41.868</f>
        <v>888.36170822585268</v>
      </c>
      <c r="C9" s="288">
        <f>('6-x'!K28)/41.868</f>
        <v>126.84586080061142</v>
      </c>
      <c r="D9" s="288">
        <f>('6-x'!L28)/41.868</f>
        <v>0</v>
      </c>
      <c r="E9" s="288">
        <f>('6-x'!M28)/41.868</f>
        <v>140.8132072226999</v>
      </c>
      <c r="F9" s="288">
        <f>('6-x'!N28)/41.868</f>
        <v>1292.7288382535587</v>
      </c>
      <c r="G9" s="288">
        <f>('6-x'!O28)/41.868</f>
        <v>1.8383276010318146</v>
      </c>
      <c r="H9" s="249">
        <f>('6-x'!P28)/41.868</f>
        <v>2450.5879421037544</v>
      </c>
    </row>
    <row r="10" spans="1:8">
      <c r="A10" s="227" t="s">
        <v>20</v>
      </c>
      <c r="B10" s="288">
        <f>('6-x'!J29)/41.868</f>
        <v>0</v>
      </c>
      <c r="C10" s="288">
        <f>('6-x'!K29)/41.868</f>
        <v>7113.1206792777302</v>
      </c>
      <c r="D10" s="288">
        <f>('6-x'!L29)/41.868</f>
        <v>0</v>
      </c>
      <c r="E10" s="288">
        <f>('6-x'!M29)/41.868</f>
        <v>0.15786758383490973</v>
      </c>
      <c r="F10" s="288">
        <f>('6-x'!N29)/41.868</f>
        <v>282.84078054839017</v>
      </c>
      <c r="G10" s="288">
        <f>('6-x'!O29)/41.868</f>
        <v>0.88583739371357606</v>
      </c>
      <c r="H10" s="249">
        <f>('6-x'!P29)/41.868</f>
        <v>7397.0051648036697</v>
      </c>
    </row>
    <row r="11" spans="1:8">
      <c r="A11" s="227" t="s">
        <v>692</v>
      </c>
      <c r="B11" s="288">
        <f>('6-x'!J30)/41.868</f>
        <v>0</v>
      </c>
      <c r="C11" s="288">
        <f>('6-x'!K30)/41.868</f>
        <v>1.2244769274863856</v>
      </c>
      <c r="D11" s="288">
        <f>('6-x'!L30)/41.868</f>
        <v>0</v>
      </c>
      <c r="E11" s="288">
        <f>('6-x'!M30)/41.868</f>
        <v>0</v>
      </c>
      <c r="F11" s="288">
        <f>('6-x'!N30)/41.868</f>
        <v>0</v>
      </c>
      <c r="G11" s="288">
        <f>('6-x'!O30)/41.868</f>
        <v>0</v>
      </c>
      <c r="H11" s="249">
        <f>('6-x'!P30)/41.868</f>
        <v>1.2244769274863856</v>
      </c>
    </row>
    <row r="12" spans="1:8">
      <c r="A12" s="227" t="s">
        <v>691</v>
      </c>
      <c r="B12" s="288">
        <f>('6-x'!J31)/41.868</f>
        <v>0</v>
      </c>
      <c r="C12" s="288">
        <f>('6-x'!K31)/41.868</f>
        <v>0</v>
      </c>
      <c r="D12" s="288">
        <f>('6-x'!L31)/41.868</f>
        <v>0</v>
      </c>
      <c r="E12" s="288">
        <f>('6-x'!M31)/41.868</f>
        <v>0</v>
      </c>
      <c r="F12" s="288">
        <f>('6-x'!N31)/41.868</f>
        <v>0</v>
      </c>
      <c r="G12" s="288">
        <f>('6-x'!O31)/41.868</f>
        <v>0</v>
      </c>
      <c r="H12" s="249">
        <f>('6-x'!P31)/41.868</f>
        <v>0</v>
      </c>
    </row>
    <row r="13" spans="1:8">
      <c r="A13" s="228" t="s">
        <v>263</v>
      </c>
      <c r="B13" s="249">
        <f>('6-x'!J32)/41.868</f>
        <v>0</v>
      </c>
      <c r="C13" s="249">
        <f>('6-x'!K32)/41.868</f>
        <v>10302.79949125824</v>
      </c>
      <c r="D13" s="249">
        <f>('6-x'!L32)/41.868</f>
        <v>173.24321964268654</v>
      </c>
      <c r="E13" s="249">
        <f>('6-x'!M32)/41.868</f>
        <v>248.07551184675648</v>
      </c>
      <c r="F13" s="249">
        <f>('6-x'!N32)/41.868</f>
        <v>2334.6445478647179</v>
      </c>
      <c r="G13" s="249">
        <f>('6-x'!O32)/41.868</f>
        <v>972.75704261010799</v>
      </c>
      <c r="H13" s="249">
        <f>('6-x'!P32)/41.868</f>
        <v>14031.519813222509</v>
      </c>
    </row>
    <row r="14" spans="1:8">
      <c r="A14" s="227" t="s">
        <v>24</v>
      </c>
      <c r="B14" s="288">
        <f>('6-x'!J33)/41.868</f>
        <v>0</v>
      </c>
      <c r="C14" s="288">
        <f>('6-x'!K33)/41.868</f>
        <v>1800.5389987580015</v>
      </c>
      <c r="D14" s="288">
        <f>('6-x'!L33)/41.868</f>
        <v>25.360007643068695</v>
      </c>
      <c r="E14" s="288">
        <f>('6-x'!M33)/41.868</f>
        <v>4.1129263399254805</v>
      </c>
      <c r="F14" s="288">
        <f>('6-x'!N33)/41.868</f>
        <v>270.52876659978978</v>
      </c>
      <c r="G14" s="288">
        <f>('6-x'!O33)/41.868</f>
        <v>966.19694277252313</v>
      </c>
      <c r="H14" s="249">
        <f>('6-x'!P33)/41.868</f>
        <v>3066.7376421133085</v>
      </c>
    </row>
    <row r="15" spans="1:8">
      <c r="A15" s="227" t="s">
        <v>25</v>
      </c>
      <c r="B15" s="288">
        <f>('6-x'!J34)/41.868</f>
        <v>0</v>
      </c>
      <c r="C15" s="288">
        <f>('6-x'!K34)/41.868</f>
        <v>661.39054886787028</v>
      </c>
      <c r="D15" s="288">
        <f>('6-x'!L34)/41.868</f>
        <v>0</v>
      </c>
      <c r="E15" s="288">
        <f>('6-x'!M34)/41.868</f>
        <v>30.207837966943728</v>
      </c>
      <c r="F15" s="288">
        <f>('6-x'!N34)/41.868</f>
        <v>3.880917168243049</v>
      </c>
      <c r="G15" s="288">
        <f>('6-x'!O34)/41.868</f>
        <v>1.843651476067641</v>
      </c>
      <c r="H15" s="249">
        <f>('6-x'!P34)/41.868</f>
        <v>697.32295547912474</v>
      </c>
    </row>
    <row r="16" spans="1:8">
      <c r="A16" s="227" t="s">
        <v>26</v>
      </c>
      <c r="B16" s="288">
        <f>('6-x'!J35)/41.868</f>
        <v>0</v>
      </c>
      <c r="C16" s="288">
        <f>('6-x'!K35)/41.868</f>
        <v>7561.9631221935606</v>
      </c>
      <c r="D16" s="288">
        <f>('6-x'!L35)/41.868</f>
        <v>41.655549823254027</v>
      </c>
      <c r="E16" s="288">
        <f>('6-x'!M35)/41.868</f>
        <v>174.15323158498134</v>
      </c>
      <c r="F16" s="288">
        <f>('6-x'!N35)/41.868</f>
        <v>808.73229793637142</v>
      </c>
      <c r="G16" s="288">
        <f>('6-x'!O35)/41.868</f>
        <v>4.312321582115219</v>
      </c>
      <c r="H16" s="249">
        <f>('6-x'!P35)/41.868</f>
        <v>8590.816523120282</v>
      </c>
    </row>
    <row r="17" spans="1:8">
      <c r="A17" s="227" t="s">
        <v>27</v>
      </c>
      <c r="B17" s="288">
        <f>('6-x'!J36)/41.868</f>
        <v>0</v>
      </c>
      <c r="C17" s="288">
        <f>('6-x'!K36)/41.868</f>
        <v>30.8510413681093</v>
      </c>
      <c r="D17" s="288">
        <f>('6-x'!L36)/41.868</f>
        <v>0</v>
      </c>
      <c r="E17" s="288">
        <f>('6-x'!M36)/41.868</f>
        <v>18.798773526320815</v>
      </c>
      <c r="F17" s="288">
        <f>('6-x'!N36)/41.868</f>
        <v>86.2687169198433</v>
      </c>
      <c r="G17" s="288">
        <f>('6-x'!O36)/41.868</f>
        <v>0</v>
      </c>
      <c r="H17" s="249">
        <f>('6-x'!P36)/41.868</f>
        <v>135.91853181427339</v>
      </c>
    </row>
    <row r="18" spans="1:8">
      <c r="A18" s="227" t="s">
        <v>28</v>
      </c>
      <c r="B18" s="288">
        <f>('6-x'!J37)/41.868</f>
        <v>0</v>
      </c>
      <c r="C18" s="288">
        <f>('6-x'!K37)/41.868</f>
        <v>248.0557800706984</v>
      </c>
      <c r="D18" s="288">
        <f>('6-x'!L37)/41.868</f>
        <v>106.22766217636382</v>
      </c>
      <c r="E18" s="288">
        <f>('6-x'!M37)/41.868</f>
        <v>20.802742428585077</v>
      </c>
      <c r="F18" s="288">
        <f>('6-x'!N37)/41.868</f>
        <v>1165.2338492404699</v>
      </c>
      <c r="G18" s="288">
        <f>('6-x'!O37)/41.868</f>
        <v>0.40412677940192981</v>
      </c>
      <c r="H18" s="249">
        <f>('6-x'!P37)/41.868</f>
        <v>1540.7241606955192</v>
      </c>
    </row>
    <row r="19" spans="1:8">
      <c r="A19" s="227" t="s">
        <v>351</v>
      </c>
      <c r="B19" s="288">
        <f>('6-x'!J38)/41.868</f>
        <v>0</v>
      </c>
      <c r="C19" s="288">
        <f>('6-x'!K38)/41.868</f>
        <v>0.26516671443584594</v>
      </c>
      <c r="D19" s="288">
        <f>('6-x'!L38)/41.868</f>
        <v>0</v>
      </c>
      <c r="E19" s="288">
        <f>('6-x'!M38)/41.868</f>
        <v>0</v>
      </c>
      <c r="F19" s="288">
        <f>('6-x'!N38)/41.868</f>
        <v>0</v>
      </c>
      <c r="G19" s="288">
        <f>('6-x'!O38)/41.868</f>
        <v>0</v>
      </c>
      <c r="H19" s="249">
        <f>('6-x'!P38)/41.868</f>
        <v>0.26516671443584594</v>
      </c>
    </row>
    <row r="20" spans="1:8">
      <c r="A20" s="322" t="s">
        <v>9</v>
      </c>
      <c r="B20" s="324">
        <f>('6-x'!J39)/41.868</f>
        <v>888.36170822585268</v>
      </c>
      <c r="C20" s="324">
        <f>('6-x'!K39)/41.868</f>
        <v>17757.240720359223</v>
      </c>
      <c r="D20" s="324">
        <f>('6-x'!L39)/41.868</f>
        <v>176.84744052737176</v>
      </c>
      <c r="E20" s="324">
        <f>('6-x'!M39)/41.868</f>
        <v>435.4558256902647</v>
      </c>
      <c r="F20" s="324">
        <f>('6-x'!N39)/41.868</f>
        <v>4082.0560411292636</v>
      </c>
      <c r="G20" s="324">
        <f>('6-x'!O39)/41.868</f>
        <v>1460.9592795213528</v>
      </c>
      <c r="H20" s="324">
        <f>('6-x'!P39)/41.868</f>
        <v>24800.921015453328</v>
      </c>
    </row>
    <row r="21" spans="1:8" ht="15.5">
      <c r="A21" s="314"/>
      <c r="B21" s="314"/>
      <c r="C21" s="314"/>
      <c r="D21" s="314"/>
      <c r="E21" s="314"/>
      <c r="F21" s="314"/>
      <c r="G21" s="314"/>
      <c r="H21" s="314"/>
    </row>
    <row r="22" spans="1:8" ht="15.5">
      <c r="A22" s="314"/>
      <c r="B22" s="314"/>
      <c r="C22" s="314"/>
      <c r="D22" s="314"/>
      <c r="E22" s="314"/>
      <c r="F22" s="314"/>
      <c r="G22" s="314"/>
      <c r="H22" s="314"/>
    </row>
    <row r="23" spans="1:8">
      <c r="B23" s="1104" t="s">
        <v>10</v>
      </c>
      <c r="C23" s="1104"/>
      <c r="D23" s="1104"/>
      <c r="E23" s="1104"/>
      <c r="F23" s="1104"/>
      <c r="G23" s="1104"/>
      <c r="H23" s="1104"/>
    </row>
    <row r="24" spans="1:8" ht="29">
      <c r="B24" s="251" t="s">
        <v>5</v>
      </c>
      <c r="C24" s="251" t="s">
        <v>63</v>
      </c>
      <c r="D24" s="251" t="s">
        <v>7</v>
      </c>
      <c r="E24" s="251" t="s">
        <v>8</v>
      </c>
      <c r="F24" s="251" t="s">
        <v>243</v>
      </c>
      <c r="G24" s="251" t="s">
        <v>244</v>
      </c>
      <c r="H24" s="251" t="s">
        <v>9</v>
      </c>
    </row>
    <row r="25" spans="1:8">
      <c r="A25" s="253">
        <v>2023</v>
      </c>
      <c r="B25" s="1106" t="s">
        <v>176</v>
      </c>
      <c r="C25" s="1107"/>
      <c r="D25" s="1107"/>
      <c r="E25" s="1107"/>
      <c r="F25" s="1107"/>
      <c r="G25" s="1107"/>
      <c r="H25" s="1108"/>
    </row>
    <row r="26" spans="1:8">
      <c r="A26" s="228" t="s">
        <v>262</v>
      </c>
      <c r="B26" s="249">
        <f>('6-x'!J119)/41.868</f>
        <v>3100.6835291869684</v>
      </c>
      <c r="C26" s="249">
        <f>('6-x'!K119)/41.868</f>
        <v>6846.3446474634566</v>
      </c>
      <c r="D26" s="249">
        <f>('6-x'!L119)/41.868</f>
        <v>3.9148753224419601</v>
      </c>
      <c r="E26" s="249">
        <f>('6-x'!M119)/41.868</f>
        <v>389.24376636094394</v>
      </c>
      <c r="F26" s="249">
        <f>('6-x'!N119)/41.868</f>
        <v>1608.2997661698671</v>
      </c>
      <c r="G26" s="249">
        <f>('6-x'!O119)/41.868</f>
        <v>496.2861290245533</v>
      </c>
      <c r="H26" s="249">
        <f>('6-x'!P119)/41.868</f>
        <v>12444.772713528231</v>
      </c>
    </row>
    <row r="27" spans="1:8">
      <c r="A27" s="227" t="s">
        <v>17</v>
      </c>
      <c r="B27" s="288">
        <f>('6-x'!J120)/41.868</f>
        <v>0</v>
      </c>
      <c r="C27" s="288">
        <f>('6-x'!K120)/41.868</f>
        <v>86.063045762873784</v>
      </c>
      <c r="D27" s="288">
        <f>('6-x'!L120)/41.868</f>
        <v>3.9148753224419601</v>
      </c>
      <c r="E27" s="288">
        <f>('6-x'!M120)/41.868</f>
        <v>44.099538072035926</v>
      </c>
      <c r="F27" s="288">
        <f>('6-x'!N120)/41.868</f>
        <v>130.80406133562624</v>
      </c>
      <c r="G27" s="288">
        <f>('6-x'!O120)/41.868</f>
        <v>483.96898060571323</v>
      </c>
      <c r="H27" s="249">
        <f>('6-x'!P120)/41.868</f>
        <v>748.8505010986911</v>
      </c>
    </row>
    <row r="28" spans="1:8">
      <c r="A28" s="227" t="s">
        <v>18</v>
      </c>
      <c r="B28" s="288">
        <f>('6-x'!J121)/41.868</f>
        <v>0</v>
      </c>
      <c r="C28" s="288">
        <f>('6-x'!K121)/41.868</f>
        <v>53.377407566638006</v>
      </c>
      <c r="D28" s="288">
        <f>('6-x'!L121)/41.868</f>
        <v>0</v>
      </c>
      <c r="E28" s="288">
        <f>('6-x'!M121)/41.868</f>
        <v>1.560339877710901</v>
      </c>
      <c r="F28" s="288">
        <f>('6-x'!N121)/41.868</f>
        <v>1.4216413490016242</v>
      </c>
      <c r="G28" s="288">
        <f>('6-x'!O121)/41.868</f>
        <v>9.4145258908951934</v>
      </c>
      <c r="H28" s="249">
        <f>('6-x'!P121)/41.868</f>
        <v>65.773914684245725</v>
      </c>
    </row>
    <row r="29" spans="1:8">
      <c r="A29" s="227" t="s">
        <v>19</v>
      </c>
      <c r="B29" s="288">
        <f>('6-x'!J122)/41.868</f>
        <v>3100.6835291869684</v>
      </c>
      <c r="C29" s="288">
        <f>('6-x'!K122)/41.868</f>
        <v>150.36139294926915</v>
      </c>
      <c r="D29" s="288">
        <f>('6-x'!L122)/41.868</f>
        <v>0</v>
      </c>
      <c r="E29" s="288">
        <f>('6-x'!M122)/41.868</f>
        <v>343.35733639056082</v>
      </c>
      <c r="F29" s="288">
        <f>('6-x'!N122)/41.868</f>
        <v>1196.6861335626254</v>
      </c>
      <c r="G29" s="288">
        <f>('6-x'!O122)/41.868</f>
        <v>1.8275771472246107</v>
      </c>
      <c r="H29" s="249">
        <f>('6-x'!P122)/41.868</f>
        <v>4792.9159692366484</v>
      </c>
    </row>
    <row r="30" spans="1:8">
      <c r="A30" s="227" t="s">
        <v>20</v>
      </c>
      <c r="B30" s="288">
        <f>('6-x'!J123)/41.868</f>
        <v>0</v>
      </c>
      <c r="C30" s="288">
        <f>('6-x'!K123)/41.868</f>
        <v>6556.5428011846761</v>
      </c>
      <c r="D30" s="288">
        <f>('6-x'!L123)/41.868</f>
        <v>0</v>
      </c>
      <c r="E30" s="288">
        <f>('6-x'!M123)/41.868</f>
        <v>0.22655202063628543</v>
      </c>
      <c r="F30" s="288">
        <f>('6-x'!N123)/41.868</f>
        <v>279.38792992261392</v>
      </c>
      <c r="G30" s="288">
        <f>('6-x'!O123)/41.868</f>
        <v>1.0750453807203593</v>
      </c>
      <c r="H30" s="249">
        <f>('6-x'!P123)/41.868</f>
        <v>6837.2323285086477</v>
      </c>
    </row>
    <row r="31" spans="1:8">
      <c r="A31" s="227" t="s">
        <v>22</v>
      </c>
      <c r="B31" s="288">
        <f>('6-x'!J124)/41.868</f>
        <v>0</v>
      </c>
      <c r="C31" s="288">
        <f>('6-x'!K124)/41.868</f>
        <v>0</v>
      </c>
      <c r="D31" s="288">
        <f>('6-x'!L124)/41.868</f>
        <v>0</v>
      </c>
      <c r="E31" s="288">
        <f>('6-x'!M124)/41.868</f>
        <v>0</v>
      </c>
      <c r="F31" s="288">
        <f>('6-x'!N124)/41.868</f>
        <v>0</v>
      </c>
      <c r="G31" s="288">
        <f>('6-x'!O124)/41.868</f>
        <v>0</v>
      </c>
      <c r="H31" s="249">
        <f>('6-x'!P124)/41.868</f>
        <v>0</v>
      </c>
    </row>
    <row r="32" spans="1:8">
      <c r="A32" s="227" t="s">
        <v>692</v>
      </c>
      <c r="B32" s="288">
        <f>('6-x'!J125)/41.868</f>
        <v>0</v>
      </c>
      <c r="C32" s="288">
        <f>('6-x'!K125)/41.868</f>
        <v>0</v>
      </c>
      <c r="D32" s="288">
        <f>('6-x'!L125)/41.868</f>
        <v>0</v>
      </c>
      <c r="E32" s="288">
        <f>('6-x'!M125)/41.868</f>
        <v>0</v>
      </c>
      <c r="F32" s="288">
        <f>('6-x'!N125)/41.868</f>
        <v>0</v>
      </c>
      <c r="G32" s="288">
        <f>('6-x'!O125)/41.868</f>
        <v>0</v>
      </c>
      <c r="H32" s="249">
        <f>('6-x'!P125)/41.868</f>
        <v>0</v>
      </c>
    </row>
    <row r="33" spans="1:8">
      <c r="A33" s="228" t="s">
        <v>263</v>
      </c>
      <c r="B33" s="249">
        <f>('6-x'!J126)/41.868</f>
        <v>0</v>
      </c>
      <c r="C33" s="249">
        <f>('6-x'!K126)/41.868</f>
        <v>11003.815735167673</v>
      </c>
      <c r="D33" s="249">
        <f>('6-x'!L126)/41.868</f>
        <v>233.0951920321009</v>
      </c>
      <c r="E33" s="249">
        <f>('6-x'!M126)/41.868</f>
        <v>300.94377113786186</v>
      </c>
      <c r="F33" s="249">
        <f>('6-x'!N126)/41.868</f>
        <v>2345.8603768988246</v>
      </c>
      <c r="G33" s="249">
        <f>('6-x'!O126)/41.868</f>
        <v>965.85160862711382</v>
      </c>
      <c r="H33" s="249">
        <f>('6-x'!P126)/41.868</f>
        <v>14849.566683863573</v>
      </c>
    </row>
    <row r="34" spans="1:8">
      <c r="A34" s="227" t="s">
        <v>24</v>
      </c>
      <c r="B34" s="288">
        <f>('6-x'!J127)/41.868</f>
        <v>0</v>
      </c>
      <c r="C34" s="288">
        <f>('6-x'!K127)/41.868</f>
        <v>1660.6572656921755</v>
      </c>
      <c r="D34" s="288">
        <f>('6-x'!L127)/41.868</f>
        <v>25.039563628546862</v>
      </c>
      <c r="E34" s="288">
        <f>('6-x'!M127)/41.868</f>
        <v>1.2376325594726283</v>
      </c>
      <c r="F34" s="288">
        <f>('6-x'!N127)/41.868</f>
        <v>199.79920368778062</v>
      </c>
      <c r="G34" s="288">
        <f>('6-x'!O127)/41.868</f>
        <v>958.50888626158405</v>
      </c>
      <c r="H34" s="249">
        <f>('6-x'!P127)/41.868</f>
        <v>2845.2425518295599</v>
      </c>
    </row>
    <row r="35" spans="1:8">
      <c r="A35" s="227" t="s">
        <v>25</v>
      </c>
      <c r="B35" s="288">
        <f>('6-x'!J128)/41.868</f>
        <v>0</v>
      </c>
      <c r="C35" s="288">
        <f>('6-x'!K128)/41.868</f>
        <v>668.73521066208082</v>
      </c>
      <c r="D35" s="288">
        <f>('6-x'!L128)/41.868</f>
        <v>0</v>
      </c>
      <c r="E35" s="288">
        <f>('6-x'!M128)/41.868</f>
        <v>25.19919747778733</v>
      </c>
      <c r="F35" s="288">
        <f>('6-x'!N128)/41.868</f>
        <v>4.9774801757905802</v>
      </c>
      <c r="G35" s="288">
        <f>('6-x'!O128)/41.868</f>
        <v>1.3239896818572656</v>
      </c>
      <c r="H35" s="249">
        <f>('6-x'!P128)/41.868</f>
        <v>700.23587799751601</v>
      </c>
    </row>
    <row r="36" spans="1:8">
      <c r="A36" s="227" t="s">
        <v>26</v>
      </c>
      <c r="B36" s="288">
        <f>('6-x'!J129)/41.868</f>
        <v>0</v>
      </c>
      <c r="C36" s="288">
        <f>('6-x'!K129)/41.868</f>
        <v>8420.590379287285</v>
      </c>
      <c r="D36" s="288">
        <f>('6-x'!L129)/41.868</f>
        <v>111.10250788191458</v>
      </c>
      <c r="E36" s="288">
        <f>('6-x'!M129)/41.868</f>
        <v>228.22548867870449</v>
      </c>
      <c r="F36" s="288">
        <f>('6-x'!N129)/41.868</f>
        <v>916.95020922900528</v>
      </c>
      <c r="G36" s="288">
        <f>('6-x'!O129)/41.868</f>
        <v>5.6785492500238837</v>
      </c>
      <c r="H36" s="249">
        <f>('6-x'!P129)/41.868</f>
        <v>9682.5471343269328</v>
      </c>
    </row>
    <row r="37" spans="1:8">
      <c r="A37" s="227" t="s">
        <v>27</v>
      </c>
      <c r="B37" s="288">
        <f>('6-x'!J130)/41.868</f>
        <v>0</v>
      </c>
      <c r="C37" s="288">
        <f>('6-x'!K130)/41.868</f>
        <v>43.47473010413681</v>
      </c>
      <c r="D37" s="288">
        <f>('6-x'!L130)/41.868</f>
        <v>0</v>
      </c>
      <c r="E37" s="288">
        <f>('6-x'!M130)/41.868</f>
        <v>17.859907327792108</v>
      </c>
      <c r="F37" s="288">
        <f>('6-x'!N130)/41.868</f>
        <v>102.09140513040985</v>
      </c>
      <c r="G37" s="288">
        <f>('6-x'!O130)/41.868</f>
        <v>0</v>
      </c>
      <c r="H37" s="249">
        <f>('6-x'!P130)/41.868</f>
        <v>163.42604256233875</v>
      </c>
    </row>
    <row r="38" spans="1:8">
      <c r="A38" s="227" t="s">
        <v>28</v>
      </c>
      <c r="B38" s="288">
        <f>('6-x'!J131)/41.868</f>
        <v>0</v>
      </c>
      <c r="C38" s="288">
        <f>('6-x'!K131)/41.868</f>
        <v>210.35814942199292</v>
      </c>
      <c r="D38" s="288">
        <f>('6-x'!L131)/41.868</f>
        <v>96.953120521639434</v>
      </c>
      <c r="E38" s="288">
        <f>('6-x'!M131)/41.868</f>
        <v>28.421545094105284</v>
      </c>
      <c r="F38" s="288">
        <f>('6-x'!N131)/41.868</f>
        <v>1122.0420786758382</v>
      </c>
      <c r="G38" s="288">
        <f>('6-x'!O131)/41.868</f>
        <v>0.34018343364860987</v>
      </c>
      <c r="H38" s="249">
        <f>('6-x'!P131)/41.868</f>
        <v>1458.1150771472244</v>
      </c>
    </row>
    <row r="39" spans="1:8">
      <c r="A39" s="227" t="s">
        <v>351</v>
      </c>
      <c r="B39" s="288">
        <f>('6-x'!J132)/41.868</f>
        <v>0</v>
      </c>
      <c r="C39" s="288">
        <f>('6-x'!K132)/41.868</f>
        <v>1.5250310499665616E-2</v>
      </c>
      <c r="D39" s="288">
        <f>('6-x'!L132)/41.868</f>
        <v>0</v>
      </c>
      <c r="E39" s="288">
        <f>('6-x'!M132)/41.868</f>
        <v>0</v>
      </c>
      <c r="F39" s="288">
        <f>('6-x'!N132)/41.868</f>
        <v>0</v>
      </c>
      <c r="G39" s="288">
        <f>('6-x'!O132)/41.868</f>
        <v>0</v>
      </c>
      <c r="H39" s="249">
        <f>('6-x'!P132)/41.868</f>
        <v>1.5250310499665616E-2</v>
      </c>
    </row>
    <row r="40" spans="1:8">
      <c r="A40" s="322" t="s">
        <v>9</v>
      </c>
      <c r="B40" s="324">
        <f>('6-x'!J133)/41.868</f>
        <v>3100.6835291869684</v>
      </c>
      <c r="C40" s="324">
        <f>('6-x'!K133)/41.868</f>
        <v>17850.160382631126</v>
      </c>
      <c r="D40" s="324">
        <f>('6-x'!L133)/41.868</f>
        <v>237.01006735454285</v>
      </c>
      <c r="E40" s="324">
        <f>('6-x'!M133)/41.868</f>
        <v>690.1875374988058</v>
      </c>
      <c r="F40" s="324">
        <f>('6-x'!N133)/41.868</f>
        <v>3954.1601430686919</v>
      </c>
      <c r="G40" s="324">
        <f>('6-x'!O133)/41.868</f>
        <v>1462.1377376516671</v>
      </c>
      <c r="H40" s="324">
        <f>('6-x'!P133)/41.868</f>
        <v>27294.339397391803</v>
      </c>
    </row>
    <row r="41" spans="1:8" ht="15.5">
      <c r="A41" s="314"/>
      <c r="B41" s="314"/>
      <c r="C41" s="314"/>
      <c r="D41" s="314"/>
      <c r="E41" s="314"/>
      <c r="F41" s="314"/>
      <c r="G41" s="314"/>
      <c r="H41" s="314"/>
    </row>
    <row r="42" spans="1:8" ht="15.5">
      <c r="A42" s="314"/>
      <c r="B42" s="314"/>
      <c r="C42" s="314"/>
      <c r="D42" s="314"/>
      <c r="E42" s="314"/>
      <c r="F42" s="314"/>
      <c r="G42" s="314"/>
      <c r="H42" s="314"/>
    </row>
    <row r="43" spans="1:8">
      <c r="B43" s="1104" t="s">
        <v>10</v>
      </c>
      <c r="C43" s="1104"/>
      <c r="D43" s="1104"/>
      <c r="E43" s="1104"/>
      <c r="F43" s="1104"/>
      <c r="G43" s="1104"/>
      <c r="H43" s="1104"/>
    </row>
    <row r="44" spans="1:8" ht="29">
      <c r="B44" s="251" t="s">
        <v>5</v>
      </c>
      <c r="C44" s="251" t="s">
        <v>63</v>
      </c>
      <c r="D44" s="251" t="s">
        <v>7</v>
      </c>
      <c r="E44" s="251" t="s">
        <v>8</v>
      </c>
      <c r="F44" s="251" t="s">
        <v>243</v>
      </c>
      <c r="G44" s="251" t="s">
        <v>244</v>
      </c>
      <c r="H44" s="251" t="s">
        <v>9</v>
      </c>
    </row>
    <row r="45" spans="1:8">
      <c r="A45" s="253">
        <v>2022</v>
      </c>
      <c r="B45" s="1106" t="s">
        <v>176</v>
      </c>
      <c r="C45" s="1107"/>
      <c r="D45" s="1107"/>
      <c r="E45" s="1107"/>
      <c r="F45" s="1107"/>
      <c r="G45" s="1107"/>
      <c r="H45" s="1108"/>
    </row>
    <row r="46" spans="1:8">
      <c r="A46" s="228" t="s">
        <v>262</v>
      </c>
      <c r="B46" s="249">
        <f>('6-x'!J211)/41.868</f>
        <v>5399.5175312888123</v>
      </c>
      <c r="C46" s="249">
        <f>('6-x'!K211)/41.868</f>
        <v>9245.2684453520578</v>
      </c>
      <c r="D46" s="249">
        <f>('6-x'!L211)/41.868</f>
        <v>3.7652431451227675</v>
      </c>
      <c r="E46" s="249">
        <f>('6-x'!M211)/41.868</f>
        <v>643.22960781503775</v>
      </c>
      <c r="F46" s="249">
        <f>('6-x'!N211)/41.868</f>
        <v>1860.7807514091908</v>
      </c>
      <c r="G46" s="249">
        <f>('6-x'!O211)/41.868</f>
        <v>574.68770636285478</v>
      </c>
      <c r="H46" s="249">
        <f>('6-x'!P211)/41.868</f>
        <v>17727.249285373076</v>
      </c>
    </row>
    <row r="47" spans="1:8">
      <c r="A47" s="227" t="s">
        <v>17</v>
      </c>
      <c r="B47" s="288">
        <f>('6-x'!J212)/41.868</f>
        <v>0</v>
      </c>
      <c r="C47" s="288">
        <f>('6-x'!K212)/41.868</f>
        <v>36.399649374223742</v>
      </c>
      <c r="D47" s="288">
        <f>('6-x'!L212)/41.868</f>
        <v>3.7652431451227675</v>
      </c>
      <c r="E47" s="288">
        <f>('6-x'!M212)/41.868</f>
        <v>44.880492261392952</v>
      </c>
      <c r="F47" s="288">
        <f>('6-x'!N212)/41.868</f>
        <v>204.37778255469567</v>
      </c>
      <c r="G47" s="288">
        <f>('6-x'!O212)/41.868</f>
        <v>562.92159286328467</v>
      </c>
      <c r="H47" s="249">
        <f>('6-x'!P212)/41.868</f>
        <v>852.34476019871965</v>
      </c>
    </row>
    <row r="48" spans="1:8">
      <c r="A48" s="227" t="s">
        <v>18</v>
      </c>
      <c r="B48" s="288">
        <f>('6-x'!J213)/41.868</f>
        <v>0</v>
      </c>
      <c r="C48" s="288">
        <f>('6-x'!K213)/41.868</f>
        <v>46.491849383777584</v>
      </c>
      <c r="D48" s="288">
        <f>('6-x'!L213)/41.868</f>
        <v>0</v>
      </c>
      <c r="E48" s="288">
        <f>('6-x'!M213)/41.868</f>
        <v>2.815390513040986</v>
      </c>
      <c r="F48" s="288">
        <f>('6-x'!N213)/41.868</f>
        <v>3.4325690264641251</v>
      </c>
      <c r="G48" s="288">
        <f>('6-x'!O213)/41.868</f>
        <v>8.8865434221840065</v>
      </c>
      <c r="H48" s="249">
        <f>('6-x'!P213)/41.868</f>
        <v>61.626352345466707</v>
      </c>
    </row>
    <row r="49" spans="1:8">
      <c r="A49" s="227" t="s">
        <v>19</v>
      </c>
      <c r="B49" s="288">
        <f>('6-x'!J214)/41.868</f>
        <v>5399.5175312888123</v>
      </c>
      <c r="C49" s="288">
        <f>('6-x'!K214)/41.868</f>
        <v>470.85674023120276</v>
      </c>
      <c r="D49" s="288">
        <f>('6-x'!L214)/41.868</f>
        <v>0</v>
      </c>
      <c r="E49" s="288">
        <f>('6-x'!M214)/41.868</f>
        <v>594.17546192796408</v>
      </c>
      <c r="F49" s="288">
        <f>('6-x'!N214)/41.868</f>
        <v>1349.5991329893952</v>
      </c>
      <c r="G49" s="288">
        <f>('6-x'!O214)/41.868</f>
        <v>1.821725422757237</v>
      </c>
      <c r="H49" s="249">
        <f>('6-x'!P214)/41.868</f>
        <v>7815.9705918601321</v>
      </c>
    </row>
    <row r="50" spans="1:8">
      <c r="A50" s="227" t="s">
        <v>20</v>
      </c>
      <c r="B50" s="288">
        <f>('6-x'!J215)/41.868</f>
        <v>0</v>
      </c>
      <c r="C50" s="288">
        <f>('6-x'!K215)/41.868</f>
        <v>8691.5202063628531</v>
      </c>
      <c r="D50" s="288">
        <f>('6-x'!L215)/41.868</f>
        <v>0</v>
      </c>
      <c r="E50" s="288">
        <f>('6-x'!M215)/41.868</f>
        <v>1.3582631126397247</v>
      </c>
      <c r="F50" s="288">
        <f>('6-x'!N215)/41.868</f>
        <v>303.37126683863568</v>
      </c>
      <c r="G50" s="288">
        <f>('6-x'!O215)/41.868</f>
        <v>1.0578446546288336</v>
      </c>
      <c r="H50" s="249">
        <f>('6-x'!P215)/41.868</f>
        <v>8997.307580968758</v>
      </c>
    </row>
    <row r="51" spans="1:8">
      <c r="A51" s="227" t="s">
        <v>22</v>
      </c>
      <c r="B51" s="288">
        <f>('6-x'!J216)/41.868</f>
        <v>0</v>
      </c>
      <c r="C51" s="288">
        <f>('6-x'!K216)/41.868</f>
        <v>0</v>
      </c>
      <c r="D51" s="288">
        <f>('6-x'!L216)/41.868</f>
        <v>0</v>
      </c>
      <c r="E51" s="288">
        <f>('6-x'!M216)/41.868</f>
        <v>0</v>
      </c>
      <c r="F51" s="288">
        <f>('6-x'!N216)/41.868</f>
        <v>0</v>
      </c>
      <c r="G51" s="288">
        <f>('6-x'!O216)/41.868</f>
        <v>0</v>
      </c>
      <c r="H51" s="249">
        <f>('6-x'!P216)/41.868</f>
        <v>0</v>
      </c>
    </row>
    <row r="52" spans="1:8">
      <c r="A52" s="227" t="s">
        <v>692</v>
      </c>
      <c r="B52" s="288">
        <f>('6-x'!J217)/41.868</f>
        <v>0</v>
      </c>
      <c r="C52" s="288">
        <f>('6-x'!K217)/41.868</f>
        <v>0</v>
      </c>
      <c r="D52" s="288">
        <f>('6-x'!L217)/41.868</f>
        <v>0</v>
      </c>
      <c r="E52" s="288">
        <f>('6-x'!M217)/41.868</f>
        <v>0</v>
      </c>
      <c r="F52" s="288">
        <f>('6-x'!N217)/41.868</f>
        <v>0</v>
      </c>
      <c r="G52" s="288">
        <f>('6-x'!O217)/41.868</f>
        <v>0</v>
      </c>
      <c r="H52" s="249">
        <f>('6-x'!P217)/41.868</f>
        <v>0</v>
      </c>
    </row>
    <row r="53" spans="1:8">
      <c r="A53" s="228" t="s">
        <v>263</v>
      </c>
      <c r="B53" s="249">
        <f>('6-x'!J218)/41.868</f>
        <v>0</v>
      </c>
      <c r="C53" s="249">
        <f>('6-x'!K218)/41.868</f>
        <v>11946.922755326263</v>
      </c>
      <c r="D53" s="249">
        <f>('6-x'!L218)/41.868</f>
        <v>343.72151284990923</v>
      </c>
      <c r="E53" s="249">
        <f>('6-x'!M218)/41.868</f>
        <v>323.05462166809974</v>
      </c>
      <c r="F53" s="249">
        <f>('6-x'!N218)/41.868</f>
        <v>2527.5494530428964</v>
      </c>
      <c r="G53" s="249">
        <f>('6-x'!O218)/41.868</f>
        <v>967.13376564440614</v>
      </c>
      <c r="H53" s="249">
        <f>('6-x'!P218)/41.868</f>
        <v>16108.382108531574</v>
      </c>
    </row>
    <row r="54" spans="1:8">
      <c r="A54" s="227" t="s">
        <v>24</v>
      </c>
      <c r="B54" s="288">
        <f>('6-x'!J219)/41.868</f>
        <v>0</v>
      </c>
      <c r="C54" s="288">
        <f>('6-x'!K219)/41.868</f>
        <v>1632.6405393140346</v>
      </c>
      <c r="D54" s="288">
        <f>('6-x'!L219)/41.868</f>
        <v>27.937276679086651</v>
      </c>
      <c r="E54" s="288">
        <f>('6-x'!M219)/41.868</f>
        <v>1.4471648992070314</v>
      </c>
      <c r="F54" s="288">
        <f>('6-x'!N219)/41.868</f>
        <v>177.32768462787809</v>
      </c>
      <c r="G54" s="288">
        <f>('6-x'!O219)/41.868</f>
        <v>960.12841788478079</v>
      </c>
      <c r="H54" s="249">
        <f>('6-x'!P219)/41.868</f>
        <v>2799.4810834049872</v>
      </c>
    </row>
    <row r="55" spans="1:8">
      <c r="A55" s="227" t="s">
        <v>25</v>
      </c>
      <c r="B55" s="288">
        <f>('6-x'!J220)/41.868</f>
        <v>0</v>
      </c>
      <c r="C55" s="288">
        <f>('6-x'!K220)/41.868</f>
        <v>778.86543422183991</v>
      </c>
      <c r="D55" s="288">
        <f>('6-x'!L220)/41.868</f>
        <v>0</v>
      </c>
      <c r="E55" s="288">
        <f>('6-x'!M220)/41.868</f>
        <v>60.073144167383198</v>
      </c>
      <c r="F55" s="288">
        <f>('6-x'!N220)/41.868</f>
        <v>4.6005063533008501</v>
      </c>
      <c r="G55" s="288">
        <f>('6-x'!O220)/41.868</f>
        <v>0.43256186108722644</v>
      </c>
      <c r="H55" s="249">
        <f>('6-x'!P220)/41.868</f>
        <v>843.97164660361136</v>
      </c>
    </row>
    <row r="56" spans="1:8">
      <c r="A56" s="227" t="s">
        <v>26</v>
      </c>
      <c r="B56" s="288">
        <f>('6-x'!J221)/41.868</f>
        <v>0</v>
      </c>
      <c r="C56" s="288">
        <f>('6-x'!K221)/41.868</f>
        <v>9279.5344511321291</v>
      </c>
      <c r="D56" s="288">
        <f>('6-x'!L221)/41.868</f>
        <v>139.7542132416165</v>
      </c>
      <c r="E56" s="288">
        <f>('6-x'!M221)/41.868</f>
        <v>213.55215438998755</v>
      </c>
      <c r="F56" s="288">
        <f>('6-x'!N221)/41.868</f>
        <v>1064.3821008885068</v>
      </c>
      <c r="G56" s="288">
        <f>('6-x'!O221)/41.868</f>
        <v>6.0067067927772992</v>
      </c>
      <c r="H56" s="249">
        <f>('6-x'!P221)/41.868</f>
        <v>10703.229626445016</v>
      </c>
    </row>
    <row r="57" spans="1:8">
      <c r="A57" s="227" t="s">
        <v>27</v>
      </c>
      <c r="B57" s="288">
        <f>('6-x'!J222)/41.868</f>
        <v>0</v>
      </c>
      <c r="C57" s="288">
        <f>('6-x'!K222)/41.868</f>
        <v>50.564616413490008</v>
      </c>
      <c r="D57" s="288">
        <f>('6-x'!L222)/41.868</f>
        <v>0</v>
      </c>
      <c r="E57" s="288">
        <f>('6-x'!M222)/41.868</f>
        <v>21.370378331900255</v>
      </c>
      <c r="F57" s="288">
        <f>('6-x'!N222)/41.868</f>
        <v>89.911029903506247</v>
      </c>
      <c r="G57" s="288">
        <f>('6-x'!O222)/41.868</f>
        <v>0</v>
      </c>
      <c r="H57" s="249">
        <f>('6-x'!P222)/41.868</f>
        <v>161.84602464889653</v>
      </c>
    </row>
    <row r="58" spans="1:8">
      <c r="A58" s="227" t="s">
        <v>28</v>
      </c>
      <c r="B58" s="288">
        <f>('6-x'!J223)/41.868</f>
        <v>0</v>
      </c>
      <c r="C58" s="288">
        <f>('6-x'!K223)/41.868</f>
        <v>205.31771424476926</v>
      </c>
      <c r="D58" s="288">
        <f>('6-x'!L223)/41.868</f>
        <v>176.03002292920607</v>
      </c>
      <c r="E58" s="288">
        <f>('6-x'!M223)/41.868</f>
        <v>26.611779879621668</v>
      </c>
      <c r="F58" s="288">
        <f>('6-x'!N223)/41.868</f>
        <v>1191.3281312697047</v>
      </c>
      <c r="G58" s="288">
        <f>('6-x'!O223)/41.868</f>
        <v>0.56607910576096299</v>
      </c>
      <c r="H58" s="249">
        <f>('6-x'!P223)/41.868</f>
        <v>1599.8537274290627</v>
      </c>
    </row>
    <row r="59" spans="1:8">
      <c r="A59" s="227" t="s">
        <v>351</v>
      </c>
      <c r="B59" s="288">
        <f>('6-x'!J224)/41.868</f>
        <v>0</v>
      </c>
      <c r="C59" s="288">
        <f>('6-x'!K224)/41.868</f>
        <v>3.4288716919843316E-2</v>
      </c>
      <c r="D59" s="288">
        <f>('6-x'!L224)/41.868</f>
        <v>0</v>
      </c>
      <c r="E59" s="288">
        <f>('6-x'!M224)/41.868</f>
        <v>0</v>
      </c>
      <c r="F59" s="288">
        <f>('6-x'!N224)/41.868</f>
        <v>0</v>
      </c>
      <c r="G59" s="288">
        <f>('6-x'!O224)/41.868</f>
        <v>0</v>
      </c>
      <c r="H59" s="249">
        <f>('6-x'!P224)/41.868</f>
        <v>3.4288716919843316E-2</v>
      </c>
    </row>
    <row r="60" spans="1:8">
      <c r="A60" s="322" t="s">
        <v>9</v>
      </c>
      <c r="B60" s="324">
        <f>('6-x'!J225)/41.868</f>
        <v>5399.5175312888123</v>
      </c>
      <c r="C60" s="324">
        <f>('6-x'!K225)/41.868</f>
        <v>21192.19120067832</v>
      </c>
      <c r="D60" s="324">
        <f>('6-x'!L225)/41.868</f>
        <v>347.48675599503201</v>
      </c>
      <c r="E60" s="324">
        <f>('6-x'!M225)/41.868</f>
        <v>966.28422948313755</v>
      </c>
      <c r="F60" s="324">
        <f>('6-x'!N225)/41.868</f>
        <v>4388.3302044520869</v>
      </c>
      <c r="G60" s="324">
        <f>('6-x'!O225)/41.868</f>
        <v>1541.8214720072608</v>
      </c>
      <c r="H60" s="324">
        <f>('6-x'!P225)/41.868</f>
        <v>33835.631393904652</v>
      </c>
    </row>
    <row r="61" spans="1:8" ht="15.5">
      <c r="A61" s="314"/>
      <c r="B61" s="314"/>
      <c r="C61" s="314"/>
      <c r="D61" s="314"/>
      <c r="E61" s="314"/>
      <c r="F61" s="314"/>
      <c r="G61" s="314"/>
      <c r="H61" s="314"/>
    </row>
    <row r="62" spans="1:8" ht="15.5">
      <c r="A62" s="314"/>
      <c r="B62" s="314"/>
      <c r="C62" s="314"/>
      <c r="D62" s="314"/>
      <c r="E62" s="314"/>
      <c r="F62" s="314"/>
      <c r="G62" s="314"/>
      <c r="H62" s="314"/>
    </row>
    <row r="63" spans="1:8">
      <c r="B63" s="1104" t="s">
        <v>10</v>
      </c>
      <c r="C63" s="1104"/>
      <c r="D63" s="1104"/>
      <c r="E63" s="1104"/>
      <c r="F63" s="1104"/>
      <c r="G63" s="1104"/>
      <c r="H63" s="1104"/>
    </row>
    <row r="64" spans="1:8" ht="29">
      <c r="B64" s="251" t="s">
        <v>5</v>
      </c>
      <c r="C64" s="251" t="s">
        <v>63</v>
      </c>
      <c r="D64" s="251" t="s">
        <v>7</v>
      </c>
      <c r="E64" s="251" t="s">
        <v>8</v>
      </c>
      <c r="F64" s="251" t="s">
        <v>243</v>
      </c>
      <c r="G64" s="251" t="s">
        <v>244</v>
      </c>
      <c r="H64" s="251" t="s">
        <v>9</v>
      </c>
    </row>
    <row r="65" spans="1:8">
      <c r="A65" s="253">
        <v>2021</v>
      </c>
      <c r="B65" s="1106" t="s">
        <v>176</v>
      </c>
      <c r="C65" s="1107"/>
      <c r="D65" s="1107"/>
      <c r="E65" s="1107"/>
      <c r="F65" s="1107"/>
      <c r="G65" s="1107"/>
      <c r="H65" s="1108"/>
    </row>
    <row r="66" spans="1:8">
      <c r="A66" s="228" t="s">
        <v>262</v>
      </c>
      <c r="B66" s="249">
        <f>('6-x'!J303)/41.868</f>
        <v>3363.4742930161456</v>
      </c>
      <c r="C66" s="249">
        <f>('6-x'!K303)/41.868</f>
        <v>9902.0656625585161</v>
      </c>
      <c r="D66" s="249">
        <f>('6-x'!L303)/41.868</f>
        <v>5.4548366294067065</v>
      </c>
      <c r="E66" s="249">
        <f>('6-x'!M303)/41.868</f>
        <v>493.32909238559273</v>
      </c>
      <c r="F66" s="249">
        <f>('6-x'!N303)/41.868</f>
        <v>2062.7193030476733</v>
      </c>
      <c r="G66" s="249">
        <f>('6-x'!O303)/41.868</f>
        <v>596.71205455240272</v>
      </c>
      <c r="H66" s="249">
        <f>('6-x'!P303)/41.868</f>
        <v>16423.755242189738</v>
      </c>
    </row>
    <row r="67" spans="1:8">
      <c r="A67" s="227" t="s">
        <v>17</v>
      </c>
      <c r="B67" s="288">
        <f>('6-x'!J304)/41.868</f>
        <v>0</v>
      </c>
      <c r="C67" s="288">
        <f>('6-x'!K304)/41.868</f>
        <v>45.368744625967324</v>
      </c>
      <c r="D67" s="288">
        <f>('6-x'!L304)/41.868</f>
        <v>5.4548366294067065</v>
      </c>
      <c r="E67" s="288">
        <f>('6-x'!M304)/41.868</f>
        <v>46.540061622241325</v>
      </c>
      <c r="F67" s="288">
        <f>('6-x'!N304)/41.868</f>
        <v>246.38908760867483</v>
      </c>
      <c r="G67" s="288">
        <f>('6-x'!O304)/41.868</f>
        <v>590.59631221935604</v>
      </c>
      <c r="H67" s="249">
        <f>('6-x'!P304)/41.868</f>
        <v>934.3490427056463</v>
      </c>
    </row>
    <row r="68" spans="1:8">
      <c r="A68" s="227" t="s">
        <v>18</v>
      </c>
      <c r="B68" s="288">
        <f>('6-x'!J305)/41.868</f>
        <v>0</v>
      </c>
      <c r="C68" s="288">
        <f>('6-x'!K305)/41.868</f>
        <v>149.91656635139009</v>
      </c>
      <c r="D68" s="288">
        <f>('6-x'!L305)/41.868</f>
        <v>0</v>
      </c>
      <c r="E68" s="288">
        <f>('6-x'!M305)/41.868</f>
        <v>3.065501098691124</v>
      </c>
      <c r="F68" s="288">
        <f>('6-x'!N305)/41.868</f>
        <v>3.134414827553262</v>
      </c>
      <c r="G68" s="288">
        <f>('6-x'!O305)/41.868</f>
        <v>3.1822800229292056</v>
      </c>
      <c r="H68" s="249">
        <f>('6-x'!P305)/41.868</f>
        <v>159.29876230056368</v>
      </c>
    </row>
    <row r="69" spans="1:8">
      <c r="A69" s="227" t="s">
        <v>19</v>
      </c>
      <c r="B69" s="288">
        <f>('6-x'!J306)/41.868</f>
        <v>3363.4742930161456</v>
      </c>
      <c r="C69" s="288">
        <f>('6-x'!K306)/41.868</f>
        <v>115.04643164230436</v>
      </c>
      <c r="D69" s="288">
        <f>('6-x'!L306)/41.868</f>
        <v>0</v>
      </c>
      <c r="E69" s="288">
        <f>('6-x'!M306)/41.868</f>
        <v>442.23384780739462</v>
      </c>
      <c r="F69" s="288">
        <f>('6-x'!N306)/41.868</f>
        <v>1448.3659539505111</v>
      </c>
      <c r="G69" s="288">
        <f>('6-x'!O306)/41.868</f>
        <v>1.8369160217827456</v>
      </c>
      <c r="H69" s="249">
        <f>('6-x'!P306)/41.868</f>
        <v>5370.9574424381381</v>
      </c>
    </row>
    <row r="70" spans="1:8">
      <c r="A70" s="227" t="s">
        <v>20</v>
      </c>
      <c r="B70" s="288">
        <f>('6-x'!J307)/41.868</f>
        <v>0</v>
      </c>
      <c r="C70" s="288">
        <f>('6-x'!K307)/41.868</f>
        <v>9591.7339199388553</v>
      </c>
      <c r="D70" s="288">
        <f>('6-x'!L307)/41.868</f>
        <v>0</v>
      </c>
      <c r="E70" s="288">
        <f>('6-x'!M307)/41.868</f>
        <v>1.489681857265692</v>
      </c>
      <c r="F70" s="288">
        <f>('6-x'!N307)/41.868</f>
        <v>364.82984666093432</v>
      </c>
      <c r="G70" s="288">
        <f>('6-x'!O307)/41.868</f>
        <v>1.0965462883347665</v>
      </c>
      <c r="H70" s="249">
        <f>('6-x'!P307)/41.868</f>
        <v>9959.1499947453885</v>
      </c>
    </row>
    <row r="71" spans="1:8">
      <c r="A71" s="227" t="s">
        <v>22</v>
      </c>
      <c r="B71" s="288">
        <f>('6-x'!J308)/41.868</f>
        <v>0</v>
      </c>
      <c r="C71" s="288">
        <f>('6-x'!K308)/41.868</f>
        <v>0</v>
      </c>
      <c r="D71" s="288">
        <f>('6-x'!L308)/41.868</f>
        <v>0</v>
      </c>
      <c r="E71" s="288">
        <f>('6-x'!M308)/41.868</f>
        <v>0</v>
      </c>
      <c r="F71" s="288">
        <f>('6-x'!N308)/41.868</f>
        <v>0</v>
      </c>
      <c r="G71" s="288">
        <f>('6-x'!O308)/41.868</f>
        <v>0</v>
      </c>
      <c r="H71" s="249">
        <f>('6-x'!P308)/41.868</f>
        <v>0</v>
      </c>
    </row>
    <row r="72" spans="1:8">
      <c r="A72" s="227" t="s">
        <v>692</v>
      </c>
      <c r="B72" s="288">
        <f>('6-x'!J309)/41.868</f>
        <v>0</v>
      </c>
      <c r="C72" s="288">
        <f>('6-x'!K309)/41.868</f>
        <v>0</v>
      </c>
      <c r="D72" s="288">
        <f>('6-x'!L309)/41.868</f>
        <v>0</v>
      </c>
      <c r="E72" s="288">
        <f>('6-x'!M309)/41.868</f>
        <v>0</v>
      </c>
      <c r="F72" s="288">
        <f>('6-x'!N309)/41.868</f>
        <v>0</v>
      </c>
      <c r="G72" s="288">
        <f>('6-x'!O309)/41.868</f>
        <v>0</v>
      </c>
      <c r="H72" s="249">
        <f>('6-x'!P309)/41.868</f>
        <v>0</v>
      </c>
    </row>
    <row r="73" spans="1:8">
      <c r="A73" s="228" t="s">
        <v>263</v>
      </c>
      <c r="B73" s="249">
        <f>('6-x'!J310)/41.868</f>
        <v>0</v>
      </c>
      <c r="C73" s="249">
        <f>('6-x'!K310)/41.868</f>
        <v>12003.71680854113</v>
      </c>
      <c r="D73" s="249">
        <f>('6-x'!L310)/41.868</f>
        <v>436.26837823636191</v>
      </c>
      <c r="E73" s="249">
        <f>('6-x'!M310)/41.868</f>
        <v>278.60676674309735</v>
      </c>
      <c r="F73" s="249">
        <f>('6-x'!N310)/41.868</f>
        <v>1951.6928441769369</v>
      </c>
      <c r="G73" s="249">
        <f>('6-x'!O310)/41.868</f>
        <v>998.64717922996056</v>
      </c>
      <c r="H73" s="249">
        <f>('6-x'!P310)/41.868</f>
        <v>15668.931976927488</v>
      </c>
    </row>
    <row r="74" spans="1:8">
      <c r="A74" s="227" t="s">
        <v>24</v>
      </c>
      <c r="B74" s="288">
        <f>('6-x'!J311)/41.868</f>
        <v>0</v>
      </c>
      <c r="C74" s="288">
        <f>('6-x'!K311)/41.868</f>
        <v>1689.9161471768414</v>
      </c>
      <c r="D74" s="288">
        <f>('6-x'!L311)/41.868</f>
        <v>26.278109773574091</v>
      </c>
      <c r="E74" s="288">
        <f>('6-x'!M311)/41.868</f>
        <v>2.3210518773287476</v>
      </c>
      <c r="F74" s="288">
        <f>('6-x'!N311)/41.868</f>
        <v>258.58478790484378</v>
      </c>
      <c r="G74" s="288">
        <f>('6-x'!O311)/41.868</f>
        <v>991.77284799847132</v>
      </c>
      <c r="H74" s="249">
        <f>('6-x'!P311)/41.868</f>
        <v>2968.8729447310593</v>
      </c>
    </row>
    <row r="75" spans="1:8">
      <c r="A75" s="227" t="s">
        <v>25</v>
      </c>
      <c r="B75" s="288">
        <f>('6-x'!J312)/41.868</f>
        <v>0</v>
      </c>
      <c r="C75" s="288">
        <f>('6-x'!K312)/41.868</f>
        <v>1014.715826884494</v>
      </c>
      <c r="D75" s="288">
        <f>('6-x'!L312)/41.868</f>
        <v>0</v>
      </c>
      <c r="E75" s="288">
        <f>('6-x'!M312)/41.868</f>
        <v>31.666979793637143</v>
      </c>
      <c r="F75" s="288">
        <f>('6-x'!N312)/41.868</f>
        <v>4.580729913060094</v>
      </c>
      <c r="G75" s="288">
        <f>('6-x'!O312)/41.868</f>
        <v>0.66220741377663128</v>
      </c>
      <c r="H75" s="249">
        <f>('6-x'!P312)/41.868</f>
        <v>1051.6257440049678</v>
      </c>
    </row>
    <row r="76" spans="1:8">
      <c r="A76" s="227" t="s">
        <v>26</v>
      </c>
      <c r="B76" s="288">
        <f>('6-x'!J313)/41.868</f>
        <v>0</v>
      </c>
      <c r="C76" s="288">
        <f>('6-x'!K313)/41.868</f>
        <v>9048.4248471386254</v>
      </c>
      <c r="D76" s="288">
        <f>('6-x'!L313)/41.868</f>
        <v>198.20926531002195</v>
      </c>
      <c r="E76" s="288">
        <f>('6-x'!M313)/41.868</f>
        <v>198.08201251552495</v>
      </c>
      <c r="F76" s="288">
        <f>('6-x'!N313)/41.868</f>
        <v>475.17893426960921</v>
      </c>
      <c r="G76" s="288">
        <f>('6-x'!O313)/41.868</f>
        <v>5.994325021496131</v>
      </c>
      <c r="H76" s="249">
        <f>('6-x'!P313)/41.868</f>
        <v>9925.889384255277</v>
      </c>
    </row>
    <row r="77" spans="1:8">
      <c r="A77" s="227" t="s">
        <v>27</v>
      </c>
      <c r="B77" s="288">
        <f>('6-x'!J314)/41.868</f>
        <v>0</v>
      </c>
      <c r="C77" s="288">
        <f>('6-x'!K314)/41.868</f>
        <v>66.829395958727417</v>
      </c>
      <c r="D77" s="288">
        <f>('6-x'!L314)/41.868</f>
        <v>0</v>
      </c>
      <c r="E77" s="288">
        <f>('6-x'!M314)/41.868</f>
        <v>19.990434221840069</v>
      </c>
      <c r="F77" s="288">
        <f>('6-x'!N314)/41.868</f>
        <v>86.055460017196907</v>
      </c>
      <c r="G77" s="288">
        <f>('6-x'!O314)/41.868</f>
        <v>0</v>
      </c>
      <c r="H77" s="249">
        <f>('6-x'!P314)/41.868</f>
        <v>172.8752901977644</v>
      </c>
    </row>
    <row r="78" spans="1:8">
      <c r="A78" s="227" t="s">
        <v>28</v>
      </c>
      <c r="B78" s="288">
        <f>('6-x'!J315)/41.868</f>
        <v>0</v>
      </c>
      <c r="C78" s="288">
        <f>('6-x'!K315)/41.868</f>
        <v>183.83059138244002</v>
      </c>
      <c r="D78" s="288">
        <f>('6-x'!L315)/41.868</f>
        <v>211.78100315276583</v>
      </c>
      <c r="E78" s="288">
        <f>('6-x'!M315)/41.868</f>
        <v>26.546288334766409</v>
      </c>
      <c r="F78" s="288">
        <f>('6-x'!N315)/41.868</f>
        <v>1127.2929320722269</v>
      </c>
      <c r="G78" s="288">
        <f>('6-x'!O315)/41.868</f>
        <v>0.217798796216681</v>
      </c>
      <c r="H78" s="249">
        <f>('6-x'!P315)/41.868</f>
        <v>1549.6686137384158</v>
      </c>
    </row>
    <row r="79" spans="1:8">
      <c r="A79" s="227" t="s">
        <v>351</v>
      </c>
      <c r="B79" s="288">
        <f>('6-x'!J316)/41.868</f>
        <v>0</v>
      </c>
      <c r="C79" s="288">
        <f>('6-x'!K316)/41.868</f>
        <v>5.2543708799082829E-2</v>
      </c>
      <c r="D79" s="288">
        <f>('6-x'!L316)/41.868</f>
        <v>0</v>
      </c>
      <c r="E79" s="288">
        <f>('6-x'!M316)/41.868</f>
        <v>0</v>
      </c>
      <c r="F79" s="288">
        <f>('6-x'!N316)/41.868</f>
        <v>0</v>
      </c>
      <c r="G79" s="288">
        <f>('6-x'!O316)/41.868</f>
        <v>0</v>
      </c>
      <c r="H79" s="249">
        <f>('6-x'!P316)/41.868</f>
        <v>5.2543708799082829E-2</v>
      </c>
    </row>
    <row r="80" spans="1:8">
      <c r="A80" s="322" t="s">
        <v>9</v>
      </c>
      <c r="B80" s="324">
        <f>('6-x'!J317)/41.868</f>
        <v>3363.4742930161456</v>
      </c>
      <c r="C80" s="324">
        <f>('6-x'!K317)/41.868</f>
        <v>21905.78247109965</v>
      </c>
      <c r="D80" s="324">
        <f>('6-x'!L317)/41.868</f>
        <v>441.72321486576857</v>
      </c>
      <c r="E80" s="324">
        <f>('6-x'!M317)/41.868</f>
        <v>771.93585912869014</v>
      </c>
      <c r="F80" s="324">
        <f>('6-x'!N317)/41.868</f>
        <v>4014.4121472246106</v>
      </c>
      <c r="G80" s="324">
        <f>('6-x'!O317)/41.868</f>
        <v>1595.3592337823634</v>
      </c>
      <c r="H80" s="324">
        <f>('6-x'!P317)/41.868</f>
        <v>32092.687219117226</v>
      </c>
    </row>
    <row r="81" spans="1:8" ht="15.5">
      <c r="A81" s="314"/>
      <c r="B81" s="314"/>
      <c r="C81" s="314"/>
      <c r="D81" s="314"/>
      <c r="E81" s="314"/>
      <c r="F81" s="314"/>
      <c r="G81" s="314"/>
      <c r="H81" s="314"/>
    </row>
    <row r="82" spans="1:8" ht="15.5">
      <c r="A82" s="314"/>
      <c r="B82" s="314"/>
      <c r="C82" s="314"/>
      <c r="D82" s="314"/>
      <c r="E82" s="314"/>
      <c r="F82" s="314"/>
      <c r="G82" s="314"/>
      <c r="H82" s="314"/>
    </row>
    <row r="83" spans="1:8">
      <c r="B83" s="1104" t="s">
        <v>10</v>
      </c>
      <c r="C83" s="1104"/>
      <c r="D83" s="1104"/>
      <c r="E83" s="1104"/>
      <c r="F83" s="1104"/>
      <c r="G83" s="1104"/>
      <c r="H83" s="1104"/>
    </row>
    <row r="84" spans="1:8" ht="29">
      <c r="B84" s="251" t="s">
        <v>5</v>
      </c>
      <c r="C84" s="251" t="s">
        <v>63</v>
      </c>
      <c r="D84" s="251" t="s">
        <v>7</v>
      </c>
      <c r="E84" s="251" t="s">
        <v>8</v>
      </c>
      <c r="F84" s="251" t="s">
        <v>243</v>
      </c>
      <c r="G84" s="251" t="s">
        <v>244</v>
      </c>
      <c r="H84" s="251" t="s">
        <v>9</v>
      </c>
    </row>
    <row r="85" spans="1:8">
      <c r="A85" s="253">
        <v>2020</v>
      </c>
      <c r="B85" s="1106" t="s">
        <v>176</v>
      </c>
      <c r="C85" s="1107"/>
      <c r="D85" s="1107"/>
      <c r="E85" s="1107"/>
      <c r="F85" s="1107"/>
      <c r="G85" s="1107"/>
      <c r="H85" s="1108"/>
    </row>
    <row r="86" spans="1:8">
      <c r="A86" s="228" t="s">
        <v>262</v>
      </c>
      <c r="B86" s="249">
        <f>'6-x'!J395/41.868</f>
        <v>3143.7472007260917</v>
      </c>
      <c r="C86" s="249">
        <f>'6-x'!K395/41.868</f>
        <v>9100.6002751504711</v>
      </c>
      <c r="D86" s="249">
        <f>'6-x'!L395/41.868</f>
        <v>6.2992882392280505</v>
      </c>
      <c r="E86" s="249">
        <f>'6-x'!M395/41.868</f>
        <v>270.21797076526224</v>
      </c>
      <c r="F86" s="249">
        <f>'6-x'!N395/41.868</f>
        <v>1951.1825298557374</v>
      </c>
      <c r="G86" s="249">
        <f>'6-x'!O395/41.868</f>
        <v>654.02050826406798</v>
      </c>
      <c r="H86" s="249">
        <f>'6-x'!P395/41.868</f>
        <v>15126.067773000857</v>
      </c>
    </row>
    <row r="87" spans="1:8">
      <c r="A87" s="227" t="s">
        <v>17</v>
      </c>
      <c r="B87" s="288">
        <f>'6-x'!J396/41.868</f>
        <v>0</v>
      </c>
      <c r="C87" s="288">
        <f>'6-x'!K396/41.868</f>
        <v>56.437769179325493</v>
      </c>
      <c r="D87" s="288">
        <f>'6-x'!L396/41.868</f>
        <v>6.2992882392280505</v>
      </c>
      <c r="E87" s="288">
        <f>'6-x'!M396/41.868</f>
        <v>41.296455526894043</v>
      </c>
      <c r="F87" s="288">
        <f>'6-x'!N396/41.868</f>
        <v>290.80426244387121</v>
      </c>
      <c r="G87" s="288">
        <f>'6-x'!O396/41.868</f>
        <v>649.70795691220019</v>
      </c>
      <c r="H87" s="249">
        <f>'6-x'!P396/41.868</f>
        <v>1044.5457323015191</v>
      </c>
    </row>
    <row r="88" spans="1:8">
      <c r="A88" s="227" t="s">
        <v>18</v>
      </c>
      <c r="B88" s="288">
        <f>'6-x'!J397/41.868</f>
        <v>0</v>
      </c>
      <c r="C88" s="288">
        <f>'6-x'!K397/41.868</f>
        <v>219.40913824400494</v>
      </c>
      <c r="D88" s="288">
        <f>'6-x'!L397/41.868</f>
        <v>0</v>
      </c>
      <c r="E88" s="288">
        <f>'6-x'!M397/41.868</f>
        <v>2.5081780835005252</v>
      </c>
      <c r="F88" s="288">
        <f>'6-x'!N397/41.868</f>
        <v>3.3895289958918506</v>
      </c>
      <c r="G88" s="288">
        <f>'6-x'!O397/41.868</f>
        <v>0.13441052832712333</v>
      </c>
      <c r="H88" s="249">
        <f>'6-x'!P397/41.868</f>
        <v>225.44125585172443</v>
      </c>
    </row>
    <row r="89" spans="1:8">
      <c r="A89" s="227" t="s">
        <v>19</v>
      </c>
      <c r="B89" s="288">
        <f>'6-x'!J398/41.868</f>
        <v>3143.7472007260917</v>
      </c>
      <c r="C89" s="288">
        <f>'6-x'!K398/41.868</f>
        <v>102.93171395815419</v>
      </c>
      <c r="D89" s="288">
        <f>'6-x'!L398/41.868</f>
        <v>0</v>
      </c>
      <c r="E89" s="288">
        <f>'6-x'!M398/41.868</f>
        <v>225.16308397821726</v>
      </c>
      <c r="F89" s="288">
        <f>'6-x'!N398/41.868</f>
        <v>1352.7053358173307</v>
      </c>
      <c r="G89" s="288">
        <f>'6-x'!O398/41.868</f>
        <v>1.8361039457342123</v>
      </c>
      <c r="H89" s="249">
        <f>'6-x'!P398/41.868</f>
        <v>4826.3834384255288</v>
      </c>
    </row>
    <row r="90" spans="1:8">
      <c r="A90" s="227" t="s">
        <v>20</v>
      </c>
      <c r="B90" s="288">
        <f>'6-x'!J399/41.868</f>
        <v>0</v>
      </c>
      <c r="C90" s="288">
        <f>'6-x'!K399/41.868</f>
        <v>8721.8216537689877</v>
      </c>
      <c r="D90" s="288">
        <f>'6-x'!L399/41.868</f>
        <v>0</v>
      </c>
      <c r="E90" s="288">
        <f>'6-x'!M399/41.868</f>
        <v>1.2502531766504252</v>
      </c>
      <c r="F90" s="288">
        <f>'6-x'!N399/41.868</f>
        <v>304.28340259864336</v>
      </c>
      <c r="G90" s="288">
        <f>'6-x'!O399/41.868</f>
        <v>2.3420368778064393</v>
      </c>
      <c r="H90" s="249">
        <f>'6-x'!P399/41.868</f>
        <v>9029.6973464220882</v>
      </c>
    </row>
    <row r="91" spans="1:8">
      <c r="A91" s="227" t="s">
        <v>22</v>
      </c>
      <c r="B91" s="288">
        <f>'6-x'!J400/41.868</f>
        <v>0</v>
      </c>
      <c r="C91" s="288">
        <f>'6-x'!K400/41.868</f>
        <v>0</v>
      </c>
      <c r="D91" s="288">
        <f>'6-x'!L400/41.868</f>
        <v>0</v>
      </c>
      <c r="E91" s="288">
        <f>'6-x'!M400/41.868</f>
        <v>0</v>
      </c>
      <c r="F91" s="288">
        <f>'6-x'!N400/41.868</f>
        <v>0</v>
      </c>
      <c r="G91" s="288">
        <f>'6-x'!O400/41.868</f>
        <v>0</v>
      </c>
      <c r="H91" s="249">
        <f>'6-x'!P400/41.868</f>
        <v>0</v>
      </c>
    </row>
    <row r="92" spans="1:8">
      <c r="A92" s="227" t="s">
        <v>692</v>
      </c>
      <c r="B92" s="288">
        <f>'6-x'!J401/41.868</f>
        <v>0</v>
      </c>
      <c r="C92" s="288">
        <f>'6-x'!K401/41.868</f>
        <v>0</v>
      </c>
      <c r="D92" s="288">
        <f>'6-x'!L401/41.868</f>
        <v>0</v>
      </c>
      <c r="E92" s="288">
        <f>'6-x'!M401/41.868</f>
        <v>0</v>
      </c>
      <c r="F92" s="288">
        <f>'6-x'!N401/41.868</f>
        <v>0</v>
      </c>
      <c r="G92" s="288">
        <f>'6-x'!O401/41.868</f>
        <v>0</v>
      </c>
      <c r="H92" s="249">
        <f>'6-x'!P401/41.868</f>
        <v>0</v>
      </c>
    </row>
    <row r="93" spans="1:8">
      <c r="A93" s="228" t="s">
        <v>263</v>
      </c>
      <c r="B93" s="249">
        <f>'6-x'!J402/41.868</f>
        <v>7.8642495461927959</v>
      </c>
      <c r="C93" s="249">
        <f>'6-x'!K402/41.868</f>
        <v>11395.633016623675</v>
      </c>
      <c r="D93" s="249">
        <f>'6-x'!L402/41.868</f>
        <v>337.55807776822394</v>
      </c>
      <c r="E93" s="249">
        <f>'6-x'!M402/41.868</f>
        <v>303.53837871405364</v>
      </c>
      <c r="F93" s="249">
        <f>'6-x'!N402/41.868</f>
        <v>2596.8845681666194</v>
      </c>
      <c r="G93" s="249">
        <f>'6-x'!O402/41.868</f>
        <v>959.42683911340407</v>
      </c>
      <c r="H93" s="249">
        <f>'6-x'!P402/41.868</f>
        <v>15600.905129932169</v>
      </c>
    </row>
    <row r="94" spans="1:8">
      <c r="A94" s="227" t="s">
        <v>24</v>
      </c>
      <c r="B94" s="288">
        <f>'6-x'!J403/41.868</f>
        <v>0</v>
      </c>
      <c r="C94" s="288">
        <f>'6-x'!K403/41.868</f>
        <v>1510.0467540842646</v>
      </c>
      <c r="D94" s="288">
        <f>'6-x'!L403/41.868</f>
        <v>21.408378714053693</v>
      </c>
      <c r="E94" s="288">
        <f>'6-x'!M403/41.868</f>
        <v>3.6523765166714433</v>
      </c>
      <c r="F94" s="288">
        <f>'6-x'!N403/41.868</f>
        <v>375.55827839877708</v>
      </c>
      <c r="G94" s="288">
        <f>'6-x'!O403/41.868</f>
        <v>953.05543852106609</v>
      </c>
      <c r="H94" s="249">
        <f>'6-x'!P403/41.868</f>
        <v>2863.721226234833</v>
      </c>
    </row>
    <row r="95" spans="1:8">
      <c r="A95" s="227" t="s">
        <v>25</v>
      </c>
      <c r="B95" s="288">
        <f>'6-x'!J404/41.868</f>
        <v>0</v>
      </c>
      <c r="C95" s="288">
        <f>'6-x'!K404/41.868</f>
        <v>632.05462405655874</v>
      </c>
      <c r="D95" s="288">
        <f>'6-x'!L404/41.868</f>
        <v>0</v>
      </c>
      <c r="E95" s="288">
        <f>'6-x'!M404/41.868</f>
        <v>55.298985860322915</v>
      </c>
      <c r="F95" s="288">
        <f>'6-x'!N404/41.868</f>
        <v>4.8752269036017966</v>
      </c>
      <c r="G95" s="288">
        <f>'6-x'!O404/41.868</f>
        <v>1.1819695232635903</v>
      </c>
      <c r="H95" s="249">
        <f>'6-x'!P404/41.868</f>
        <v>693.41080634374703</v>
      </c>
    </row>
    <row r="96" spans="1:8">
      <c r="A96" s="227" t="s">
        <v>26</v>
      </c>
      <c r="B96" s="288">
        <f>'6-x'!J405/41.868</f>
        <v>0</v>
      </c>
      <c r="C96" s="288">
        <f>'6-x'!K405/41.868</f>
        <v>8985.6344320244571</v>
      </c>
      <c r="D96" s="288">
        <f>'6-x'!L405/41.868</f>
        <v>178.12080825451417</v>
      </c>
      <c r="E96" s="288">
        <f>'6-x'!M405/41.868</f>
        <v>204.71898108340494</v>
      </c>
      <c r="F96" s="288">
        <f>'6-x'!N405/41.868</f>
        <v>937.15026989586329</v>
      </c>
      <c r="G96" s="288">
        <f>'6-x'!O405/41.868</f>
        <v>4.8818787618228718</v>
      </c>
      <c r="H96" s="249">
        <f>'6-x'!P405/41.868</f>
        <v>10310.506370020061</v>
      </c>
    </row>
    <row r="97" spans="1:8">
      <c r="A97" s="227" t="s">
        <v>27</v>
      </c>
      <c r="B97" s="288">
        <f>'6-x'!J406/41.868</f>
        <v>0</v>
      </c>
      <c r="C97" s="288">
        <f>'6-x'!K406/41.868</f>
        <v>64.696114454953673</v>
      </c>
      <c r="D97" s="288">
        <f>'6-x'!L406/41.868</f>
        <v>0</v>
      </c>
      <c r="E97" s="288">
        <f>'6-x'!M406/41.868</f>
        <v>20.15471242954046</v>
      </c>
      <c r="F97" s="288">
        <f>'6-x'!N406/41.868</f>
        <v>91.210547434795075</v>
      </c>
      <c r="G97" s="288">
        <f>'6-x'!O406/41.868</f>
        <v>0</v>
      </c>
      <c r="H97" s="249">
        <f>'6-x'!P406/41.868</f>
        <v>176.0613743192892</v>
      </c>
    </row>
    <row r="98" spans="1:8">
      <c r="A98" s="227" t="s">
        <v>28</v>
      </c>
      <c r="B98" s="288">
        <f>'6-x'!J407/41.868</f>
        <v>7.8642495461927959</v>
      </c>
      <c r="C98" s="288">
        <f>'6-x'!K407/41.868</f>
        <v>203.20109200343938</v>
      </c>
      <c r="D98" s="288">
        <f>'6-x'!L407/41.868</f>
        <v>138.02889079965607</v>
      </c>
      <c r="E98" s="288">
        <f>'6-x'!M407/41.868</f>
        <v>19.713322824113881</v>
      </c>
      <c r="F98" s="288">
        <f>'6-x'!N407/41.868</f>
        <v>1188.0902455335818</v>
      </c>
      <c r="G98" s="288">
        <f>'6-x'!O407/41.868</f>
        <v>0.3075523072513614</v>
      </c>
      <c r="H98" s="249">
        <f>'6-x'!P407/41.868</f>
        <v>1557.2053530142352</v>
      </c>
    </row>
    <row r="99" spans="1:8">
      <c r="A99" s="227" t="s">
        <v>351</v>
      </c>
      <c r="B99" s="288">
        <f>'6-x'!J408/41.868</f>
        <v>0</v>
      </c>
      <c r="C99" s="288">
        <f>'6-x'!K408/41.868</f>
        <v>0</v>
      </c>
      <c r="D99" s="288">
        <f>'6-x'!L408/41.868</f>
        <v>0</v>
      </c>
      <c r="E99" s="288">
        <f>'6-x'!M408/41.868</f>
        <v>0</v>
      </c>
      <c r="F99" s="288">
        <f>'6-x'!N408/41.868</f>
        <v>0</v>
      </c>
      <c r="G99" s="288">
        <f>'6-x'!O408/41.868</f>
        <v>0</v>
      </c>
      <c r="H99" s="249">
        <f>'6-x'!P408/41.868</f>
        <v>0</v>
      </c>
    </row>
    <row r="100" spans="1:8">
      <c r="A100" s="322" t="s">
        <v>9</v>
      </c>
      <c r="B100" s="324">
        <f>'6-x'!J409/41.868</f>
        <v>3151.6114502722844</v>
      </c>
      <c r="C100" s="324">
        <f>'6-x'!K409/41.868</f>
        <v>20496.233291774144</v>
      </c>
      <c r="D100" s="324">
        <f>'6-x'!L409/41.868</f>
        <v>343.85736600745201</v>
      </c>
      <c r="E100" s="324">
        <f>'6-x'!M409/41.868</f>
        <v>573.75634947931587</v>
      </c>
      <c r="F100" s="324">
        <f>'6-x'!N409/41.868</f>
        <v>4548.0670980223567</v>
      </c>
      <c r="G100" s="324">
        <f>'6-x'!O409/41.868</f>
        <v>1613.4473473774719</v>
      </c>
      <c r="H100" s="324">
        <f>'6-x'!P409/41.868</f>
        <v>30726.97290293303</v>
      </c>
    </row>
    <row r="101" spans="1:8" ht="15.5">
      <c r="A101" s="314"/>
      <c r="B101" s="314"/>
      <c r="C101" s="314"/>
      <c r="D101" s="314"/>
      <c r="E101" s="314"/>
      <c r="F101" s="314"/>
      <c r="G101" s="314"/>
      <c r="H101" s="314"/>
    </row>
    <row r="102" spans="1:8" ht="15.5">
      <c r="A102" s="314"/>
      <c r="B102" s="314"/>
      <c r="C102" s="314"/>
      <c r="D102" s="314"/>
      <c r="E102" s="314"/>
      <c r="F102" s="314"/>
      <c r="G102" s="314"/>
      <c r="H102" s="314"/>
    </row>
    <row r="103" spans="1:8">
      <c r="B103" s="1104" t="s">
        <v>10</v>
      </c>
      <c r="C103" s="1104"/>
      <c r="D103" s="1104"/>
      <c r="E103" s="1104"/>
      <c r="F103" s="1104"/>
      <c r="G103" s="1104"/>
      <c r="H103" s="1104"/>
    </row>
    <row r="104" spans="1:8" ht="29">
      <c r="B104" s="251" t="s">
        <v>5</v>
      </c>
      <c r="C104" s="251" t="s">
        <v>63</v>
      </c>
      <c r="D104" s="251" t="s">
        <v>7</v>
      </c>
      <c r="E104" s="251" t="s">
        <v>8</v>
      </c>
      <c r="F104" s="251" t="s">
        <v>243</v>
      </c>
      <c r="G104" s="251" t="s">
        <v>244</v>
      </c>
      <c r="H104" s="251" t="s">
        <v>9</v>
      </c>
    </row>
    <row r="105" spans="1:8">
      <c r="A105" s="253">
        <v>2019</v>
      </c>
      <c r="B105" s="1106" t="s">
        <v>176</v>
      </c>
      <c r="C105" s="1107"/>
      <c r="D105" s="1107"/>
      <c r="E105" s="1107"/>
      <c r="F105" s="1107"/>
      <c r="G105" s="1107"/>
      <c r="H105" s="1108"/>
    </row>
    <row r="106" spans="1:8">
      <c r="A106" s="228" t="s">
        <v>262</v>
      </c>
      <c r="B106" s="249">
        <f>'6-x'!J487/41.868</f>
        <v>4277.8090140441391</v>
      </c>
      <c r="C106" s="249">
        <f>'6-x'!K487/41.868</f>
        <v>9327.3420798700681</v>
      </c>
      <c r="D106" s="249">
        <f>'6-x'!L487/41.868</f>
        <v>6.2892686538645259</v>
      </c>
      <c r="E106" s="249">
        <f>'6-x'!M487/41.868</f>
        <v>312.65625537403264</v>
      </c>
      <c r="F106" s="249">
        <f>'6-x'!N487/41.868</f>
        <v>1981.2156372408522</v>
      </c>
      <c r="G106" s="249">
        <f>'6-x'!O487/41.868</f>
        <v>695.472779927391</v>
      </c>
      <c r="H106" s="249">
        <f>'6-x'!P487/41.868</f>
        <v>16600.785035110344</v>
      </c>
    </row>
    <row r="107" spans="1:8">
      <c r="A107" s="227" t="s">
        <v>17</v>
      </c>
      <c r="B107" s="288">
        <f>'6-x'!J488/41.868</f>
        <v>0</v>
      </c>
      <c r="C107" s="288">
        <f>'6-x'!K488/41.868</f>
        <v>57.466308397821713</v>
      </c>
      <c r="D107" s="288">
        <f>'6-x'!L488/41.868</f>
        <v>6.2892686538645259</v>
      </c>
      <c r="E107" s="288">
        <f>'6-x'!M488/41.868</f>
        <v>44.949211808541129</v>
      </c>
      <c r="F107" s="288">
        <f>'6-x'!N488/41.868</f>
        <v>290.69370402216492</v>
      </c>
      <c r="G107" s="288">
        <f>'6-x'!O488/41.868</f>
        <v>680.72856835769562</v>
      </c>
      <c r="H107" s="249">
        <f>'6-x'!P488/41.868</f>
        <v>1080.1270612400879</v>
      </c>
    </row>
    <row r="108" spans="1:8">
      <c r="A108" s="227" t="s">
        <v>18</v>
      </c>
      <c r="B108" s="288">
        <f>'6-x'!J489/41.868</f>
        <v>0</v>
      </c>
      <c r="C108" s="288">
        <f>'6-x'!K489/41.868</f>
        <v>212.22955956816659</v>
      </c>
      <c r="D108" s="288">
        <f>'6-x'!L489/41.868</f>
        <v>0</v>
      </c>
      <c r="E108" s="288">
        <f>'6-x'!M489/41.868</f>
        <v>3.9269513709754467</v>
      </c>
      <c r="F108" s="288">
        <f>'6-x'!N489/41.868</f>
        <v>2.6310690742333049</v>
      </c>
      <c r="G108" s="288">
        <f>'6-x'!O489/41.868</f>
        <v>10.539911149326453</v>
      </c>
      <c r="H108" s="249">
        <f>'6-x'!P489/41.868</f>
        <v>229.32749116270179</v>
      </c>
    </row>
    <row r="109" spans="1:8">
      <c r="A109" s="227" t="s">
        <v>19</v>
      </c>
      <c r="B109" s="288">
        <f>'6-x'!J490/41.868</f>
        <v>4277.8090140441391</v>
      </c>
      <c r="C109" s="288">
        <f>'6-x'!K490/41.868</f>
        <v>58.987279067545607</v>
      </c>
      <c r="D109" s="288">
        <f>'6-x'!L490/41.868</f>
        <v>0</v>
      </c>
      <c r="E109" s="288">
        <f>'6-x'!M490/41.868</f>
        <v>263.33028804815132</v>
      </c>
      <c r="F109" s="288">
        <f>'6-x'!N490/41.868</f>
        <v>1378.8154485525938</v>
      </c>
      <c r="G109" s="288">
        <f>'6-x'!O490/41.868</f>
        <v>1.8603754657494982</v>
      </c>
      <c r="H109" s="249">
        <f>'6-x'!P490/41.868</f>
        <v>5980.8024051781786</v>
      </c>
    </row>
    <row r="110" spans="1:8">
      <c r="A110" s="227" t="s">
        <v>20</v>
      </c>
      <c r="B110" s="288">
        <f>'6-x'!J491/41.868</f>
        <v>0</v>
      </c>
      <c r="C110" s="288">
        <f>'6-x'!K491/41.868</f>
        <v>8998.6589328365335</v>
      </c>
      <c r="D110" s="288">
        <f>'6-x'!L491/41.868</f>
        <v>0</v>
      </c>
      <c r="E110" s="288">
        <f>'6-x'!M491/41.868</f>
        <v>0.4498041463647654</v>
      </c>
      <c r="F110" s="288">
        <f>'6-x'!N491/41.868</f>
        <v>309.07541559186006</v>
      </c>
      <c r="G110" s="288">
        <f>'6-x'!O491/41.868</f>
        <v>2.3439249546192795</v>
      </c>
      <c r="H110" s="249">
        <f>'6-x'!P491/41.868</f>
        <v>9310.5280775293777</v>
      </c>
    </row>
    <row r="111" spans="1:8">
      <c r="A111" s="227" t="s">
        <v>22</v>
      </c>
      <c r="B111" s="288">
        <f>'6-x'!J492/41.868</f>
        <v>0</v>
      </c>
      <c r="C111" s="288">
        <f>'6-x'!K492/41.868</f>
        <v>0</v>
      </c>
      <c r="D111" s="288">
        <f>'6-x'!L492/41.868</f>
        <v>0</v>
      </c>
      <c r="E111" s="288">
        <f>'6-x'!M492/41.868</f>
        <v>0</v>
      </c>
      <c r="F111" s="288">
        <f>'6-x'!N492/41.868</f>
        <v>0</v>
      </c>
      <c r="G111" s="288">
        <f>'6-x'!O492/41.868</f>
        <v>0</v>
      </c>
      <c r="H111" s="249">
        <f>'6-x'!P492/41.868</f>
        <v>0</v>
      </c>
    </row>
    <row r="112" spans="1:8">
      <c r="A112" s="227" t="s">
        <v>692</v>
      </c>
      <c r="B112" s="288">
        <f>'6-x'!J493/41.868</f>
        <v>0</v>
      </c>
      <c r="C112" s="288">
        <f>'6-x'!K493/41.868</f>
        <v>0</v>
      </c>
      <c r="D112" s="288">
        <f>'6-x'!L493/41.868</f>
        <v>0</v>
      </c>
      <c r="E112" s="288">
        <f>'6-x'!M493/41.868</f>
        <v>0</v>
      </c>
      <c r="F112" s="288">
        <f>'6-x'!N493/41.868</f>
        <v>0</v>
      </c>
      <c r="G112" s="288">
        <f>'6-x'!O493/41.868</f>
        <v>0</v>
      </c>
      <c r="H112" s="249">
        <f>'6-x'!P493/41.868</f>
        <v>0</v>
      </c>
    </row>
    <row r="113" spans="1:17">
      <c r="A113" s="228" t="s">
        <v>263</v>
      </c>
      <c r="B113" s="249">
        <f>'6-x'!J494/41.868</f>
        <v>14.645533581733064</v>
      </c>
      <c r="C113" s="249">
        <f>'6-x'!K494/41.868</f>
        <v>12324.269926913154</v>
      </c>
      <c r="D113" s="249">
        <f>'6-x'!L494/41.868</f>
        <v>483.58896531957578</v>
      </c>
      <c r="E113" s="249">
        <f>'6-x'!M494/41.868</f>
        <v>331.74335817330655</v>
      </c>
      <c r="F113" s="249">
        <f>'6-x'!N494/41.868</f>
        <v>2562.423051017483</v>
      </c>
      <c r="G113" s="249">
        <f>'6-x'!O494/41.868</f>
        <v>953.01611493264556</v>
      </c>
      <c r="H113" s="249">
        <f>'6-x'!P494/41.868</f>
        <v>16669.686949937895</v>
      </c>
    </row>
    <row r="114" spans="1:17">
      <c r="A114" s="227" t="s">
        <v>24</v>
      </c>
      <c r="B114" s="288">
        <f>'6-x'!J495/41.868</f>
        <v>0</v>
      </c>
      <c r="C114" s="288">
        <f>'6-x'!K495/41.868</f>
        <v>1424.1768844941246</v>
      </c>
      <c r="D114" s="288">
        <f>'6-x'!L495/41.868</f>
        <v>24.36966657112831</v>
      </c>
      <c r="E114" s="288">
        <f>'6-x'!M495/41.868</f>
        <v>4.9325021496130699</v>
      </c>
      <c r="F114" s="288">
        <f>'6-x'!N495/41.868</f>
        <v>377.320746154581</v>
      </c>
      <c r="G114" s="288">
        <f>'6-x'!O495/41.868</f>
        <v>946.6448409286329</v>
      </c>
      <c r="H114" s="249">
        <f>'6-x'!P495/41.868</f>
        <v>2777.4446402980798</v>
      </c>
    </row>
    <row r="115" spans="1:17">
      <c r="A115" s="227" t="s">
        <v>25</v>
      </c>
      <c r="B115" s="288">
        <f>'6-x'!J496/41.868</f>
        <v>0</v>
      </c>
      <c r="C115" s="288">
        <f>'6-x'!K496/41.868</f>
        <v>678.95656826215713</v>
      </c>
      <c r="D115" s="288">
        <f>'6-x'!L496/41.868</f>
        <v>0</v>
      </c>
      <c r="E115" s="288">
        <f>'6-x'!M496/41.868</f>
        <v>54.938208655775291</v>
      </c>
      <c r="F115" s="288">
        <f>'6-x'!N496/41.868</f>
        <v>4.5541606955192515</v>
      </c>
      <c r="G115" s="288">
        <f>'6-x'!O496/41.868</f>
        <v>0.74539266265405557</v>
      </c>
      <c r="H115" s="249">
        <f>'6-x'!P496/41.868</f>
        <v>739.19433027610569</v>
      </c>
    </row>
    <row r="116" spans="1:17">
      <c r="A116" s="227" t="s">
        <v>26</v>
      </c>
      <c r="B116" s="288">
        <f>'6-x'!J497/41.868</f>
        <v>0</v>
      </c>
      <c r="C116" s="288">
        <f>'6-x'!K497/41.868</f>
        <v>9971.2964555268936</v>
      </c>
      <c r="D116" s="288">
        <f>'6-x'!L497/41.868</f>
        <v>293.66317951657589</v>
      </c>
      <c r="E116" s="288">
        <f>'6-x'!M497/41.868</f>
        <v>223.34848571701536</v>
      </c>
      <c r="F116" s="288">
        <f>'6-x'!N497/41.868</f>
        <v>953.34289672303407</v>
      </c>
      <c r="G116" s="288">
        <f>'6-x'!O497/41.868</f>
        <v>4.7537403267411857</v>
      </c>
      <c r="H116" s="249">
        <f>'6-x'!P497/41.868</f>
        <v>11446.404757810262</v>
      </c>
    </row>
    <row r="117" spans="1:17">
      <c r="A117" s="227" t="s">
        <v>27</v>
      </c>
      <c r="B117" s="288">
        <f>'6-x'!J498/41.868</f>
        <v>1.2479602560428011</v>
      </c>
      <c r="C117" s="288">
        <f>'6-x'!K498/41.868</f>
        <v>76.16630362090379</v>
      </c>
      <c r="D117" s="288">
        <f>'6-x'!L498/41.868</f>
        <v>0</v>
      </c>
      <c r="E117" s="288">
        <f>'6-x'!M498/41.868</f>
        <v>20.532874749211807</v>
      </c>
      <c r="F117" s="288">
        <f>'6-x'!N498/41.868</f>
        <v>91.178728384446345</v>
      </c>
      <c r="G117" s="288">
        <f>'6-x'!O498/41.868</f>
        <v>0</v>
      </c>
      <c r="H117" s="249">
        <f>'6-x'!P498/41.868</f>
        <v>189.12586701060474</v>
      </c>
    </row>
    <row r="118" spans="1:17">
      <c r="A118" s="227" t="s">
        <v>28</v>
      </c>
      <c r="B118" s="288">
        <f>'6-x'!J499/41.868</f>
        <v>13.397573325690262</v>
      </c>
      <c r="C118" s="288">
        <f>'6-x'!K499/41.868</f>
        <v>173.67371500907615</v>
      </c>
      <c r="D118" s="288">
        <f>'6-x'!L499/41.868</f>
        <v>165.55611923187161</v>
      </c>
      <c r="E118" s="288">
        <f>'6-x'!M499/41.868</f>
        <v>27.99128690169103</v>
      </c>
      <c r="F118" s="288">
        <f>'6-x'!N499/41.868</f>
        <v>1136.0265190599025</v>
      </c>
      <c r="G118" s="288">
        <f>'6-x'!O499/41.868</f>
        <v>0.87214101461736881</v>
      </c>
      <c r="H118" s="249">
        <f>'6-x'!P499/41.868</f>
        <v>1517.517354542849</v>
      </c>
    </row>
    <row r="119" spans="1:17">
      <c r="A119" s="227" t="s">
        <v>351</v>
      </c>
      <c r="B119" s="288">
        <f>'6-x'!J500/41.868</f>
        <v>0</v>
      </c>
      <c r="C119" s="288">
        <f>'6-x'!K500/41.868</f>
        <v>0</v>
      </c>
      <c r="D119" s="288">
        <f>'6-x'!L500/41.868</f>
        <v>0</v>
      </c>
      <c r="E119" s="288">
        <f>'6-x'!M500/41.868</f>
        <v>0</v>
      </c>
      <c r="F119" s="288">
        <f>'6-x'!N500/41.868</f>
        <v>0</v>
      </c>
      <c r="G119" s="288">
        <f>'6-x'!O500/41.868</f>
        <v>0</v>
      </c>
      <c r="H119" s="249">
        <f>'6-x'!P500/41.868</f>
        <v>0</v>
      </c>
    </row>
    <row r="120" spans="1:17">
      <c r="A120" s="322" t="s">
        <v>9</v>
      </c>
      <c r="B120" s="324">
        <f>'6-x'!J501/41.868</f>
        <v>4292.4545476258718</v>
      </c>
      <c r="C120" s="324">
        <f>'6-x'!K501/41.868</f>
        <v>21651.61200678322</v>
      </c>
      <c r="D120" s="324">
        <f>'6-x'!L501/41.868</f>
        <v>489.87823397344033</v>
      </c>
      <c r="E120" s="324">
        <f>'6-x'!M501/41.868</f>
        <v>644.39961354733919</v>
      </c>
      <c r="F120" s="324">
        <f>'6-x'!N501/41.868</f>
        <v>4543.6386882583347</v>
      </c>
      <c r="G120" s="324">
        <f>'6-x'!O501/41.868</f>
        <v>1648.4888948600367</v>
      </c>
      <c r="H120" s="324">
        <f>'6-x'!P501/41.868</f>
        <v>33270.471985048243</v>
      </c>
    </row>
    <row r="121" spans="1:17" ht="15.5">
      <c r="A121" s="314"/>
      <c r="B121" s="314"/>
      <c r="C121" s="314"/>
      <c r="D121" s="314"/>
      <c r="E121" s="314"/>
      <c r="F121" s="314"/>
      <c r="G121" s="314"/>
      <c r="H121" s="314"/>
    </row>
    <row r="122" spans="1:17" ht="15.5">
      <c r="A122" s="314"/>
      <c r="B122" s="314"/>
      <c r="C122" s="314"/>
      <c r="D122" s="314"/>
      <c r="E122" s="314"/>
      <c r="F122" s="314"/>
      <c r="G122" s="314"/>
      <c r="H122" s="314"/>
    </row>
    <row r="123" spans="1:17">
      <c r="B123" s="1104" t="s">
        <v>10</v>
      </c>
      <c r="C123" s="1104"/>
      <c r="D123" s="1104"/>
      <c r="E123" s="1104"/>
      <c r="F123" s="1104"/>
      <c r="G123" s="1104"/>
      <c r="H123" s="1104"/>
    </row>
    <row r="124" spans="1:17" ht="29">
      <c r="B124" s="251" t="s">
        <v>5</v>
      </c>
      <c r="C124" s="251" t="s">
        <v>63</v>
      </c>
      <c r="D124" s="251" t="s">
        <v>7</v>
      </c>
      <c r="E124" s="251" t="s">
        <v>8</v>
      </c>
      <c r="F124" s="251" t="s">
        <v>243</v>
      </c>
      <c r="G124" s="251" t="s">
        <v>244</v>
      </c>
      <c r="H124" s="251" t="s">
        <v>9</v>
      </c>
    </row>
    <row r="125" spans="1:17">
      <c r="A125" s="253">
        <v>2018</v>
      </c>
      <c r="B125" s="1106" t="s">
        <v>176</v>
      </c>
      <c r="C125" s="1107"/>
      <c r="D125" s="1107"/>
      <c r="E125" s="1107"/>
      <c r="F125" s="1107"/>
      <c r="G125" s="1107"/>
      <c r="H125" s="1108"/>
    </row>
    <row r="126" spans="1:17">
      <c r="A126" s="228" t="s">
        <v>262</v>
      </c>
      <c r="B126" s="249">
        <f>'6-x'!J579/41.868</f>
        <v>6360.5153095442811</v>
      </c>
      <c r="C126" s="249">
        <f>'6-x'!K579/41.868</f>
        <v>7706.0549868634744</v>
      </c>
      <c r="D126" s="249">
        <f>'6-x'!L579/41.868</f>
        <v>6.077787331613643</v>
      </c>
      <c r="E126" s="249">
        <f>'6-x'!M579/41.868</f>
        <v>294.90071797076524</v>
      </c>
      <c r="F126" s="249">
        <f>'6-x'!N579/41.868</f>
        <v>1971.9805080252222</v>
      </c>
      <c r="G126" s="249">
        <f>'6-x'!O579/41.868</f>
        <v>693.31085626253946</v>
      </c>
      <c r="H126" s="249">
        <f>'6-x'!P579/41.868</f>
        <v>17032.840165997899</v>
      </c>
      <c r="K126" s="56"/>
      <c r="L126" s="56"/>
      <c r="M126" s="56"/>
      <c r="N126" s="56"/>
      <c r="O126" s="56"/>
      <c r="P126" s="56"/>
      <c r="Q126" s="56"/>
    </row>
    <row r="127" spans="1:17">
      <c r="A127" s="227" t="s">
        <v>17</v>
      </c>
      <c r="B127" s="288">
        <f>'6-x'!J580/41.868</f>
        <v>0</v>
      </c>
      <c r="C127" s="288">
        <f>'6-x'!K580/41.868</f>
        <v>60.21263853062004</v>
      </c>
      <c r="D127" s="288">
        <f>'6-x'!L580/41.868</f>
        <v>6.077787331613643</v>
      </c>
      <c r="E127" s="288">
        <f>'6-x'!M580/41.868</f>
        <v>44.327030190121334</v>
      </c>
      <c r="F127" s="288">
        <f>'6-x'!N580/41.868</f>
        <v>278.3491623674405</v>
      </c>
      <c r="G127" s="288">
        <f>'6-x'!O580/41.868</f>
        <v>681.2475518295596</v>
      </c>
      <c r="H127" s="249">
        <f>'6-x'!P580/41.868</f>
        <v>1070.2141702493552</v>
      </c>
    </row>
    <row r="128" spans="1:17">
      <c r="A128" s="227" t="s">
        <v>18</v>
      </c>
      <c r="B128" s="288">
        <f>'6-x'!J581/41.868</f>
        <v>0</v>
      </c>
      <c r="C128" s="288">
        <f>'6-x'!K581/41.868</f>
        <v>66.94292156300753</v>
      </c>
      <c r="D128" s="288">
        <f>'6-x'!L581/41.868</f>
        <v>0</v>
      </c>
      <c r="E128" s="288">
        <f>'6-x'!M581/41.868</f>
        <v>3.2281303143211999</v>
      </c>
      <c r="F128" s="288">
        <f>'6-x'!N581/41.868</f>
        <v>3.5952737173975353</v>
      </c>
      <c r="G128" s="288">
        <f>'6-x'!O581/41.868</f>
        <v>7.8698789051304106</v>
      </c>
      <c r="H128" s="249">
        <f>'6-x'!P581/41.868</f>
        <v>81.636204499856689</v>
      </c>
    </row>
    <row r="129" spans="1:17">
      <c r="A129" s="227" t="s">
        <v>19</v>
      </c>
      <c r="B129" s="288">
        <f>'6-x'!J582/41.868</f>
        <v>6360.5153095442811</v>
      </c>
      <c r="C129" s="288">
        <f>'6-x'!K582/41.868</f>
        <v>48.499154485525935</v>
      </c>
      <c r="D129" s="288">
        <f>'6-x'!L582/41.868</f>
        <v>0</v>
      </c>
      <c r="E129" s="288">
        <f>'6-x'!M582/41.868</f>
        <v>247.22807394668956</v>
      </c>
      <c r="F129" s="288">
        <f>'6-x'!N582/41.868</f>
        <v>1390.2004514187445</v>
      </c>
      <c r="G129" s="288">
        <f>'6-x'!O582/41.868</f>
        <v>1.8492399923569312</v>
      </c>
      <c r="H129" s="249">
        <f>'6-x'!P582/41.868</f>
        <v>8048.2922293875981</v>
      </c>
    </row>
    <row r="130" spans="1:17">
      <c r="A130" s="227" t="s">
        <v>20</v>
      </c>
      <c r="B130" s="288">
        <f>'6-x'!J583/41.868</f>
        <v>0</v>
      </c>
      <c r="C130" s="288">
        <f>'6-x'!K583/41.868</f>
        <v>7530.4002722843215</v>
      </c>
      <c r="D130" s="288">
        <f>'6-x'!L583/41.868</f>
        <v>0</v>
      </c>
      <c r="E130" s="288">
        <f>'6-x'!M583/41.868</f>
        <v>0.11748351963313269</v>
      </c>
      <c r="F130" s="288">
        <f>'6-x'!N583/41.868</f>
        <v>299.83562052163944</v>
      </c>
      <c r="G130" s="288">
        <f>'6-x'!O583/41.868</f>
        <v>2.3441855354925001</v>
      </c>
      <c r="H130" s="249">
        <f>'6-x'!P583/41.868</f>
        <v>7832.6975618610868</v>
      </c>
    </row>
    <row r="131" spans="1:17">
      <c r="A131" s="227" t="s">
        <v>22</v>
      </c>
      <c r="B131" s="288">
        <f>'6-x'!J584/41.868</f>
        <v>0</v>
      </c>
      <c r="C131" s="288">
        <f>'6-x'!K584/41.868</f>
        <v>0</v>
      </c>
      <c r="D131" s="288">
        <f>'6-x'!L584/41.868</f>
        <v>0</v>
      </c>
      <c r="E131" s="288">
        <f>'6-x'!M584/41.868</f>
        <v>0</v>
      </c>
      <c r="F131" s="288">
        <f>'6-x'!N584/41.868</f>
        <v>0</v>
      </c>
      <c r="G131" s="288">
        <f>'6-x'!O584/41.868</f>
        <v>0</v>
      </c>
      <c r="H131" s="249">
        <f>'6-x'!P584/41.868</f>
        <v>0</v>
      </c>
    </row>
    <row r="132" spans="1:17">
      <c r="A132" s="227" t="s">
        <v>692</v>
      </c>
      <c r="B132" s="288">
        <f>'6-x'!J585/41.868</f>
        <v>0</v>
      </c>
      <c r="C132" s="288">
        <f>'6-x'!K585/41.868</f>
        <v>0</v>
      </c>
      <c r="D132" s="288">
        <f>'6-x'!L585/41.868</f>
        <v>0</v>
      </c>
      <c r="E132" s="288">
        <f>'6-x'!M585/41.868</f>
        <v>0</v>
      </c>
      <c r="F132" s="288">
        <f>'6-x'!N585/41.868</f>
        <v>0</v>
      </c>
      <c r="G132" s="288">
        <f>'6-x'!O585/41.868</f>
        <v>0</v>
      </c>
      <c r="H132" s="249">
        <f>'6-x'!P585/41.868</f>
        <v>0</v>
      </c>
    </row>
    <row r="133" spans="1:17">
      <c r="A133" s="228" t="s">
        <v>263</v>
      </c>
      <c r="B133" s="249">
        <f>'6-x'!J586/41.868</f>
        <v>14.551036591191362</v>
      </c>
      <c r="C133" s="249">
        <f>'6-x'!K586/41.868</f>
        <v>11902.327773717398</v>
      </c>
      <c r="D133" s="249">
        <f>'6-x'!L586/41.868</f>
        <v>550.05682621572555</v>
      </c>
      <c r="E133" s="249">
        <f>'6-x'!M586/41.868</f>
        <v>316.22471290723217</v>
      </c>
      <c r="F133" s="249">
        <f>'6-x'!N586/41.868</f>
        <v>2612.1990073564539</v>
      </c>
      <c r="G133" s="249">
        <f>'6-x'!O586/41.868</f>
        <v>912.41835005254597</v>
      </c>
      <c r="H133" s="249">
        <f>'6-x'!P586/41.868</f>
        <v>16307.777706840547</v>
      </c>
      <c r="K133" s="436"/>
      <c r="L133" s="436"/>
      <c r="M133" s="436"/>
      <c r="N133" s="436"/>
      <c r="O133" s="436"/>
      <c r="P133" s="436"/>
      <c r="Q133" s="436"/>
    </row>
    <row r="134" spans="1:17">
      <c r="A134" s="227" t="s">
        <v>24</v>
      </c>
      <c r="B134" s="288">
        <f>'6-x'!J587/41.868</f>
        <v>0</v>
      </c>
      <c r="C134" s="288">
        <f>'6-x'!K587/41.868</f>
        <v>1315.6193035253655</v>
      </c>
      <c r="D134" s="288">
        <f>'6-x'!L587/41.868</f>
        <v>25.708949555746631</v>
      </c>
      <c r="E134" s="288">
        <f>'6-x'!M587/41.868</f>
        <v>5.2752866150759532</v>
      </c>
      <c r="F134" s="288">
        <f>'6-x'!N587/41.868</f>
        <v>330.91521926053309</v>
      </c>
      <c r="G134" s="288">
        <f>'6-x'!O587/41.868</f>
        <v>905.51167956434494</v>
      </c>
      <c r="H134" s="249">
        <f>'6-x'!P587/41.868</f>
        <v>2583.0304385210657</v>
      </c>
    </row>
    <row r="135" spans="1:17">
      <c r="A135" s="227" t="s">
        <v>25</v>
      </c>
      <c r="B135" s="288">
        <f>'6-x'!J588/41.868</f>
        <v>0</v>
      </c>
      <c r="C135" s="288">
        <f>'6-x'!K588/41.868</f>
        <v>666.03747492118089</v>
      </c>
      <c r="D135" s="288">
        <f>'6-x'!L588/41.868</f>
        <v>0</v>
      </c>
      <c r="E135" s="288">
        <f>'6-x'!M588/41.868</f>
        <v>40.237697047864714</v>
      </c>
      <c r="F135" s="288">
        <f>'6-x'!N588/41.868</f>
        <v>4.1164134900162415</v>
      </c>
      <c r="G135" s="288">
        <f>'6-x'!O588/41.868</f>
        <v>0.63554504633610387</v>
      </c>
      <c r="H135" s="249">
        <f>'6-x'!P588/41.868</f>
        <v>711.02713050539808</v>
      </c>
    </row>
    <row r="136" spans="1:17">
      <c r="A136" s="227" t="s">
        <v>26</v>
      </c>
      <c r="B136" s="288">
        <f>'6-x'!J589/41.868</f>
        <v>13.084683290341072</v>
      </c>
      <c r="C136" s="288">
        <f>'6-x'!K589/41.868</f>
        <v>9691.0157029234724</v>
      </c>
      <c r="D136" s="288">
        <f>'6-x'!L589/41.868</f>
        <v>297.68914206553933</v>
      </c>
      <c r="E136" s="288">
        <f>'6-x'!M589/41.868</f>
        <v>219.35873602751502</v>
      </c>
      <c r="F136" s="288">
        <f>'6-x'!N589/41.868</f>
        <v>1093.9402159166905</v>
      </c>
      <c r="G136" s="288">
        <f>'6-x'!O589/41.868</f>
        <v>4.7018715964459723</v>
      </c>
      <c r="H136" s="249">
        <f>'6-x'!P589/41.868</f>
        <v>11319.790351820006</v>
      </c>
      <c r="K136" s="254"/>
      <c r="L136" s="254"/>
      <c r="M136" s="254"/>
      <c r="N136" s="254"/>
      <c r="O136" s="254"/>
      <c r="P136" s="254"/>
      <c r="Q136" s="254"/>
    </row>
    <row r="137" spans="1:17">
      <c r="A137" s="227" t="s">
        <v>27</v>
      </c>
      <c r="B137" s="288">
        <f>'6-x'!J590/41.868</f>
        <v>1.4663533008502914</v>
      </c>
      <c r="C137" s="288">
        <f>'6-x'!K590/41.868</f>
        <v>76.113073946689582</v>
      </c>
      <c r="D137" s="288">
        <f>'6-x'!L590/41.868</f>
        <v>0</v>
      </c>
      <c r="E137" s="288">
        <f>'6-x'!M590/41.868</f>
        <v>17.813984904939332</v>
      </c>
      <c r="F137" s="288">
        <f>'6-x'!N590/41.868</f>
        <v>93.859455431355698</v>
      </c>
      <c r="G137" s="288">
        <f>'6-x'!O590/41.868</f>
        <v>0</v>
      </c>
      <c r="H137" s="249">
        <f>'6-x'!P590/41.868</f>
        <v>189.2528675838349</v>
      </c>
    </row>
    <row r="138" spans="1:17">
      <c r="A138" s="227" t="s">
        <v>28</v>
      </c>
      <c r="B138" s="288">
        <f>'6-x'!J591/41.868</f>
        <v>0</v>
      </c>
      <c r="C138" s="288">
        <f>'6-x'!K591/41.868</f>
        <v>153.54221840068786</v>
      </c>
      <c r="D138" s="288">
        <f>'6-x'!L591/41.868</f>
        <v>226.65873459443961</v>
      </c>
      <c r="E138" s="288">
        <f>'6-x'!M591/41.868</f>
        <v>33.5390083118372</v>
      </c>
      <c r="F138" s="288">
        <f>'6-x'!N591/41.868</f>
        <v>1089.367703257858</v>
      </c>
      <c r="G138" s="288">
        <f>'6-x'!O591/41.868</f>
        <v>1.5692538454189358</v>
      </c>
      <c r="H138" s="249">
        <f>'6-x'!P591/41.868</f>
        <v>1504.6769184102418</v>
      </c>
    </row>
    <row r="139" spans="1:17">
      <c r="A139" s="227" t="s">
        <v>351</v>
      </c>
      <c r="B139" s="288">
        <f>'6-x'!J592/41.868</f>
        <v>0</v>
      </c>
      <c r="C139" s="288">
        <f>'6-x'!K592/41.868</f>
        <v>0</v>
      </c>
      <c r="D139" s="288">
        <f>'6-x'!L592/41.868</f>
        <v>0</v>
      </c>
      <c r="E139" s="288">
        <f>'6-x'!M592/41.868</f>
        <v>0</v>
      </c>
      <c r="F139" s="288">
        <f>'6-x'!N592/41.868</f>
        <v>0</v>
      </c>
      <c r="G139" s="288">
        <f>'6-x'!O592/41.868</f>
        <v>0</v>
      </c>
      <c r="H139" s="249">
        <f>'6-x'!P592/41.868</f>
        <v>0</v>
      </c>
    </row>
    <row r="140" spans="1:17">
      <c r="A140" s="322" t="s">
        <v>9</v>
      </c>
      <c r="B140" s="324">
        <f>'6-x'!J593/41.868</f>
        <v>6375.0663461354716</v>
      </c>
      <c r="C140" s="324">
        <f>'6-x'!K593/41.868</f>
        <v>19608.382760580873</v>
      </c>
      <c r="D140" s="324">
        <f>'6-x'!L593/41.868</f>
        <v>556.1346135473392</v>
      </c>
      <c r="E140" s="324">
        <f>'6-x'!M593/41.868</f>
        <v>611.12543087799736</v>
      </c>
      <c r="F140" s="324">
        <f>'6-x'!N593/41.868</f>
        <v>4584.1795153816756</v>
      </c>
      <c r="G140" s="324">
        <f>'6-x'!O593/41.868</f>
        <v>1605.7292063150853</v>
      </c>
      <c r="H140" s="324">
        <f>'6-x'!P593/41.868</f>
        <v>33340.61787283844</v>
      </c>
    </row>
    <row r="141" spans="1:17" ht="15.5">
      <c r="A141" s="314"/>
      <c r="B141" s="314"/>
      <c r="C141" s="314"/>
      <c r="D141" s="314"/>
      <c r="E141" s="314"/>
      <c r="F141" s="314"/>
      <c r="G141" s="314"/>
      <c r="H141" s="314"/>
    </row>
    <row r="142" spans="1:17" ht="15.5">
      <c r="A142" s="314"/>
      <c r="B142" s="314"/>
      <c r="C142" s="314"/>
      <c r="D142" s="314"/>
      <c r="E142" s="314"/>
      <c r="F142" s="314"/>
      <c r="G142" s="314"/>
      <c r="H142" s="314"/>
    </row>
    <row r="143" spans="1:17">
      <c r="B143" s="1104" t="s">
        <v>10</v>
      </c>
      <c r="C143" s="1104"/>
      <c r="D143" s="1104"/>
      <c r="E143" s="1104"/>
      <c r="F143" s="1104"/>
      <c r="G143" s="1104"/>
      <c r="H143" s="1104"/>
    </row>
    <row r="144" spans="1:17" ht="29">
      <c r="B144" s="251" t="s">
        <v>5</v>
      </c>
      <c r="C144" s="251" t="s">
        <v>63</v>
      </c>
      <c r="D144" s="251" t="s">
        <v>7</v>
      </c>
      <c r="E144" s="251" t="s">
        <v>8</v>
      </c>
      <c r="F144" s="251" t="s">
        <v>243</v>
      </c>
      <c r="G144" s="251" t="s">
        <v>244</v>
      </c>
      <c r="H144" s="251" t="s">
        <v>9</v>
      </c>
    </row>
    <row r="145" spans="1:12">
      <c r="A145" s="253">
        <v>2017</v>
      </c>
      <c r="B145" s="1106" t="s">
        <v>176</v>
      </c>
      <c r="C145" s="1107"/>
      <c r="D145" s="1107"/>
      <c r="E145" s="1107"/>
      <c r="F145" s="1107"/>
      <c r="G145" s="1107"/>
      <c r="H145" s="1108"/>
    </row>
    <row r="146" spans="1:12">
      <c r="A146" s="228" t="s">
        <v>262</v>
      </c>
      <c r="B146" s="249">
        <f>'6-x'!J669/41.868</f>
        <v>7206.7966220024846</v>
      </c>
      <c r="C146" s="249">
        <f>'6-x'!K669/41.868</f>
        <v>8683.2757247778718</v>
      </c>
      <c r="D146" s="249">
        <f>'6-x'!L669/41.868</f>
        <v>6.8902837489251931</v>
      </c>
      <c r="E146" s="249">
        <f>'6-x'!M669/41.868</f>
        <v>471.08979960829276</v>
      </c>
      <c r="F146" s="249">
        <f>'6-x'!N669/41.868</f>
        <v>2038.3779616891177</v>
      </c>
      <c r="G146" s="249">
        <f>'6-x'!O669/41.868</f>
        <v>713.34906133562617</v>
      </c>
      <c r="H146" s="249">
        <f>'6-x'!P669/41.868</f>
        <v>19119.779453162319</v>
      </c>
      <c r="L146" s="56"/>
    </row>
    <row r="147" spans="1:12">
      <c r="A147" s="227" t="s">
        <v>17</v>
      </c>
      <c r="B147" s="288">
        <f>'6-x'!J670/41.868</f>
        <v>0</v>
      </c>
      <c r="C147" s="288">
        <f>'6-x'!K670/41.868</f>
        <v>64.16594941243909</v>
      </c>
      <c r="D147" s="288">
        <f>'6-x'!L670/41.868</f>
        <v>6.8902837489251931</v>
      </c>
      <c r="E147" s="288">
        <f>'6-x'!M670/41.868</f>
        <v>50.778484761631788</v>
      </c>
      <c r="F147" s="288">
        <f>'6-x'!N670/41.868</f>
        <v>264.440861755995</v>
      </c>
      <c r="G147" s="288">
        <f>'6-x'!O670/41.868</f>
        <v>700.17736696283555</v>
      </c>
      <c r="H147" s="249">
        <f>'6-x'!P670/41.868</f>
        <v>1086.4529466418267</v>
      </c>
    </row>
    <row r="148" spans="1:12">
      <c r="A148" s="227" t="s">
        <v>18</v>
      </c>
      <c r="B148" s="288">
        <f>'6-x'!J671/41.868</f>
        <v>0</v>
      </c>
      <c r="C148" s="288">
        <f>'6-x'!K671/41.868</f>
        <v>153.23152765835482</v>
      </c>
      <c r="D148" s="288">
        <f>'6-x'!L671/41.868</f>
        <v>0</v>
      </c>
      <c r="E148" s="288">
        <f>'6-x'!M671/41.868</f>
        <v>2.8849651284990925</v>
      </c>
      <c r="F148" s="288">
        <f>'6-x'!N671/41.868</f>
        <v>3.7566423043852102</v>
      </c>
      <c r="G148" s="288">
        <f>'6-x'!O671/41.868</f>
        <v>8.8850745199197476</v>
      </c>
      <c r="H148" s="249">
        <f>'6-x'!P671/41.868</f>
        <v>168.75820961115886</v>
      </c>
    </row>
    <row r="149" spans="1:12">
      <c r="A149" s="227" t="s">
        <v>19</v>
      </c>
      <c r="B149" s="288">
        <f>'6-x'!J672/41.868</f>
        <v>7206.7966220024846</v>
      </c>
      <c r="C149" s="288">
        <f>'6-x'!K672/41.868</f>
        <v>81.365554600171976</v>
      </c>
      <c r="D149" s="288">
        <f>'6-x'!L672/41.868</f>
        <v>0</v>
      </c>
      <c r="E149" s="288">
        <f>'6-x'!M672/41.868</f>
        <v>416.83669652240383</v>
      </c>
      <c r="F149" s="288">
        <f>'6-x'!N672/41.868</f>
        <v>1409.2593484283937</v>
      </c>
      <c r="G149" s="288">
        <f>'6-x'!O672/41.868</f>
        <v>1.8384971816184197</v>
      </c>
      <c r="H149" s="249">
        <f>'6-x'!P672/41.868</f>
        <v>9116.0967187350743</v>
      </c>
    </row>
    <row r="150" spans="1:12">
      <c r="A150" s="227" t="s">
        <v>20</v>
      </c>
      <c r="B150" s="288">
        <f>'6-x'!J673/41.868</f>
        <v>0</v>
      </c>
      <c r="C150" s="288">
        <f>'6-x'!K673/41.868</f>
        <v>8384.5126931069062</v>
      </c>
      <c r="D150" s="288">
        <f>'6-x'!L673/41.868</f>
        <v>0</v>
      </c>
      <c r="E150" s="288">
        <f>'6-x'!M673/41.868</f>
        <v>0.58965319575809683</v>
      </c>
      <c r="F150" s="288">
        <f>'6-x'!N673/41.868</f>
        <v>360.92110920034395</v>
      </c>
      <c r="G150" s="288">
        <f>'6-x'!O673/41.868</f>
        <v>2.4481226712525075</v>
      </c>
      <c r="H150" s="249">
        <f>'6-x'!P673/41.868</f>
        <v>8748.4715781742616</v>
      </c>
    </row>
    <row r="151" spans="1:12">
      <c r="A151" s="227" t="s">
        <v>22</v>
      </c>
      <c r="B151" s="288">
        <f>'6-x'!J674/41.868</f>
        <v>0</v>
      </c>
      <c r="C151" s="288">
        <f>'6-x'!K674/41.868</f>
        <v>0</v>
      </c>
      <c r="D151" s="288">
        <f>'6-x'!L674/41.868</f>
        <v>0</v>
      </c>
      <c r="E151" s="288">
        <f>'6-x'!M674/41.868</f>
        <v>0</v>
      </c>
      <c r="F151" s="288">
        <f>'6-x'!N674/41.868</f>
        <v>0</v>
      </c>
      <c r="G151" s="288">
        <f>'6-x'!O674/41.868</f>
        <v>0</v>
      </c>
      <c r="H151" s="249">
        <f>'6-x'!P674/41.868</f>
        <v>0</v>
      </c>
    </row>
    <row r="152" spans="1:12">
      <c r="A152" s="228" t="s">
        <v>263</v>
      </c>
      <c r="B152" s="249">
        <f>'6-x'!J675/41.868</f>
        <v>14.734030763351482</v>
      </c>
      <c r="C152" s="249">
        <f>'6-x'!K675/41.868</f>
        <v>12746.631385353969</v>
      </c>
      <c r="D152" s="249">
        <f>'6-x'!L675/41.868</f>
        <v>501.05507069838535</v>
      </c>
      <c r="E152" s="249">
        <f>'6-x'!M675/41.868</f>
        <v>324.0345925289003</v>
      </c>
      <c r="F152" s="249">
        <f>'6-x'!N675/41.868</f>
        <v>2530.8028441769366</v>
      </c>
      <c r="G152" s="249">
        <f>'6-x'!O675/41.868</f>
        <v>900.56424715773369</v>
      </c>
      <c r="H152" s="249">
        <f>'6-x'!P675/41.868</f>
        <v>17017.822170679276</v>
      </c>
    </row>
    <row r="153" spans="1:12">
      <c r="A153" s="227" t="s">
        <v>24</v>
      </c>
      <c r="B153" s="288">
        <f>'6-x'!J676/41.868</f>
        <v>0</v>
      </c>
      <c r="C153" s="288">
        <f>'6-x'!K676/41.868</f>
        <v>1224.2825604280119</v>
      </c>
      <c r="D153" s="288">
        <f>'6-x'!L676/41.868</f>
        <v>21.718871214292534</v>
      </c>
      <c r="E153" s="288">
        <f>'6-x'!M676/41.868</f>
        <v>6.0281336581637532</v>
      </c>
      <c r="F153" s="288">
        <f>'6-x'!N676/41.868</f>
        <v>313.13876468902265</v>
      </c>
      <c r="G153" s="288">
        <f>'6-x'!O676/41.868</f>
        <v>893.82335912868996</v>
      </c>
      <c r="H153" s="249">
        <f>'6-x'!P676/41.868</f>
        <v>2458.9916891181806</v>
      </c>
    </row>
    <row r="154" spans="1:12">
      <c r="A154" s="227" t="s">
        <v>25</v>
      </c>
      <c r="B154" s="288">
        <f>'6-x'!J677/41.868</f>
        <v>0</v>
      </c>
      <c r="C154" s="288">
        <f>'6-x'!K677/41.868</f>
        <v>658.07928991114932</v>
      </c>
      <c r="D154" s="288">
        <f>'6-x'!L677/41.868</f>
        <v>0</v>
      </c>
      <c r="E154" s="288">
        <f>'6-x'!M677/41.868</f>
        <v>51.204769274863857</v>
      </c>
      <c r="F154" s="288">
        <f>'6-x'!N677/41.868</f>
        <v>3.1449355116079101</v>
      </c>
      <c r="G154" s="288">
        <f>'6-x'!O677/41.868</f>
        <v>0.69790770994554308</v>
      </c>
      <c r="H154" s="249">
        <f>'6-x'!P677/41.868</f>
        <v>713.1269024075666</v>
      </c>
    </row>
    <row r="155" spans="1:12">
      <c r="A155" s="227" t="s">
        <v>26</v>
      </c>
      <c r="B155" s="288">
        <f>'6-x'!J678/41.868</f>
        <v>13.198079678991114</v>
      </c>
      <c r="C155" s="288">
        <f>'6-x'!K678/41.868</f>
        <v>10606.610852966463</v>
      </c>
      <c r="D155" s="288">
        <f>'6-x'!L678/41.868</f>
        <v>256.99944110060193</v>
      </c>
      <c r="E155" s="288">
        <f>'6-x'!M678/41.868</f>
        <v>209.72384732970286</v>
      </c>
      <c r="F155" s="288">
        <f>'6-x'!N678/41.868</f>
        <v>1039.800773860705</v>
      </c>
      <c r="G155" s="288">
        <f>'6-x'!O678/41.868</f>
        <v>4.7751982420942003</v>
      </c>
      <c r="H155" s="249">
        <f>'6-x'!P678/41.868</f>
        <v>12131.108193178559</v>
      </c>
    </row>
    <row r="156" spans="1:12">
      <c r="A156" s="227" t="s">
        <v>27</v>
      </c>
      <c r="B156" s="288">
        <f>'6-x'!J679/41.868</f>
        <v>1.5359510843603708</v>
      </c>
      <c r="C156" s="288">
        <f>'6-x'!K679/41.868</f>
        <v>81.639087130983086</v>
      </c>
      <c r="D156" s="288">
        <f>'6-x'!L679/41.868</f>
        <v>0</v>
      </c>
      <c r="E156" s="288">
        <f>'6-x'!M679/41.868</f>
        <v>13.121990541702495</v>
      </c>
      <c r="F156" s="288">
        <f>'6-x'!N679/41.868</f>
        <v>89.774586796598825</v>
      </c>
      <c r="G156" s="288">
        <f>'6-x'!O679/41.868</f>
        <v>0</v>
      </c>
      <c r="H156" s="249">
        <f>'6-x'!P679/41.868</f>
        <v>186.07161555364479</v>
      </c>
    </row>
    <row r="157" spans="1:12">
      <c r="A157" s="227" t="s">
        <v>28</v>
      </c>
      <c r="B157" s="288">
        <f>'6-x'!J680/41.868</f>
        <v>0</v>
      </c>
      <c r="C157" s="288">
        <f>'6-x'!K680/41.868</f>
        <v>176.01959491735929</v>
      </c>
      <c r="D157" s="288">
        <f>'6-x'!L680/41.868</f>
        <v>222.33675838349097</v>
      </c>
      <c r="E157" s="288">
        <f>'6-x'!M680/41.868</f>
        <v>43.955851724467372</v>
      </c>
      <c r="F157" s="288">
        <f>'6-x'!N680/41.868</f>
        <v>1084.9437833190025</v>
      </c>
      <c r="G157" s="288">
        <f>'6-x'!O680/41.868</f>
        <v>1.267782077003917</v>
      </c>
      <c r="H157" s="249">
        <f>'6-x'!P680/41.868</f>
        <v>1528.5237704213241</v>
      </c>
    </row>
    <row r="158" spans="1:12">
      <c r="A158" s="322" t="s">
        <v>9</v>
      </c>
      <c r="B158" s="324">
        <f>'6-x'!J681/41.868</f>
        <v>7221.5306527658349</v>
      </c>
      <c r="C158" s="324">
        <f>'6-x'!K681/41.868</f>
        <v>21429.907110131837</v>
      </c>
      <c r="D158" s="324">
        <f>'6-x'!L681/41.868</f>
        <v>507.94535444731059</v>
      </c>
      <c r="E158" s="324">
        <f>'6-x'!M681/41.868</f>
        <v>795.12439213719301</v>
      </c>
      <c r="F158" s="324">
        <f>'6-x'!N681/41.868</f>
        <v>4569.1808058660545</v>
      </c>
      <c r="G158" s="324">
        <f>'6-x'!O681/41.868</f>
        <v>1613.9133084933599</v>
      </c>
      <c r="H158" s="324">
        <f>'6-x'!P681/41.868</f>
        <v>36137.601623841598</v>
      </c>
    </row>
    <row r="159" spans="1:12" ht="15.5">
      <c r="A159" s="314"/>
      <c r="B159" s="314"/>
      <c r="C159" s="314"/>
      <c r="D159" s="314"/>
      <c r="E159" s="314"/>
      <c r="F159" s="314"/>
      <c r="G159" s="314"/>
      <c r="H159" s="314"/>
    </row>
    <row r="160" spans="1:12" ht="15.5">
      <c r="A160" s="314"/>
      <c r="B160" s="314"/>
      <c r="C160" s="314"/>
      <c r="D160" s="314"/>
      <c r="E160" s="314"/>
      <c r="F160" s="314"/>
      <c r="G160" s="314"/>
      <c r="H160" s="314"/>
    </row>
    <row r="161" spans="1:16">
      <c r="B161" s="1104" t="s">
        <v>10</v>
      </c>
      <c r="C161" s="1104"/>
      <c r="D161" s="1104"/>
      <c r="E161" s="1104"/>
      <c r="F161" s="1104"/>
      <c r="G161" s="1104"/>
      <c r="H161" s="1104"/>
    </row>
    <row r="162" spans="1:16" ht="29">
      <c r="B162" s="251" t="s">
        <v>5</v>
      </c>
      <c r="C162" s="251" t="s">
        <v>63</v>
      </c>
      <c r="D162" s="251" t="s">
        <v>7</v>
      </c>
      <c r="E162" s="251" t="s">
        <v>8</v>
      </c>
      <c r="F162" s="251" t="s">
        <v>243</v>
      </c>
      <c r="G162" s="251" t="s">
        <v>244</v>
      </c>
      <c r="H162" s="251" t="s">
        <v>9</v>
      </c>
    </row>
    <row r="163" spans="1:16" ht="14.75" customHeight="1">
      <c r="A163" s="253">
        <v>2016</v>
      </c>
      <c r="B163" s="1106" t="s">
        <v>176</v>
      </c>
      <c r="C163" s="1107"/>
      <c r="D163" s="1107"/>
      <c r="E163" s="1107"/>
      <c r="F163" s="1107"/>
      <c r="G163" s="1107"/>
      <c r="H163" s="1108"/>
    </row>
    <row r="164" spans="1:16">
      <c r="A164" s="228" t="s">
        <v>262</v>
      </c>
      <c r="B164" s="249">
        <f>'6-x'!J754/41.868</f>
        <v>7993.362226043756</v>
      </c>
      <c r="C164" s="249">
        <f>'6-x'!K754/41.868</f>
        <v>7330.8878972484954</v>
      </c>
      <c r="D164" s="249">
        <f>'6-x'!L754/41.868</f>
        <v>7.4822656921754094</v>
      </c>
      <c r="E164" s="249">
        <f>'6-x'!M754/41.868</f>
        <v>470.93523932358841</v>
      </c>
      <c r="F164" s="249">
        <f>'6-x'!N754/41.868</f>
        <v>2177.9772547052644</v>
      </c>
      <c r="G164" s="249">
        <f>'6-x'!O754/41.868</f>
        <v>741.37363141301216</v>
      </c>
      <c r="H164" s="249">
        <f>'6-x'!P754/41.868</f>
        <v>18722.018514426287</v>
      </c>
      <c r="I164" s="254"/>
      <c r="J164" s="147"/>
      <c r="K164" s="147"/>
      <c r="L164" s="147"/>
      <c r="M164" s="147"/>
      <c r="N164" s="147"/>
      <c r="O164" s="147"/>
      <c r="P164" s="147"/>
    </row>
    <row r="165" spans="1:16">
      <c r="A165" s="227" t="s">
        <v>17</v>
      </c>
      <c r="B165" s="288">
        <f>'6-x'!J755/41.868</f>
        <v>0</v>
      </c>
      <c r="C165" s="288">
        <f>'6-x'!K755/41.868</f>
        <v>57.549995223082064</v>
      </c>
      <c r="D165" s="288">
        <f>'6-x'!L755/41.868</f>
        <v>7.4822656921754094</v>
      </c>
      <c r="E165" s="288">
        <f>'6-x'!M755/41.868</f>
        <v>59.686328460877043</v>
      </c>
      <c r="F165" s="288">
        <f>'6-x'!N755/41.868</f>
        <v>274.14596828126491</v>
      </c>
      <c r="G165" s="288">
        <f>'6-x'!O755/41.868</f>
        <v>726.95030094582967</v>
      </c>
      <c r="H165" s="249">
        <f>'6-x'!P755/41.868</f>
        <v>1125.8148586032291</v>
      </c>
      <c r="I165" s="254"/>
      <c r="J165" s="147"/>
      <c r="K165" s="147"/>
      <c r="L165" s="147"/>
      <c r="M165" s="147"/>
      <c r="N165" s="147"/>
      <c r="O165" s="147"/>
      <c r="P165" s="147"/>
    </row>
    <row r="166" spans="1:16">
      <c r="A166" s="227" t="s">
        <v>18</v>
      </c>
      <c r="B166" s="288">
        <f>'6-x'!J756/41.868</f>
        <v>0</v>
      </c>
      <c r="C166" s="288">
        <f>'6-x'!K756/41.868</f>
        <v>99.466695328174254</v>
      </c>
      <c r="D166" s="288">
        <f>'6-x'!L756/41.868</f>
        <v>0</v>
      </c>
      <c r="E166" s="288">
        <f>'6-x'!M756/41.868</f>
        <v>1.6998041463647653</v>
      </c>
      <c r="F166" s="288">
        <f>'6-x'!N756/41.868</f>
        <v>4.9997014426292159</v>
      </c>
      <c r="G166" s="288">
        <f>'6-x'!O756/41.868</f>
        <v>10.260748065348237</v>
      </c>
      <c r="H166" s="249">
        <f>'6-x'!P756/41.868</f>
        <v>116.42694898251648</v>
      </c>
      <c r="I166" s="254"/>
      <c r="J166" s="147"/>
      <c r="K166" s="147"/>
      <c r="L166" s="147"/>
      <c r="M166" s="147"/>
      <c r="N166" s="147"/>
      <c r="O166" s="147"/>
      <c r="P166" s="147"/>
    </row>
    <row r="167" spans="1:16">
      <c r="A167" s="227" t="s">
        <v>19</v>
      </c>
      <c r="B167" s="288">
        <f>'6-x'!J757/41.868</f>
        <v>7993.362226043756</v>
      </c>
      <c r="C167" s="288">
        <f>'6-x'!K757/41.868</f>
        <v>79.811994840928648</v>
      </c>
      <c r="D167" s="288">
        <f>'6-x'!L757/41.868</f>
        <v>0</v>
      </c>
      <c r="E167" s="288">
        <f>'6-x'!M757/41.868</f>
        <v>408.84035540269417</v>
      </c>
      <c r="F167" s="288">
        <f>'6-x'!N757/41.868</f>
        <v>1505.9476067641158</v>
      </c>
      <c r="G167" s="288">
        <f>'6-x'!O757/41.868</f>
        <v>1.8548294640298075</v>
      </c>
      <c r="H167" s="249">
        <f>'6-x'!P757/41.868</f>
        <v>9989.8170125155229</v>
      </c>
      <c r="I167" s="254"/>
      <c r="J167" s="147"/>
      <c r="K167" s="147"/>
      <c r="L167" s="147"/>
      <c r="M167" s="147"/>
      <c r="N167" s="147"/>
      <c r="O167" s="147"/>
      <c r="P167" s="147"/>
    </row>
    <row r="168" spans="1:16">
      <c r="A168" s="227" t="s">
        <v>20</v>
      </c>
      <c r="B168" s="288">
        <f>'6-x'!J758/41.868</f>
        <v>0</v>
      </c>
      <c r="C168" s="288">
        <f>'6-x'!K758/41.868</f>
        <v>7094.059211856309</v>
      </c>
      <c r="D168" s="288">
        <f>'6-x'!L758/41.868</f>
        <v>0</v>
      </c>
      <c r="E168" s="288">
        <f>'6-x'!M758/41.868</f>
        <v>0.70875131365243138</v>
      </c>
      <c r="F168" s="288">
        <f>'6-x'!N758/41.868</f>
        <v>392.8839782172542</v>
      </c>
      <c r="G168" s="288">
        <f>'6-x'!O758/41.868</f>
        <v>2.3077529378045281</v>
      </c>
      <c r="H168" s="249">
        <f>'6-x'!P758/41.868</f>
        <v>7489.9596943250208</v>
      </c>
      <c r="I168" s="254"/>
      <c r="J168" s="147"/>
      <c r="K168" s="147"/>
      <c r="L168" s="147"/>
      <c r="M168" s="147"/>
      <c r="N168" s="147"/>
      <c r="O168" s="147"/>
      <c r="P168" s="147"/>
    </row>
    <row r="169" spans="1:16">
      <c r="A169" s="227" t="s">
        <v>22</v>
      </c>
      <c r="B169" s="288">
        <f>'6-x'!J759/41.868</f>
        <v>0</v>
      </c>
      <c r="C169" s="288">
        <f>'6-x'!K759/41.868</f>
        <v>0</v>
      </c>
      <c r="D169" s="288">
        <f>'6-x'!L759/41.868</f>
        <v>0</v>
      </c>
      <c r="E169" s="288">
        <f>'6-x'!M759/41.868</f>
        <v>0</v>
      </c>
      <c r="F169" s="288">
        <f>'6-x'!N759/41.868</f>
        <v>0</v>
      </c>
      <c r="G169" s="288">
        <f>'6-x'!O759/41.868</f>
        <v>0</v>
      </c>
      <c r="H169" s="249">
        <f>'6-x'!P759/41.868</f>
        <v>0</v>
      </c>
      <c r="I169" s="254"/>
      <c r="J169" s="147"/>
      <c r="K169" s="147"/>
      <c r="L169" s="147"/>
      <c r="M169" s="147"/>
      <c r="N169" s="147"/>
      <c r="O169" s="147"/>
      <c r="P169" s="147"/>
    </row>
    <row r="170" spans="1:16">
      <c r="A170" s="228" t="s">
        <v>263</v>
      </c>
      <c r="B170" s="249">
        <f>'6-x'!J760/41.868</f>
        <v>14.710031527658353</v>
      </c>
      <c r="C170" s="249">
        <f>'6-x'!K760/41.868</f>
        <v>11861.539105187732</v>
      </c>
      <c r="D170" s="249">
        <f>'6-x'!L760/41.868</f>
        <v>571.71747157733819</v>
      </c>
      <c r="E170" s="249">
        <f>'6-x'!M760/41.868</f>
        <v>330.32577386070506</v>
      </c>
      <c r="F170" s="249">
        <f>'6-x'!N760/41.868</f>
        <v>2603.1949579631223</v>
      </c>
      <c r="G170" s="249">
        <f>'6-x'!O760/41.868</f>
        <v>874.08879335053007</v>
      </c>
      <c r="H170" s="249">
        <f>'6-x'!P760/41.868</f>
        <v>16255.576133467088</v>
      </c>
      <c r="I170" s="254"/>
      <c r="J170" s="147"/>
      <c r="K170" s="147"/>
      <c r="L170" s="147"/>
      <c r="M170" s="147"/>
      <c r="N170" s="147"/>
      <c r="O170" s="147"/>
      <c r="P170" s="147"/>
    </row>
    <row r="171" spans="1:16">
      <c r="A171" s="227" t="s">
        <v>24</v>
      </c>
      <c r="B171" s="288">
        <f>'6-x'!J761/41.868</f>
        <v>0</v>
      </c>
      <c r="C171" s="288">
        <f>'6-x'!K761/41.868</f>
        <v>1085.6092958822967</v>
      </c>
      <c r="D171" s="288">
        <f>'6-x'!L761/41.868</f>
        <v>24.001996751695803</v>
      </c>
      <c r="E171" s="288">
        <f>'6-x'!M761/41.868</f>
        <v>4.660666857743383</v>
      </c>
      <c r="F171" s="288">
        <f>'6-x'!N761/41.868</f>
        <v>316.58817712811691</v>
      </c>
      <c r="G171" s="288">
        <f>'6-x'!O761/41.868</f>
        <v>867.6073086844367</v>
      </c>
      <c r="H171" s="249">
        <f>'6-x'!P761/41.868</f>
        <v>2298.4674453042894</v>
      </c>
      <c r="I171" s="254"/>
      <c r="J171" s="147"/>
      <c r="K171" s="147"/>
      <c r="L171" s="147"/>
      <c r="M171" s="147"/>
      <c r="N171" s="147"/>
      <c r="O171" s="147"/>
      <c r="P171" s="147"/>
    </row>
    <row r="172" spans="1:16">
      <c r="A172" s="227" t="s">
        <v>25</v>
      </c>
      <c r="B172" s="288">
        <f>'6-x'!J762/41.868</f>
        <v>0</v>
      </c>
      <c r="C172" s="288">
        <f>'6-x'!K762/41.868</f>
        <v>644.1219260533104</v>
      </c>
      <c r="D172" s="288">
        <f>'6-x'!L762/41.868</f>
        <v>1.1638960542657879E-2</v>
      </c>
      <c r="E172" s="288">
        <f>'6-x'!M762/41.868</f>
        <v>49.022038310881825</v>
      </c>
      <c r="F172" s="288">
        <f>'6-x'!N762/41.868</f>
        <v>2.7150090761440717</v>
      </c>
      <c r="G172" s="288">
        <f>'6-x'!O762/41.868</f>
        <v>0.82111636572083679</v>
      </c>
      <c r="H172" s="249">
        <f>'6-x'!P762/41.868</f>
        <v>696.69172876659979</v>
      </c>
      <c r="I172" s="254"/>
      <c r="J172" s="147"/>
      <c r="K172" s="147"/>
      <c r="L172" s="147"/>
      <c r="M172" s="147"/>
      <c r="N172" s="147"/>
      <c r="O172" s="147"/>
      <c r="P172" s="147"/>
    </row>
    <row r="173" spans="1:16">
      <c r="A173" s="227" t="s">
        <v>26</v>
      </c>
      <c r="B173" s="288">
        <f>'6-x'!J763/41.868</f>
        <v>13.366074328843029</v>
      </c>
      <c r="C173" s="288">
        <f>'6-x'!K763/41.868</f>
        <v>9903.2565648227755</v>
      </c>
      <c r="D173" s="288">
        <f>'6-x'!L763/41.868</f>
        <v>271.11936562529854</v>
      </c>
      <c r="E173" s="288">
        <f>'6-x'!M763/41.868</f>
        <v>234.003116938951</v>
      </c>
      <c r="F173" s="288">
        <f>'6-x'!N763/41.868</f>
        <v>1132.9935965415114</v>
      </c>
      <c r="G173" s="288">
        <f>'6-x'!O763/41.868</f>
        <v>4.814882487818859</v>
      </c>
      <c r="H173" s="249">
        <f>'6-x'!P763/41.868</f>
        <v>11559.553600745199</v>
      </c>
      <c r="I173" s="254"/>
      <c r="J173" s="147"/>
      <c r="K173" s="147"/>
      <c r="L173" s="147"/>
      <c r="M173" s="147"/>
      <c r="N173" s="147"/>
      <c r="O173" s="147"/>
      <c r="P173" s="147"/>
    </row>
    <row r="174" spans="1:16">
      <c r="A174" s="227" t="s">
        <v>27</v>
      </c>
      <c r="B174" s="288">
        <f>'6-x'!J764/41.868</f>
        <v>1.3439571988153243</v>
      </c>
      <c r="C174" s="288">
        <f>'6-x'!K764/41.868</f>
        <v>88.280925766695319</v>
      </c>
      <c r="D174" s="288">
        <f>'6-x'!L764/41.868</f>
        <v>0</v>
      </c>
      <c r="E174" s="288">
        <f>'6-x'!M764/41.868</f>
        <v>13.845490589471671</v>
      </c>
      <c r="F174" s="288">
        <f>'6-x'!N764/41.868</f>
        <v>91.297334479793633</v>
      </c>
      <c r="G174" s="288">
        <f>'6-x'!O764/41.868</f>
        <v>1.1889748734116749E-2</v>
      </c>
      <c r="H174" s="249">
        <f>'6-x'!P764/41.868</f>
        <v>194.77959778351004</v>
      </c>
      <c r="I174" s="254"/>
      <c r="J174" s="147"/>
      <c r="K174" s="147"/>
      <c r="L174" s="147"/>
      <c r="M174" s="147"/>
      <c r="N174" s="147"/>
      <c r="O174" s="147"/>
      <c r="P174" s="147"/>
    </row>
    <row r="175" spans="1:16">
      <c r="A175" s="227" t="s">
        <v>28</v>
      </c>
      <c r="B175" s="288">
        <f>'6-x'!J765/41.868</f>
        <v>0</v>
      </c>
      <c r="C175" s="288">
        <f>'6-x'!K765/41.868</f>
        <v>140.27039266265402</v>
      </c>
      <c r="D175" s="288">
        <f>'6-x'!L765/41.868</f>
        <v>276.58447023980119</v>
      </c>
      <c r="E175" s="288">
        <f>'6-x'!M765/41.868</f>
        <v>28.794461163657203</v>
      </c>
      <c r="F175" s="288">
        <f>'6-x'!N765/41.868</f>
        <v>1059.6008407375562</v>
      </c>
      <c r="G175" s="288">
        <f>'6-x'!O765/41.868</f>
        <v>0.83359606381962359</v>
      </c>
      <c r="H175" s="249">
        <f>'6-x'!P765/41.868</f>
        <v>1506.0837608674883</v>
      </c>
      <c r="I175" s="254"/>
      <c r="J175" s="147"/>
      <c r="K175" s="147"/>
      <c r="L175" s="147"/>
      <c r="M175" s="147"/>
      <c r="N175" s="147"/>
      <c r="O175" s="147"/>
      <c r="P175" s="147"/>
    </row>
    <row r="176" spans="1:16">
      <c r="A176" s="322" t="s">
        <v>9</v>
      </c>
      <c r="B176" s="324">
        <f>'6-x'!J766/41.868</f>
        <v>8008.0722575714135</v>
      </c>
      <c r="C176" s="324">
        <f>'6-x'!K766/41.868</f>
        <v>19192.42700243623</v>
      </c>
      <c r="D176" s="324">
        <f>'6-x'!L766/41.868</f>
        <v>579.19973726951366</v>
      </c>
      <c r="E176" s="324">
        <f>'6-x'!M766/41.868</f>
        <v>801.26101318429346</v>
      </c>
      <c r="F176" s="324">
        <f>'6-x'!N766/41.868</f>
        <v>4781.1722126683871</v>
      </c>
      <c r="G176" s="324">
        <f>'6-x'!O766/41.868</f>
        <v>1615.4624247635422</v>
      </c>
      <c r="H176" s="324">
        <f>'6-x'!P766/41.868</f>
        <v>34977.594647893377</v>
      </c>
      <c r="I176" s="254"/>
      <c r="J176" s="147"/>
      <c r="K176" s="147"/>
      <c r="L176" s="147"/>
      <c r="M176" s="147"/>
      <c r="N176" s="147"/>
      <c r="O176" s="147"/>
      <c r="P176" s="147"/>
    </row>
    <row r="179" spans="1:16" ht="14.75" customHeight="1">
      <c r="A179" s="253">
        <v>2015</v>
      </c>
      <c r="B179" s="1106" t="s">
        <v>176</v>
      </c>
      <c r="C179" s="1107"/>
      <c r="D179" s="1107"/>
      <c r="E179" s="1107"/>
      <c r="F179" s="1107"/>
      <c r="G179" s="1107"/>
      <c r="H179" s="1108"/>
    </row>
    <row r="180" spans="1:16">
      <c r="A180" s="228" t="s">
        <v>262</v>
      </c>
      <c r="B180" s="249">
        <f>'6-x'!J839/41.868</f>
        <v>9793.8627116795651</v>
      </c>
      <c r="C180" s="249">
        <f>'6-x'!K839/41.868</f>
        <v>6231.9139079965598</v>
      </c>
      <c r="D180" s="249">
        <f>'6-x'!L839/41.868</f>
        <v>6.9695853635234553</v>
      </c>
      <c r="E180" s="249">
        <f>'6-x'!M839/41.868</f>
        <v>777.03730056367624</v>
      </c>
      <c r="F180" s="249">
        <f>'6-x'!N839/41.868</f>
        <v>2128.6107967899111</v>
      </c>
      <c r="G180" s="249">
        <f>'6-x'!O839/41.868</f>
        <v>750.42613929492688</v>
      </c>
      <c r="H180" s="249">
        <f>'6-x'!P839/41.868</f>
        <v>19688.820441688164</v>
      </c>
      <c r="I180" s="256"/>
      <c r="L180" s="56"/>
      <c r="O180" s="56"/>
      <c r="P180" s="56"/>
    </row>
    <row r="181" spans="1:16">
      <c r="A181" s="227" t="s">
        <v>17</v>
      </c>
      <c r="B181" s="288">
        <f>'6-x'!J840/41.868</f>
        <v>0</v>
      </c>
      <c r="C181" s="288">
        <f>'6-x'!K840/41.868</f>
        <v>52.358603229196525</v>
      </c>
      <c r="D181" s="288">
        <f>'6-x'!L840/41.868</f>
        <v>6.9695853635234553</v>
      </c>
      <c r="E181" s="288">
        <f>'6-x'!M840/41.868</f>
        <v>60.931575427534156</v>
      </c>
      <c r="F181" s="288">
        <f>'6-x'!N840/41.868</f>
        <v>272.73417884780736</v>
      </c>
      <c r="G181" s="288">
        <f>'6-x'!O840/41.868</f>
        <v>736.03073230151904</v>
      </c>
      <c r="H181" s="249">
        <f>'6-x'!P840/41.868</f>
        <v>1129.0246751695806</v>
      </c>
      <c r="I181" s="255"/>
    </row>
    <row r="182" spans="1:16">
      <c r="A182" s="227" t="s">
        <v>18</v>
      </c>
      <c r="B182" s="288">
        <f>'6-x'!J841/41.868</f>
        <v>0</v>
      </c>
      <c r="C182" s="288">
        <f>'6-x'!K841/41.868</f>
        <v>593.53445590904744</v>
      </c>
      <c r="D182" s="288">
        <f>'6-x'!L841/41.868</f>
        <v>0</v>
      </c>
      <c r="E182" s="288">
        <f>'6-x'!M841/41.868</f>
        <v>2.0116365720836917</v>
      </c>
      <c r="F182" s="288">
        <f>'6-x'!N841/41.868</f>
        <v>5.4870593293207222</v>
      </c>
      <c r="G182" s="288">
        <f>'6-x'!O841/41.868</f>
        <v>9.8895528804815136</v>
      </c>
      <c r="H182" s="249">
        <f>'6-x'!P841/41.868</f>
        <v>610.9227046909333</v>
      </c>
      <c r="I182" s="255"/>
    </row>
    <row r="183" spans="1:16">
      <c r="A183" s="227" t="s">
        <v>19</v>
      </c>
      <c r="B183" s="288">
        <f>'6-x'!J842/41.868</f>
        <v>9793.8627116795651</v>
      </c>
      <c r="C183" s="288">
        <f>'6-x'!K842/41.868</f>
        <v>136.46865147606761</v>
      </c>
      <c r="D183" s="288">
        <f>'6-x'!L842/41.868</f>
        <v>0</v>
      </c>
      <c r="E183" s="288">
        <f>'6-x'!M842/41.868</f>
        <v>712.18725518295594</v>
      </c>
      <c r="F183" s="288">
        <f>'6-x'!N842/41.868</f>
        <v>1441.5910719403842</v>
      </c>
      <c r="G183" s="288">
        <f>'6-x'!O842/41.868</f>
        <v>1.8736959014044134</v>
      </c>
      <c r="H183" s="249">
        <f>'6-x'!P842/41.868</f>
        <v>12085.98338618038</v>
      </c>
      <c r="I183" s="255"/>
    </row>
    <row r="184" spans="1:16">
      <c r="A184" s="227" t="s">
        <v>20</v>
      </c>
      <c r="B184" s="288">
        <f>'6-x'!J843/41.868</f>
        <v>0</v>
      </c>
      <c r="C184" s="288">
        <f>'6-x'!K843/41.868</f>
        <v>5448.7227285755225</v>
      </c>
      <c r="D184" s="288">
        <f>'6-x'!L843/41.868</f>
        <v>0</v>
      </c>
      <c r="E184" s="288">
        <f>'6-x'!M843/41.868</f>
        <v>1.9068333811025127</v>
      </c>
      <c r="F184" s="288">
        <f>'6-x'!N843/41.868</f>
        <v>408.79848667239895</v>
      </c>
      <c r="G184" s="288">
        <f>'6-x'!O843/41.868</f>
        <v>2.6321582115219262</v>
      </c>
      <c r="H184" s="249">
        <f>'6-x'!P843/41.868</f>
        <v>5862.0602068405451</v>
      </c>
      <c r="I184" s="255"/>
    </row>
    <row r="185" spans="1:16">
      <c r="A185" s="227" t="s">
        <v>22</v>
      </c>
      <c r="B185" s="288">
        <f>'6-x'!J844/41.868</f>
        <v>0</v>
      </c>
      <c r="C185" s="288">
        <f>'6-x'!K844/41.868</f>
        <v>0.8294688067259004</v>
      </c>
      <c r="D185" s="288">
        <f>'6-x'!L844/41.868</f>
        <v>0</v>
      </c>
      <c r="E185" s="288">
        <f>'6-x'!M844/41.868</f>
        <v>0</v>
      </c>
      <c r="F185" s="288">
        <f>'6-x'!N844/41.868</f>
        <v>0</v>
      </c>
      <c r="G185" s="288">
        <f>'6-x'!O844/41.868</f>
        <v>0</v>
      </c>
      <c r="H185" s="249">
        <f>'6-x'!P844/41.868</f>
        <v>0.8294688067259004</v>
      </c>
      <c r="I185" s="255"/>
    </row>
    <row r="186" spans="1:16">
      <c r="A186" s="228" t="s">
        <v>263</v>
      </c>
      <c r="B186" s="249">
        <f>'6-x'!J845/41.868</f>
        <v>15.193016145982613</v>
      </c>
      <c r="C186" s="249">
        <f>'6-x'!K845/41.868</f>
        <v>10652.985010031527</v>
      </c>
      <c r="D186" s="249">
        <f>'6-x'!L845/41.868</f>
        <v>454.55384303047674</v>
      </c>
      <c r="E186" s="249">
        <f>'6-x'!M845/41.868</f>
        <v>371.97418314703344</v>
      </c>
      <c r="F186" s="249">
        <f>'6-x'!N845/41.868</f>
        <v>2532.7774027897203</v>
      </c>
      <c r="G186" s="249">
        <f>'6-x'!O845/41.868</f>
        <v>861.19666332282407</v>
      </c>
      <c r="H186" s="249">
        <f>'6-x'!P845/41.868</f>
        <v>14888.680118467564</v>
      </c>
      <c r="I186" s="255"/>
    </row>
    <row r="187" spans="1:16">
      <c r="A187" s="227" t="s">
        <v>24</v>
      </c>
      <c r="B187" s="288">
        <f>'6-x'!J846/41.868</f>
        <v>0</v>
      </c>
      <c r="C187" s="288">
        <f>'6-x'!K846/41.868</f>
        <v>974.70308588898433</v>
      </c>
      <c r="D187" s="288">
        <f>'6-x'!L846/41.868</f>
        <v>23.390305245055885</v>
      </c>
      <c r="E187" s="288">
        <f>'6-x'!M846/41.868</f>
        <v>5.0877901977644022</v>
      </c>
      <c r="F187" s="288">
        <f>'6-x'!N846/41.868</f>
        <v>337.75623387790193</v>
      </c>
      <c r="G187" s="288">
        <f>'6-x'!O846/41.868</f>
        <v>854.84124390942952</v>
      </c>
      <c r="H187" s="249">
        <f>'6-x'!P846/41.868</f>
        <v>2195.7786591191361</v>
      </c>
      <c r="I187" s="255"/>
    </row>
    <row r="188" spans="1:16">
      <c r="A188" s="227" t="s">
        <v>25</v>
      </c>
      <c r="B188" s="288">
        <f>'6-x'!J847/41.868</f>
        <v>0</v>
      </c>
      <c r="C188" s="288">
        <f>'6-x'!K847/41.868</f>
        <v>606.57533199579632</v>
      </c>
      <c r="D188" s="288">
        <f>'6-x'!L847/41.868</f>
        <v>2.240852202159167E-2</v>
      </c>
      <c r="E188" s="288">
        <f>'6-x'!M847/41.868</f>
        <v>48.608436037068884</v>
      </c>
      <c r="F188" s="288">
        <f>'6-x'!N847/41.868</f>
        <v>2.6960351581159832</v>
      </c>
      <c r="G188" s="288">
        <f>'6-x'!O847/41.868</f>
        <v>0.77834623101175127</v>
      </c>
      <c r="H188" s="249">
        <f>'6-x'!P847/41.868</f>
        <v>658.68055794401448</v>
      </c>
      <c r="I188" s="255"/>
    </row>
    <row r="189" spans="1:16">
      <c r="A189" s="227" t="s">
        <v>26</v>
      </c>
      <c r="B189" s="288">
        <f>'6-x'!J848/41.868</f>
        <v>13.76506162224133</v>
      </c>
      <c r="C189" s="288">
        <f>'6-x'!K848/41.868</f>
        <v>8793.6376468902254</v>
      </c>
      <c r="D189" s="288">
        <f>'6-x'!L848/41.868</f>
        <v>176.85781026081969</v>
      </c>
      <c r="E189" s="288">
        <f>'6-x'!M848/41.868</f>
        <v>227.18009458297504</v>
      </c>
      <c r="F189" s="288">
        <f>'6-x'!N848/41.868</f>
        <v>1065.2962525078817</v>
      </c>
      <c r="G189" s="288">
        <f>'6-x'!O848/41.868</f>
        <v>5.0172470621954712</v>
      </c>
      <c r="H189" s="249">
        <f>'6-x'!P848/41.868</f>
        <v>10281.754112926337</v>
      </c>
      <c r="I189" s="255"/>
    </row>
    <row r="190" spans="1:16">
      <c r="A190" s="227" t="s">
        <v>27</v>
      </c>
      <c r="B190" s="288">
        <f>'6-x'!J849/41.868</f>
        <v>1.4279545237412821</v>
      </c>
      <c r="C190" s="288">
        <f>'6-x'!K849/41.868</f>
        <v>90.499627400401238</v>
      </c>
      <c r="D190" s="288">
        <f>'6-x'!L849/41.868</f>
        <v>0</v>
      </c>
      <c r="E190" s="288">
        <f>'6-x'!M849/41.868</f>
        <v>19.816208082545138</v>
      </c>
      <c r="F190" s="288">
        <f>'6-x'!N849/41.868</f>
        <v>84.877500716537696</v>
      </c>
      <c r="G190" s="288">
        <f>'6-x'!O849/41.868</f>
        <v>6.8042419031241044E-2</v>
      </c>
      <c r="H190" s="249">
        <f>'6-x'!P849/41.868</f>
        <v>196.6893331422566</v>
      </c>
      <c r="I190" s="255"/>
    </row>
    <row r="191" spans="1:16">
      <c r="A191" s="227" t="s">
        <v>28</v>
      </c>
      <c r="B191" s="288">
        <f>'6-x'!J850/41.868</f>
        <v>0</v>
      </c>
      <c r="C191" s="288">
        <f>'6-x'!K850/41.868</f>
        <v>187.5693178561192</v>
      </c>
      <c r="D191" s="288">
        <f>'6-x'!L850/41.868</f>
        <v>254.28331900257953</v>
      </c>
      <c r="E191" s="288">
        <f>'6-x'!M850/41.868</f>
        <v>71.281654246680034</v>
      </c>
      <c r="F191" s="288">
        <f>'6-x'!N850/41.868</f>
        <v>1042.1513805292825</v>
      </c>
      <c r="G191" s="288">
        <f>'6-x'!O850/41.868</f>
        <v>0.49178370115601411</v>
      </c>
      <c r="H191" s="249">
        <f>'6-x'!P850/41.868</f>
        <v>1555.7774553358172</v>
      </c>
      <c r="I191" s="255"/>
    </row>
    <row r="192" spans="1:16">
      <c r="A192" s="322" t="s">
        <v>9</v>
      </c>
      <c r="B192" s="324">
        <f>'6-x'!J851/41.868</f>
        <v>9809.0557278255474</v>
      </c>
      <c r="C192" s="324">
        <f>'6-x'!K851/41.868</f>
        <v>16884.898918028088</v>
      </c>
      <c r="D192" s="324">
        <f>'6-x'!L851/41.868</f>
        <v>461.52342839400018</v>
      </c>
      <c r="E192" s="324">
        <f>'6-x'!M851/41.868</f>
        <v>1149.0114837107099</v>
      </c>
      <c r="F192" s="324">
        <f>'6-x'!N851/41.868</f>
        <v>4661.388199579631</v>
      </c>
      <c r="G192" s="324">
        <f>'6-x'!O851/41.868</f>
        <v>1611.6228026177509</v>
      </c>
      <c r="H192" s="324">
        <f>'6-x'!P851/41.868</f>
        <v>34577.500560155728</v>
      </c>
      <c r="I192" s="255"/>
    </row>
    <row r="195" spans="1:9" ht="14.75" customHeight="1">
      <c r="A195" s="253">
        <v>2010</v>
      </c>
      <c r="B195" s="1106" t="s">
        <v>176</v>
      </c>
      <c r="C195" s="1107"/>
      <c r="D195" s="1107"/>
      <c r="E195" s="1107"/>
      <c r="F195" s="1107"/>
      <c r="G195" s="1107"/>
      <c r="H195" s="1108"/>
    </row>
    <row r="196" spans="1:9">
      <c r="A196" s="228" t="s">
        <v>262</v>
      </c>
      <c r="B196" s="249">
        <f>'6-x'!J923/41.868</f>
        <v>8985.8021016050443</v>
      </c>
      <c r="C196" s="249">
        <f>'6-x'!K923/41.868</f>
        <v>11131.64924942677</v>
      </c>
      <c r="D196" s="249">
        <f>'6-x'!L923/41.868</f>
        <v>223.65903502913915</v>
      </c>
      <c r="E196" s="249">
        <f>'6-x'!M923/41.868</f>
        <v>1248.4092392906277</v>
      </c>
      <c r="F196" s="249">
        <f>'6-x'!N923/41.868</f>
        <v>1799.7397741697719</v>
      </c>
      <c r="G196" s="249">
        <f>'6-x'!O923/41.868</f>
        <v>374.87330359701917</v>
      </c>
      <c r="H196" s="249">
        <f>'6-x'!P923/41.868</f>
        <v>23764.132703118368</v>
      </c>
      <c r="I196" s="254"/>
    </row>
    <row r="197" spans="1:9">
      <c r="A197" s="227" t="s">
        <v>17</v>
      </c>
      <c r="B197" s="288">
        <f>'6-x'!J924/41.868</f>
        <v>0</v>
      </c>
      <c r="C197" s="288">
        <f>'6-x'!K924/41.868</f>
        <v>36.734924047004867</v>
      </c>
      <c r="D197" s="288">
        <f>'6-x'!L924/41.868</f>
        <v>6.797699999999999</v>
      </c>
      <c r="E197" s="288">
        <f>'6-x'!M924/41.868</f>
        <v>63.036449999999995</v>
      </c>
      <c r="F197" s="288">
        <f>'6-x'!N924/41.868</f>
        <v>227.0292622050253</v>
      </c>
      <c r="G197" s="288">
        <f>'6-x'!O924/41.868</f>
        <v>371.6597753654342</v>
      </c>
      <c r="H197" s="249">
        <f>'6-x'!P924/41.868</f>
        <v>705.25811161746435</v>
      </c>
      <c r="I197" s="254"/>
    </row>
    <row r="198" spans="1:9">
      <c r="A198" s="227" t="s">
        <v>18</v>
      </c>
      <c r="B198" s="288">
        <f>'6-x'!J925/41.868</f>
        <v>0</v>
      </c>
      <c r="C198" s="288">
        <f>'6-x'!K925/41.868</f>
        <v>86.401492786853922</v>
      </c>
      <c r="D198" s="288">
        <f>'6-x'!L925/41.868</f>
        <v>0</v>
      </c>
      <c r="E198" s="288">
        <f>'6-x'!M925/41.868</f>
        <v>13.765149999999998</v>
      </c>
      <c r="F198" s="288">
        <f>'6-x'!N925/41.868</f>
        <v>8.7924851676698204</v>
      </c>
      <c r="G198" s="288">
        <f>'6-x'!O925/41.868</f>
        <v>3.2135282315849807</v>
      </c>
      <c r="H198" s="249">
        <f>'6-x'!P925/41.868</f>
        <v>112.17265618610872</v>
      </c>
      <c r="I198" s="254"/>
    </row>
    <row r="199" spans="1:9">
      <c r="A199" s="227" t="s">
        <v>19</v>
      </c>
      <c r="B199" s="288">
        <f>'6-x'!J926/41.868</f>
        <v>8985.8021016050443</v>
      </c>
      <c r="C199" s="288">
        <f>'6-x'!K926/41.868</f>
        <v>838.95583799082829</v>
      </c>
      <c r="D199" s="288">
        <f>'6-x'!L926/41.868</f>
        <v>196.86164552880479</v>
      </c>
      <c r="E199" s="288">
        <f>'6-x'!M926/41.868</f>
        <v>1132.4247742906277</v>
      </c>
      <c r="F199" s="288">
        <f>'6-x'!N926/41.868</f>
        <v>1351.2330717970765</v>
      </c>
      <c r="G199" s="288">
        <f>'6-x'!O926/41.868</f>
        <v>0</v>
      </c>
      <c r="H199" s="249">
        <f>'6-x'!P926/41.868</f>
        <v>12505.27743121238</v>
      </c>
      <c r="I199" s="254"/>
    </row>
    <row r="200" spans="1:9">
      <c r="A200" s="227" t="s">
        <v>20</v>
      </c>
      <c r="B200" s="288">
        <f>'6-x'!J927/41.868</f>
        <v>0</v>
      </c>
      <c r="C200" s="288">
        <f>'6-x'!K927/41.868</f>
        <v>9986.6293529664654</v>
      </c>
      <c r="D200" s="288">
        <f>'6-x'!L927/41.868</f>
        <v>19.999689500334384</v>
      </c>
      <c r="E200" s="288">
        <f>'6-x'!M927/41.868</f>
        <v>1.4935799999999999</v>
      </c>
      <c r="F200" s="288">
        <f>'6-x'!N927/41.868</f>
        <v>212.68495499999997</v>
      </c>
      <c r="G200" s="288">
        <f>'6-x'!O927/41.868</f>
        <v>0</v>
      </c>
      <c r="H200" s="249">
        <f>'6-x'!P927/41.868</f>
        <v>10220.8075774668</v>
      </c>
      <c r="I200" s="254"/>
    </row>
    <row r="201" spans="1:9">
      <c r="A201" s="227" t="s">
        <v>22</v>
      </c>
      <c r="B201" s="288">
        <f>'6-x'!J928/41.868</f>
        <v>0</v>
      </c>
      <c r="C201" s="288">
        <f>'6-x'!K928/41.868</f>
        <v>182.92764163561668</v>
      </c>
      <c r="D201" s="288">
        <f>'6-x'!L928/41.868</f>
        <v>0</v>
      </c>
      <c r="E201" s="288">
        <f>'6-x'!M928/41.868</f>
        <v>37.689284999999991</v>
      </c>
      <c r="F201" s="288">
        <f>'6-x'!N928/41.868</f>
        <v>0</v>
      </c>
      <c r="G201" s="288">
        <f>'6-x'!O928/41.868</f>
        <v>0</v>
      </c>
      <c r="H201" s="249">
        <f>'6-x'!P928/41.868</f>
        <v>220.61692663561666</v>
      </c>
      <c r="I201" s="254"/>
    </row>
    <row r="202" spans="1:9">
      <c r="A202" s="228" t="s">
        <v>263</v>
      </c>
      <c r="B202" s="249">
        <f>'6-x'!J929/41.868</f>
        <v>19.20025772523168</v>
      </c>
      <c r="C202" s="249">
        <f>'6-x'!K929/41.868</f>
        <v>13486.001305334861</v>
      </c>
      <c r="D202" s="249">
        <f>'6-x'!L929/41.868</f>
        <v>799.62275999999997</v>
      </c>
      <c r="E202" s="249">
        <f>'6-x'!M929/41.868</f>
        <v>903.21907999999985</v>
      </c>
      <c r="F202" s="249">
        <f>'6-x'!N929/41.868</f>
        <v>3248.9232000000002</v>
      </c>
      <c r="G202" s="249">
        <f>'6-x'!O929/41.868</f>
        <v>120.79989000000002</v>
      </c>
      <c r="H202" s="249">
        <f>'6-x'!P929/41.868</f>
        <v>18577.766493060095</v>
      </c>
      <c r="I202" s="254"/>
    </row>
    <row r="203" spans="1:9">
      <c r="A203" s="227" t="s">
        <v>24</v>
      </c>
      <c r="B203" s="288">
        <f>'6-x'!J930/41.868</f>
        <v>0</v>
      </c>
      <c r="C203" s="288">
        <f>'6-x'!K930/41.868</f>
        <v>605.49916999999994</v>
      </c>
      <c r="D203" s="288">
        <f>'6-x'!L930/41.868</f>
        <v>32.249199999999995</v>
      </c>
      <c r="E203" s="288">
        <f>'6-x'!M930/41.868</f>
        <v>10.395259999999997</v>
      </c>
      <c r="F203" s="288">
        <f>'6-x'!N930/41.868</f>
        <v>166.78309999999999</v>
      </c>
      <c r="G203" s="288">
        <f>'6-x'!O930/41.868</f>
        <v>93.555660000000003</v>
      </c>
      <c r="H203" s="249">
        <f>'6-x'!P930/41.868</f>
        <v>908.48239000000001</v>
      </c>
      <c r="I203" s="254"/>
    </row>
    <row r="204" spans="1:9">
      <c r="A204" s="227" t="s">
        <v>25</v>
      </c>
      <c r="B204" s="288">
        <f>'6-x'!J931/41.868</f>
        <v>0</v>
      </c>
      <c r="C204" s="288">
        <f>'6-x'!K931/41.868</f>
        <v>483.06503999999995</v>
      </c>
      <c r="D204" s="288">
        <f>'6-x'!L931/41.868</f>
        <v>3.4919999999999993E-2</v>
      </c>
      <c r="E204" s="288">
        <f>'6-x'!M931/41.868</f>
        <v>82.862959999999987</v>
      </c>
      <c r="F204" s="288">
        <f>'6-x'!N931/41.868</f>
        <v>0</v>
      </c>
      <c r="G204" s="288">
        <f>'6-x'!O931/41.868</f>
        <v>0.20110999999999998</v>
      </c>
      <c r="H204" s="249">
        <f>'6-x'!P931/41.868</f>
        <v>566.16403000000003</v>
      </c>
      <c r="I204" s="254"/>
    </row>
    <row r="205" spans="1:9">
      <c r="A205" s="227" t="s">
        <v>26</v>
      </c>
      <c r="B205" s="288">
        <f>'6-x'!J932/41.868</f>
        <v>17.28142772523168</v>
      </c>
      <c r="C205" s="288">
        <f>'6-x'!K932/41.868</f>
        <v>12024.673735334862</v>
      </c>
      <c r="D205" s="288">
        <f>'6-x'!L932/41.868</f>
        <v>735.76416999999992</v>
      </c>
      <c r="E205" s="288">
        <f>'6-x'!M932/41.868</f>
        <v>286.95024000000001</v>
      </c>
      <c r="F205" s="288">
        <f>'6-x'!N932/41.868</f>
        <v>1932.3767400000002</v>
      </c>
      <c r="G205" s="288">
        <f>'6-x'!O932/41.868</f>
        <v>0.40303999999999995</v>
      </c>
      <c r="H205" s="249">
        <f>'6-x'!P932/41.868</f>
        <v>14997.44935306009</v>
      </c>
      <c r="I205" s="254"/>
    </row>
    <row r="206" spans="1:9">
      <c r="A206" s="227" t="s">
        <v>27</v>
      </c>
      <c r="B206" s="288">
        <f>'6-x'!J933/41.868</f>
        <v>1.9188299999999998</v>
      </c>
      <c r="C206" s="288">
        <f>'6-x'!K933/41.868</f>
        <v>219.29199999999997</v>
      </c>
      <c r="D206" s="288">
        <f>'6-x'!L933/41.868</f>
        <v>0</v>
      </c>
      <c r="E206" s="288">
        <f>'6-x'!M933/41.868</f>
        <v>99.165039999999991</v>
      </c>
      <c r="F206" s="288">
        <f>'6-x'!N933/41.868</f>
        <v>101.38365999999999</v>
      </c>
      <c r="G206" s="288">
        <f>'6-x'!O933/41.868</f>
        <v>2.1049999999999995</v>
      </c>
      <c r="H206" s="249">
        <f>'6-x'!P933/41.868</f>
        <v>423.86453</v>
      </c>
      <c r="I206" s="254"/>
    </row>
    <row r="207" spans="1:9">
      <c r="A207" s="227" t="s">
        <v>28</v>
      </c>
      <c r="B207" s="288">
        <f>'6-x'!J934/41.868</f>
        <v>0</v>
      </c>
      <c r="C207" s="288">
        <f>'6-x'!K934/41.868</f>
        <v>153.47136</v>
      </c>
      <c r="D207" s="288">
        <f>'6-x'!L934/41.868</f>
        <v>31.574469999999998</v>
      </c>
      <c r="E207" s="288">
        <f>'6-x'!M934/41.868</f>
        <v>423.84557999999993</v>
      </c>
      <c r="F207" s="288">
        <f>'6-x'!N934/41.868</f>
        <v>1048.3797</v>
      </c>
      <c r="G207" s="288">
        <f>'6-x'!O934/41.868</f>
        <v>24.535080000000001</v>
      </c>
      <c r="H207" s="249">
        <f>'6-x'!P934/41.868</f>
        <v>1681.8061899999998</v>
      </c>
      <c r="I207" s="254"/>
    </row>
    <row r="208" spans="1:9">
      <c r="A208" s="322" t="s">
        <v>9</v>
      </c>
      <c r="B208" s="324">
        <f>'6-x'!J935/41.868</f>
        <v>9005.002359330274</v>
      </c>
      <c r="C208" s="324">
        <f>'6-x'!K935/41.868</f>
        <v>24617.650554761633</v>
      </c>
      <c r="D208" s="324">
        <f>'6-x'!L935/41.868</f>
        <v>1023.2817950291392</v>
      </c>
      <c r="E208" s="324">
        <f>'6-x'!M935/41.868</f>
        <v>2151.6283192906276</v>
      </c>
      <c r="F208" s="324">
        <f>'6-x'!N935/41.868</f>
        <v>5048.6629741697725</v>
      </c>
      <c r="G208" s="324">
        <f>'6-x'!O935/41.868</f>
        <v>495.67319359701918</v>
      </c>
      <c r="H208" s="324">
        <f>'6-x'!P935/41.868</f>
        <v>42341.899196178463</v>
      </c>
      <c r="I208" s="254"/>
    </row>
    <row r="211" spans="1:8" ht="14.75" customHeight="1">
      <c r="A211" s="253">
        <v>2005</v>
      </c>
      <c r="B211" s="1106" t="s">
        <v>176</v>
      </c>
      <c r="C211" s="1107"/>
      <c r="D211" s="1107"/>
      <c r="E211" s="1107"/>
      <c r="F211" s="1107"/>
      <c r="G211" s="1107"/>
      <c r="H211" s="1108"/>
    </row>
    <row r="212" spans="1:8">
      <c r="A212" s="228" t="s">
        <v>262</v>
      </c>
      <c r="B212" s="249">
        <f>'6-x'!J1006/41.868</f>
        <v>10069.62572</v>
      </c>
      <c r="C212" s="249">
        <f>'6-x'!K1006/41.868</f>
        <v>14203.190889999996</v>
      </c>
      <c r="D212" s="249">
        <f>'6-x'!L1006/41.868</f>
        <v>500.02253000000002</v>
      </c>
      <c r="E212" s="249">
        <f>'6-x'!M1006/41.868</f>
        <v>6329.062899999999</v>
      </c>
      <c r="F212" s="249">
        <f>'6-x'!N1006/41.868</f>
        <v>885.00139999999965</v>
      </c>
      <c r="G212" s="249">
        <f>'6-x'!O1006/41.868</f>
        <v>269.78611999999998</v>
      </c>
      <c r="H212" s="249">
        <f>'6-x'!P1006/41.868</f>
        <v>32256.689559999992</v>
      </c>
    </row>
    <row r="213" spans="1:8">
      <c r="A213" s="227" t="s">
        <v>17</v>
      </c>
      <c r="B213" s="288">
        <f>'6-x'!J1007/41.868</f>
        <v>0</v>
      </c>
      <c r="C213" s="288">
        <f>'6-x'!K1007/41.868</f>
        <v>60.510399999999983</v>
      </c>
      <c r="D213" s="288">
        <f>'6-x'!L1007/41.868</f>
        <v>5.0952399999999995</v>
      </c>
      <c r="E213" s="288">
        <f>'6-x'!M1007/41.868</f>
        <v>63.587429999999991</v>
      </c>
      <c r="F213" s="288">
        <f>'6-x'!N1007/41.868</f>
        <v>27.752129999999998</v>
      </c>
      <c r="G213" s="288">
        <f>'6-x'!O1007/41.868</f>
        <v>258.36863999999997</v>
      </c>
      <c r="H213" s="249">
        <f>'6-x'!P1007/41.868</f>
        <v>415.31383999999991</v>
      </c>
    </row>
    <row r="214" spans="1:8">
      <c r="A214" s="227" t="s">
        <v>18</v>
      </c>
      <c r="B214" s="288">
        <f>'6-x'!J1008/41.868</f>
        <v>0</v>
      </c>
      <c r="C214" s="288">
        <f>'6-x'!K1008/41.868</f>
        <v>212.39711999999997</v>
      </c>
      <c r="D214" s="288">
        <f>'6-x'!L1008/41.868</f>
        <v>0</v>
      </c>
      <c r="E214" s="288">
        <f>'6-x'!M1008/41.868</f>
        <v>35.541569999999993</v>
      </c>
      <c r="F214" s="288">
        <f>'6-x'!N1008/41.868</f>
        <v>0</v>
      </c>
      <c r="G214" s="288">
        <f>'6-x'!O1008/41.868</f>
        <v>11.417479999999999</v>
      </c>
      <c r="H214" s="249">
        <f>'6-x'!P1008/41.868</f>
        <v>259.35616999999996</v>
      </c>
    </row>
    <row r="215" spans="1:8">
      <c r="A215" s="227" t="s">
        <v>19</v>
      </c>
      <c r="B215" s="288">
        <f>'6-x'!J1009/41.868</f>
        <v>10069.62572</v>
      </c>
      <c r="C215" s="288">
        <f>'6-x'!K1009/41.868</f>
        <v>1342.2576799999997</v>
      </c>
      <c r="D215" s="288">
        <f>'6-x'!L1009/41.868</f>
        <v>494.92729000000003</v>
      </c>
      <c r="E215" s="288">
        <f>'6-x'!M1009/41.868</f>
        <v>5810.7659999999987</v>
      </c>
      <c r="F215" s="288">
        <f>'6-x'!N1009/41.868</f>
        <v>849.53274999999985</v>
      </c>
      <c r="G215" s="288">
        <f>'6-x'!O1009/41.868</f>
        <v>0</v>
      </c>
      <c r="H215" s="249">
        <f>'6-x'!P1009/41.868</f>
        <v>18567.109439999997</v>
      </c>
    </row>
    <row r="216" spans="1:8">
      <c r="A216" s="227" t="s">
        <v>20</v>
      </c>
      <c r="B216" s="288">
        <f>'6-x'!J1010/41.868</f>
        <v>0</v>
      </c>
      <c r="C216" s="288">
        <f>'6-x'!K1010/41.868</f>
        <v>9218.2352499999979</v>
      </c>
      <c r="D216" s="288">
        <f>'6-x'!L1010/41.868</f>
        <v>0</v>
      </c>
      <c r="E216" s="288">
        <f>'6-x'!M1010/41.868</f>
        <v>1.12158</v>
      </c>
      <c r="F216" s="288">
        <f>'6-x'!N1010/41.868</f>
        <v>7.7165199999999983</v>
      </c>
      <c r="G216" s="288">
        <f>'6-x'!O1010/41.868</f>
        <v>0</v>
      </c>
      <c r="H216" s="249">
        <f>'6-x'!P1010/41.868</f>
        <v>9227.0733499999988</v>
      </c>
    </row>
    <row r="217" spans="1:8">
      <c r="A217" s="227" t="s">
        <v>22</v>
      </c>
      <c r="B217" s="288">
        <f>'6-x'!J1011/41.868</f>
        <v>0</v>
      </c>
      <c r="C217" s="288">
        <f>'6-x'!K1011/41.868</f>
        <v>3369.7904399999989</v>
      </c>
      <c r="D217" s="288">
        <f>'6-x'!L1011/41.868</f>
        <v>0</v>
      </c>
      <c r="E217" s="288">
        <f>'6-x'!M1011/41.868</f>
        <v>418.04631999999998</v>
      </c>
      <c r="F217" s="288">
        <f>'6-x'!N1011/41.868</f>
        <v>0</v>
      </c>
      <c r="G217" s="288">
        <f>'6-x'!O1011/41.868</f>
        <v>0</v>
      </c>
      <c r="H217" s="249">
        <f>'6-x'!P1011/41.868</f>
        <v>3787.8367599999988</v>
      </c>
    </row>
    <row r="218" spans="1:8">
      <c r="A218" s="228" t="s">
        <v>263</v>
      </c>
      <c r="B218" s="249">
        <f>'6-x'!J1012/41.868</f>
        <v>90.736099999999979</v>
      </c>
      <c r="C218" s="249">
        <f>'6-x'!K1012/41.868</f>
        <v>11079.769387999999</v>
      </c>
      <c r="D218" s="249">
        <f>'6-x'!L1012/41.868</f>
        <v>775.52392199999997</v>
      </c>
      <c r="E218" s="249">
        <f>'6-x'!M1012/41.868</f>
        <v>1551.730832</v>
      </c>
      <c r="F218" s="249">
        <f>'6-x'!N1012/41.868</f>
        <v>2540.7890040000002</v>
      </c>
      <c r="G218" s="249">
        <f>'6-x'!O1012/41.868</f>
        <v>44.151040000000002</v>
      </c>
      <c r="H218" s="249">
        <f>'6-x'!P1012/41.868</f>
        <v>16082.700285999998</v>
      </c>
    </row>
    <row r="219" spans="1:8">
      <c r="A219" s="227" t="s">
        <v>24</v>
      </c>
      <c r="B219" s="288">
        <f>'6-x'!J1013/41.868</f>
        <v>0</v>
      </c>
      <c r="C219" s="288">
        <f>'6-x'!K1013/41.868</f>
        <v>267.08670000000001</v>
      </c>
      <c r="D219" s="288">
        <f>'6-x'!L1013/41.868</f>
        <v>34.431319999999999</v>
      </c>
      <c r="E219" s="288">
        <f>'6-x'!M1013/41.868</f>
        <v>16.034199999999998</v>
      </c>
      <c r="F219" s="288">
        <f>'6-x'!N1013/41.868</f>
        <v>28.162979999999997</v>
      </c>
      <c r="G219" s="288">
        <f>'6-x'!O1013/41.868</f>
        <v>22.8825</v>
      </c>
      <c r="H219" s="249">
        <f>'6-x'!P1013/41.868</f>
        <v>368.59769999999997</v>
      </c>
    </row>
    <row r="220" spans="1:8">
      <c r="A220" s="227" t="s">
        <v>25</v>
      </c>
      <c r="B220" s="288">
        <f>'6-x'!J1014/41.868</f>
        <v>0</v>
      </c>
      <c r="C220" s="288">
        <f>'6-x'!K1014/41.868</f>
        <v>874.77852800000005</v>
      </c>
      <c r="D220" s="288">
        <f>'6-x'!L1014/41.868</f>
        <v>0</v>
      </c>
      <c r="E220" s="288">
        <f>'6-x'!M1014/41.868</f>
        <v>85.352879999999999</v>
      </c>
      <c r="F220" s="288">
        <f>'6-x'!N1014/41.868</f>
        <v>3.9249000000000001</v>
      </c>
      <c r="G220" s="288">
        <f>'6-x'!O1014/41.868</f>
        <v>0.16559999999999997</v>
      </c>
      <c r="H220" s="249">
        <f>'6-x'!P1014/41.868</f>
        <v>964.22190800000021</v>
      </c>
    </row>
    <row r="221" spans="1:8">
      <c r="A221" s="227" t="s">
        <v>26</v>
      </c>
      <c r="B221" s="288">
        <f>'6-x'!J1015/41.868</f>
        <v>0</v>
      </c>
      <c r="C221" s="288">
        <f>'6-x'!K1015/41.868</f>
        <v>9426.6653559999977</v>
      </c>
      <c r="D221" s="288">
        <f>'6-x'!L1015/41.868</f>
        <v>652.45016199999998</v>
      </c>
      <c r="E221" s="288">
        <f>'6-x'!M1015/41.868</f>
        <v>364.57499999999999</v>
      </c>
      <c r="F221" s="288">
        <f>'6-x'!N1015/41.868</f>
        <v>1554.2786920000001</v>
      </c>
      <c r="G221" s="288">
        <f>'6-x'!O1015/41.868</f>
        <v>0.18401999999999999</v>
      </c>
      <c r="H221" s="249">
        <f>'6-x'!P1015/41.868</f>
        <v>11998.153229999998</v>
      </c>
    </row>
    <row r="222" spans="1:8">
      <c r="A222" s="227" t="s">
        <v>27</v>
      </c>
      <c r="B222" s="288">
        <f>'6-x'!J1016/41.868</f>
        <v>90.736099999999979</v>
      </c>
      <c r="C222" s="288">
        <f>'6-x'!K1016/41.868</f>
        <v>285.00331999999997</v>
      </c>
      <c r="D222" s="288">
        <f>'6-x'!L1016/41.868</f>
        <v>2.32992</v>
      </c>
      <c r="E222" s="288">
        <f>'6-x'!M1016/41.868</f>
        <v>159.82050800000002</v>
      </c>
      <c r="F222" s="288">
        <f>'6-x'!N1016/41.868</f>
        <v>270.691056</v>
      </c>
      <c r="G222" s="288">
        <f>'6-x'!O1016/41.868</f>
        <v>4.4629200000000004</v>
      </c>
      <c r="H222" s="249">
        <f>'6-x'!P1016/41.868</f>
        <v>813.04382400000009</v>
      </c>
    </row>
    <row r="223" spans="1:8">
      <c r="A223" s="227" t="s">
        <v>28</v>
      </c>
      <c r="B223" s="288">
        <f>'6-x'!J1017/41.868</f>
        <v>0</v>
      </c>
      <c r="C223" s="288">
        <f>'6-x'!K1017/41.868</f>
        <v>226.23548399999999</v>
      </c>
      <c r="D223" s="288">
        <f>'6-x'!L1017/41.868</f>
        <v>86.312520000000006</v>
      </c>
      <c r="E223" s="288">
        <f>'6-x'!M1017/41.868</f>
        <v>925.94824399999982</v>
      </c>
      <c r="F223" s="288">
        <f>'6-x'!N1017/41.868</f>
        <v>683.73137599999984</v>
      </c>
      <c r="G223" s="288">
        <f>'6-x'!O1017/41.868</f>
        <v>16.455999999999996</v>
      </c>
      <c r="H223" s="249">
        <f>'6-x'!P1017/41.868</f>
        <v>1938.6836239999998</v>
      </c>
    </row>
    <row r="224" spans="1:8">
      <c r="A224" s="322" t="s">
        <v>9</v>
      </c>
      <c r="B224" s="324">
        <f>'6-x'!J1018/41.868</f>
        <v>10160.36182</v>
      </c>
      <c r="C224" s="324">
        <f>'6-x'!K1018/41.868</f>
        <v>25282.960277999995</v>
      </c>
      <c r="D224" s="324">
        <f>'6-x'!L1018/41.868</f>
        <v>1275.546452</v>
      </c>
      <c r="E224" s="324">
        <f>'6-x'!M1018/41.868</f>
        <v>7880.7937319999983</v>
      </c>
      <c r="F224" s="324">
        <f>'6-x'!N1018/41.868</f>
        <v>3425.7904039999999</v>
      </c>
      <c r="G224" s="324">
        <f>'6-x'!O1018/41.868</f>
        <v>313.93716000000001</v>
      </c>
      <c r="H224" s="324">
        <f>'6-x'!P1018/41.868</f>
        <v>48339.389845999984</v>
      </c>
    </row>
  </sheetData>
  <sheetProtection algorithmName="SHA-512" hashValue="lZfwHnOYYZ0wKkSlwvfJj0QORNJfwQP4jBDwuZfBvyUFL2mqTIIOg0tdrzHJAaPcBI5lDKkh1GXVPKRLfM4R7Q==" saltValue="iBpQ8WwK6NufvRR6ibHvGQ==" spinCount="100000" sheet="1" objects="1" scenarios="1"/>
  <mergeCells count="22">
    <mergeCell ref="B83:H83"/>
    <mergeCell ref="B85:H85"/>
    <mergeCell ref="B143:H143"/>
    <mergeCell ref="B145:H145"/>
    <mergeCell ref="B123:H123"/>
    <mergeCell ref="B125:H125"/>
    <mergeCell ref="B103:H103"/>
    <mergeCell ref="B105:H105"/>
    <mergeCell ref="B195:H195"/>
    <mergeCell ref="B211:H211"/>
    <mergeCell ref="B161:H161"/>
    <mergeCell ref="B163:H163"/>
    <mergeCell ref="B179:H179"/>
    <mergeCell ref="B63:H63"/>
    <mergeCell ref="B65:H65"/>
    <mergeCell ref="B43:H43"/>
    <mergeCell ref="B45:H45"/>
    <mergeCell ref="A2:H2"/>
    <mergeCell ref="B23:H23"/>
    <mergeCell ref="B25:H25"/>
    <mergeCell ref="B3:H3"/>
    <mergeCell ref="B5:H5"/>
  </mergeCells>
  <hyperlinks>
    <hyperlink ref="A1" location="Indice!A1" display="Torna indietro" xr:uid="{5C10C787-BB3F-46DA-A90A-AC711B0B5647}"/>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7"/>
  <dimension ref="A1:P133"/>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3.65" customHeight="1">
      <c r="A2" s="1103" t="s">
        <v>256</v>
      </c>
      <c r="B2" s="1103"/>
      <c r="C2" s="1103"/>
      <c r="D2" s="1103"/>
      <c r="E2" s="1103"/>
      <c r="F2" s="1103"/>
      <c r="G2" s="1103"/>
      <c r="H2" s="1103"/>
    </row>
    <row r="3" spans="1:8">
      <c r="B3" s="1104" t="s">
        <v>10</v>
      </c>
      <c r="C3" s="1104"/>
      <c r="D3" s="1104"/>
      <c r="E3" s="1104"/>
      <c r="F3" s="1104"/>
      <c r="G3" s="1104"/>
      <c r="H3" s="1104"/>
    </row>
    <row r="4" spans="1:8" ht="29">
      <c r="B4" s="251" t="s">
        <v>5</v>
      </c>
      <c r="C4" s="251" t="s">
        <v>63</v>
      </c>
      <c r="D4" s="251" t="s">
        <v>7</v>
      </c>
      <c r="E4" s="251" t="s">
        <v>8</v>
      </c>
      <c r="F4" s="251" t="s">
        <v>243</v>
      </c>
      <c r="G4" s="251" t="s">
        <v>244</v>
      </c>
      <c r="H4" s="251" t="s">
        <v>9</v>
      </c>
    </row>
    <row r="5" spans="1:8">
      <c r="A5" s="253">
        <v>2024</v>
      </c>
      <c r="B5" s="1106" t="s">
        <v>176</v>
      </c>
      <c r="C5" s="1107"/>
      <c r="D5" s="1107"/>
      <c r="E5" s="1107"/>
      <c r="F5" s="1107"/>
      <c r="G5" s="1107"/>
      <c r="H5" s="1108"/>
    </row>
    <row r="6" spans="1:8">
      <c r="A6" s="228" t="s">
        <v>263</v>
      </c>
      <c r="B6" s="249">
        <f>'6-x'!J57</f>
        <v>0</v>
      </c>
      <c r="C6" s="249">
        <f>'6-x'!K57</f>
        <v>13620</v>
      </c>
      <c r="D6" s="249">
        <f>'6-x'!L57</f>
        <v>210.9</v>
      </c>
      <c r="E6" s="249">
        <f>'6-x'!M57</f>
        <v>723.19999999999993</v>
      </c>
      <c r="F6" s="249">
        <f>'6-x'!N57</f>
        <v>3231.8</v>
      </c>
      <c r="G6" s="249">
        <f>'6-x'!O57</f>
        <v>1263.3000000000002</v>
      </c>
      <c r="H6" s="249">
        <f>'6-x'!P57</f>
        <v>19049.2</v>
      </c>
    </row>
    <row r="7" spans="1:8">
      <c r="A7" s="227" t="s">
        <v>24</v>
      </c>
      <c r="B7" s="288">
        <f>'6-x'!J58</f>
        <v>0</v>
      </c>
      <c r="C7" s="288">
        <f>'6-x'!K58</f>
        <v>2739.4</v>
      </c>
      <c r="D7" s="288">
        <f>'6-x'!L58</f>
        <v>31.8</v>
      </c>
      <c r="E7" s="288">
        <f>'6-x'!M58</f>
        <v>6.6</v>
      </c>
      <c r="F7" s="288">
        <f>'6-x'!N58</f>
        <v>403.4</v>
      </c>
      <c r="G7" s="288">
        <f>'6-x'!O58</f>
        <v>1252.9000000000001</v>
      </c>
      <c r="H7" s="249">
        <f>'6-x'!P58</f>
        <v>4434.1000000000004</v>
      </c>
    </row>
    <row r="8" spans="1:8">
      <c r="A8" s="227" t="s">
        <v>25</v>
      </c>
      <c r="B8" s="288">
        <f>'6-x'!J59</f>
        <v>0</v>
      </c>
      <c r="C8" s="288">
        <f>'6-x'!K59</f>
        <v>1419.2</v>
      </c>
      <c r="D8" s="288">
        <f>'6-x'!L59</f>
        <v>0</v>
      </c>
      <c r="E8" s="288">
        <f>'6-x'!M59</f>
        <v>81.7</v>
      </c>
      <c r="F8" s="288">
        <f>'6-x'!N59</f>
        <v>9.6999999999999993</v>
      </c>
      <c r="G8" s="288">
        <f>'6-x'!O59</f>
        <v>2.4</v>
      </c>
      <c r="H8" s="249">
        <f>'6-x'!P59</f>
        <v>1513.0000000000002</v>
      </c>
    </row>
    <row r="9" spans="1:8">
      <c r="A9" s="227" t="s">
        <v>26</v>
      </c>
      <c r="B9" s="288">
        <f>'6-x'!J60</f>
        <v>0</v>
      </c>
      <c r="C9" s="288">
        <f>'6-x'!K60</f>
        <v>9032.4</v>
      </c>
      <c r="D9" s="288">
        <f>'6-x'!L60</f>
        <v>54.9</v>
      </c>
      <c r="E9" s="288">
        <f>'6-x'!M60</f>
        <v>431.6</v>
      </c>
      <c r="F9" s="288">
        <f>'6-x'!N60</f>
        <v>1033.2</v>
      </c>
      <c r="G9" s="288">
        <f>'6-x'!O60</f>
        <v>7.4</v>
      </c>
      <c r="H9" s="249">
        <f>'6-x'!P60</f>
        <v>10559.5</v>
      </c>
    </row>
    <row r="10" spans="1:8">
      <c r="A10" s="227" t="s">
        <v>27</v>
      </c>
      <c r="B10" s="288">
        <f>'6-x'!J61</f>
        <v>0</v>
      </c>
      <c r="C10" s="288">
        <f>'6-x'!K61</f>
        <v>117.9</v>
      </c>
      <c r="D10" s="288">
        <f>'6-x'!L61</f>
        <v>0</v>
      </c>
      <c r="E10" s="288">
        <f>'6-x'!M61</f>
        <v>112.8</v>
      </c>
      <c r="F10" s="288">
        <f>'6-x'!N61</f>
        <v>228.5</v>
      </c>
      <c r="G10" s="288">
        <f>'6-x'!O61</f>
        <v>0</v>
      </c>
      <c r="H10" s="249">
        <f>'6-x'!P61</f>
        <v>459.2</v>
      </c>
    </row>
    <row r="11" spans="1:8">
      <c r="A11" s="227" t="s">
        <v>28</v>
      </c>
      <c r="B11" s="288">
        <f>'6-x'!J62</f>
        <v>0</v>
      </c>
      <c r="C11" s="288">
        <f>'6-x'!K62</f>
        <v>310.7</v>
      </c>
      <c r="D11" s="288">
        <f>'6-x'!L62</f>
        <v>124.2</v>
      </c>
      <c r="E11" s="288">
        <f>'6-x'!M62</f>
        <v>90.5</v>
      </c>
      <c r="F11" s="288">
        <f>'6-x'!N62</f>
        <v>1557</v>
      </c>
      <c r="G11" s="288">
        <f>'6-x'!O62</f>
        <v>0.6</v>
      </c>
      <c r="H11" s="249">
        <f>'6-x'!P62</f>
        <v>2083</v>
      </c>
    </row>
    <row r="12" spans="1:8">
      <c r="A12" s="227" t="s">
        <v>350</v>
      </c>
      <c r="B12" s="288">
        <f>'6-x'!J63</f>
        <v>0</v>
      </c>
      <c r="C12" s="288">
        <f>'6-x'!K63</f>
        <v>0.4</v>
      </c>
      <c r="D12" s="288">
        <f>'6-x'!L63</f>
        <v>0</v>
      </c>
      <c r="E12" s="288">
        <f>'6-x'!M63</f>
        <v>0</v>
      </c>
      <c r="F12" s="288">
        <f>'6-x'!N63</f>
        <v>0</v>
      </c>
      <c r="G12" s="288">
        <f>'6-x'!O63</f>
        <v>0</v>
      </c>
      <c r="H12" s="249">
        <f>'6-x'!P63</f>
        <v>0.4</v>
      </c>
    </row>
    <row r="13" spans="1:8" ht="15.5">
      <c r="A13" s="314"/>
      <c r="B13" s="314"/>
      <c r="C13" s="314"/>
      <c r="D13" s="314"/>
      <c r="E13" s="314"/>
      <c r="F13" s="314"/>
      <c r="G13" s="314"/>
      <c r="H13" s="314"/>
    </row>
    <row r="14" spans="1:8" ht="15.5">
      <c r="A14" s="314"/>
      <c r="B14" s="314"/>
      <c r="C14" s="314"/>
      <c r="D14" s="314"/>
      <c r="E14" s="314"/>
      <c r="F14" s="314"/>
      <c r="G14" s="314"/>
      <c r="H14" s="314"/>
    </row>
    <row r="15" spans="1:8">
      <c r="B15" s="1104" t="s">
        <v>10</v>
      </c>
      <c r="C15" s="1104"/>
      <c r="D15" s="1104"/>
      <c r="E15" s="1104"/>
      <c r="F15" s="1104"/>
      <c r="G15" s="1104"/>
      <c r="H15" s="1104"/>
    </row>
    <row r="16" spans="1:8" ht="29">
      <c r="B16" s="251" t="s">
        <v>5</v>
      </c>
      <c r="C16" s="251" t="s">
        <v>63</v>
      </c>
      <c r="D16" s="251" t="s">
        <v>7</v>
      </c>
      <c r="E16" s="251" t="s">
        <v>8</v>
      </c>
      <c r="F16" s="251" t="s">
        <v>243</v>
      </c>
      <c r="G16" s="251" t="s">
        <v>244</v>
      </c>
      <c r="H16" s="251" t="s">
        <v>9</v>
      </c>
    </row>
    <row r="17" spans="1:8">
      <c r="A17" s="253">
        <v>2023</v>
      </c>
      <c r="B17" s="1106" t="s">
        <v>176</v>
      </c>
      <c r="C17" s="1107"/>
      <c r="D17" s="1107"/>
      <c r="E17" s="1107"/>
      <c r="F17" s="1107"/>
      <c r="G17" s="1107"/>
      <c r="H17" s="1108"/>
    </row>
    <row r="18" spans="1:8">
      <c r="A18" s="228" t="s">
        <v>263</v>
      </c>
      <c r="B18" s="249">
        <f>'6-x'!J151</f>
        <v>0</v>
      </c>
      <c r="C18" s="249">
        <f>'6-x'!K151</f>
        <v>14267.8</v>
      </c>
      <c r="D18" s="249">
        <f>'6-x'!L151</f>
        <v>285.20000000000005</v>
      </c>
      <c r="E18" s="249">
        <f>'6-x'!M151</f>
        <v>783.34</v>
      </c>
      <c r="F18" s="249">
        <f>'6-x'!N151</f>
        <v>3196.8</v>
      </c>
      <c r="G18" s="249">
        <f>'6-x'!O151</f>
        <v>1261.8399999999999</v>
      </c>
      <c r="H18" s="249">
        <f>'6-x'!P151</f>
        <v>19794.98</v>
      </c>
    </row>
    <row r="19" spans="1:8">
      <c r="A19" s="227" t="s">
        <v>24</v>
      </c>
      <c r="B19" s="288">
        <f>'6-x'!J152</f>
        <v>0</v>
      </c>
      <c r="C19" s="288">
        <f>'6-x'!K152</f>
        <v>2530.5</v>
      </c>
      <c r="D19" s="288">
        <f>'6-x'!L152</f>
        <v>34.799999999999997</v>
      </c>
      <c r="E19" s="288">
        <f>'6-x'!M152</f>
        <v>2.5</v>
      </c>
      <c r="F19" s="288">
        <f>'6-x'!N152</f>
        <v>350.3</v>
      </c>
      <c r="G19" s="288">
        <f>'6-x'!O152</f>
        <v>1251.5999999999999</v>
      </c>
      <c r="H19" s="249">
        <f>'6-x'!P152</f>
        <v>4169.7000000000007</v>
      </c>
    </row>
    <row r="20" spans="1:8">
      <c r="A20" s="227" t="s">
        <v>25</v>
      </c>
      <c r="B20" s="288">
        <f>'6-x'!J153</f>
        <v>0</v>
      </c>
      <c r="C20" s="288">
        <f>'6-x'!K153</f>
        <v>1431.6</v>
      </c>
      <c r="D20" s="288">
        <f>'6-x'!L153</f>
        <v>0</v>
      </c>
      <c r="E20" s="288">
        <f>'6-x'!M153</f>
        <v>74.739999999999995</v>
      </c>
      <c r="F20" s="288">
        <f>'6-x'!N153</f>
        <v>9.6</v>
      </c>
      <c r="G20" s="288">
        <f>'6-x'!O153</f>
        <v>2.34</v>
      </c>
      <c r="H20" s="249">
        <f>'6-x'!P153</f>
        <v>1518.2799999999997</v>
      </c>
    </row>
    <row r="21" spans="1:8">
      <c r="A21" s="227" t="s">
        <v>26</v>
      </c>
      <c r="B21" s="288">
        <f>'6-x'!J154</f>
        <v>0</v>
      </c>
      <c r="C21" s="288">
        <f>'6-x'!K154</f>
        <v>9895.1</v>
      </c>
      <c r="D21" s="288">
        <f>'6-x'!L154</f>
        <v>137</v>
      </c>
      <c r="E21" s="288">
        <f>'6-x'!M154</f>
        <v>480.6</v>
      </c>
      <c r="F21" s="288">
        <f>'6-x'!N154</f>
        <v>1172.4000000000001</v>
      </c>
      <c r="G21" s="288">
        <f>'6-x'!O154</f>
        <v>7.5</v>
      </c>
      <c r="H21" s="249">
        <f>'6-x'!P154</f>
        <v>11692.6</v>
      </c>
    </row>
    <row r="22" spans="1:8">
      <c r="A22" s="227" t="s">
        <v>27</v>
      </c>
      <c r="B22" s="288">
        <f>'6-x'!J155</f>
        <v>0</v>
      </c>
      <c r="C22" s="288">
        <f>'6-x'!K155</f>
        <v>147.80000000000001</v>
      </c>
      <c r="D22" s="288">
        <f>'6-x'!L155</f>
        <v>0</v>
      </c>
      <c r="E22" s="288">
        <f>'6-x'!M155</f>
        <v>111.8</v>
      </c>
      <c r="F22" s="288">
        <f>'6-x'!N155</f>
        <v>207.1</v>
      </c>
      <c r="G22" s="288">
        <f>'6-x'!O155</f>
        <v>0</v>
      </c>
      <c r="H22" s="249">
        <f>'6-x'!P155</f>
        <v>466.70000000000005</v>
      </c>
    </row>
    <row r="23" spans="1:8">
      <c r="A23" s="227" t="s">
        <v>28</v>
      </c>
      <c r="B23" s="288">
        <f>'6-x'!J156</f>
        <v>0</v>
      </c>
      <c r="C23" s="288">
        <f>'6-x'!K156</f>
        <v>262.8</v>
      </c>
      <c r="D23" s="288">
        <f>'6-x'!L156</f>
        <v>113.4</v>
      </c>
      <c r="E23" s="288">
        <f>'6-x'!M156</f>
        <v>113.7</v>
      </c>
      <c r="F23" s="288">
        <f>'6-x'!N156</f>
        <v>1457.4</v>
      </c>
      <c r="G23" s="288">
        <f>'6-x'!O156</f>
        <v>0.4</v>
      </c>
      <c r="H23" s="249">
        <f>'6-x'!P156</f>
        <v>1947.7000000000003</v>
      </c>
    </row>
    <row r="24" spans="1:8">
      <c r="A24" s="227" t="s">
        <v>350</v>
      </c>
      <c r="B24" s="288">
        <f>'6-x'!J157</f>
        <v>0</v>
      </c>
      <c r="C24" s="288">
        <f>'6-x'!K157</f>
        <v>0</v>
      </c>
      <c r="D24" s="288">
        <f>'6-x'!L157</f>
        <v>0</v>
      </c>
      <c r="E24" s="288">
        <f>'6-x'!M157</f>
        <v>0</v>
      </c>
      <c r="F24" s="288">
        <f>'6-x'!N157</f>
        <v>0</v>
      </c>
      <c r="G24" s="288">
        <f>'6-x'!O157</f>
        <v>0</v>
      </c>
      <c r="H24" s="249">
        <f>'6-x'!P157</f>
        <v>0</v>
      </c>
    </row>
    <row r="25" spans="1:8" ht="15.5">
      <c r="A25" s="314"/>
      <c r="B25" s="314"/>
      <c r="C25" s="314"/>
      <c r="D25" s="314"/>
      <c r="E25" s="314"/>
      <c r="F25" s="314"/>
      <c r="G25" s="314"/>
      <c r="H25" s="314"/>
    </row>
    <row r="26" spans="1:8" ht="15.5">
      <c r="A26" s="314"/>
      <c r="B26" s="314"/>
      <c r="C26" s="314"/>
      <c r="D26" s="314"/>
      <c r="E26" s="314"/>
      <c r="F26" s="314"/>
      <c r="G26" s="314"/>
      <c r="H26" s="314"/>
    </row>
    <row r="27" spans="1:8">
      <c r="B27" s="1104" t="s">
        <v>10</v>
      </c>
      <c r="C27" s="1104"/>
      <c r="D27" s="1104"/>
      <c r="E27" s="1104"/>
      <c r="F27" s="1104"/>
      <c r="G27" s="1104"/>
      <c r="H27" s="1104"/>
    </row>
    <row r="28" spans="1:8" ht="29">
      <c r="B28" s="251" t="s">
        <v>5</v>
      </c>
      <c r="C28" s="251" t="s">
        <v>63</v>
      </c>
      <c r="D28" s="251" t="s">
        <v>7</v>
      </c>
      <c r="E28" s="251" t="s">
        <v>8</v>
      </c>
      <c r="F28" s="251" t="s">
        <v>243</v>
      </c>
      <c r="G28" s="251" t="s">
        <v>244</v>
      </c>
      <c r="H28" s="251" t="s">
        <v>9</v>
      </c>
    </row>
    <row r="29" spans="1:8">
      <c r="A29" s="253">
        <v>2022</v>
      </c>
      <c r="B29" s="1106" t="s">
        <v>176</v>
      </c>
      <c r="C29" s="1107"/>
      <c r="D29" s="1107"/>
      <c r="E29" s="1107"/>
      <c r="F29" s="1107"/>
      <c r="G29" s="1107"/>
      <c r="H29" s="1108"/>
    </row>
    <row r="30" spans="1:8">
      <c r="A30" s="228" t="s">
        <v>263</v>
      </c>
      <c r="B30" s="249">
        <f>'6-x'!J243</f>
        <v>0</v>
      </c>
      <c r="C30" s="249">
        <f>'6-x'!K243</f>
        <v>15511.91</v>
      </c>
      <c r="D30" s="249">
        <f>'6-x'!L243</f>
        <v>399.34000000000003</v>
      </c>
      <c r="E30" s="249">
        <f>'6-x'!M243</f>
        <v>866.61999999999989</v>
      </c>
      <c r="F30" s="249">
        <f>'6-x'!N243</f>
        <v>3526.7999999999997</v>
      </c>
      <c r="G30" s="249">
        <f>'6-x'!O243</f>
        <v>1283.74</v>
      </c>
      <c r="H30" s="249">
        <f>'6-x'!P243</f>
        <v>21588.41</v>
      </c>
    </row>
    <row r="31" spans="1:8">
      <c r="A31" s="227" t="s">
        <v>24</v>
      </c>
      <c r="B31" s="288">
        <f>'6-x'!J244</f>
        <v>0</v>
      </c>
      <c r="C31" s="288">
        <f>'6-x'!K244</f>
        <v>2494.37</v>
      </c>
      <c r="D31" s="288">
        <f>'6-x'!L244</f>
        <v>36.340000000000003</v>
      </c>
      <c r="E31" s="288">
        <f>'6-x'!M244</f>
        <v>3</v>
      </c>
      <c r="F31" s="288">
        <f>'6-x'!N244</f>
        <v>339.7</v>
      </c>
      <c r="G31" s="288">
        <f>'6-x'!O244</f>
        <v>1274.54</v>
      </c>
      <c r="H31" s="249">
        <f>'6-x'!P244</f>
        <v>4147.95</v>
      </c>
    </row>
    <row r="32" spans="1:8">
      <c r="A32" s="227" t="s">
        <v>25</v>
      </c>
      <c r="B32" s="288">
        <f>'6-x'!J245</f>
        <v>0</v>
      </c>
      <c r="C32" s="288">
        <f>'6-x'!K245</f>
        <v>1625.34</v>
      </c>
      <c r="D32" s="288">
        <f>'6-x'!L245</f>
        <v>0</v>
      </c>
      <c r="E32" s="288">
        <f>'6-x'!M245</f>
        <v>149.91999999999999</v>
      </c>
      <c r="F32" s="288">
        <f>'6-x'!N245</f>
        <v>11.7</v>
      </c>
      <c r="G32" s="288">
        <f>'6-x'!O245</f>
        <v>0.8</v>
      </c>
      <c r="H32" s="249">
        <f>'6-x'!P245</f>
        <v>1787.76</v>
      </c>
    </row>
    <row r="33" spans="1:8">
      <c r="A33" s="227" t="s">
        <v>26</v>
      </c>
      <c r="B33" s="288">
        <f>'6-x'!J246</f>
        <v>0</v>
      </c>
      <c r="C33" s="288">
        <f>'6-x'!K246</f>
        <v>10920.15</v>
      </c>
      <c r="D33" s="288">
        <f>'6-x'!L246</f>
        <v>174.8</v>
      </c>
      <c r="E33" s="288">
        <f>'6-x'!M246</f>
        <v>487.4</v>
      </c>
      <c r="F33" s="288">
        <f>'6-x'!N246</f>
        <v>1406.8</v>
      </c>
      <c r="G33" s="288">
        <f>'6-x'!O246</f>
        <v>7.5</v>
      </c>
      <c r="H33" s="249">
        <f>'6-x'!P246</f>
        <v>12996.649999999998</v>
      </c>
    </row>
    <row r="34" spans="1:8">
      <c r="A34" s="227" t="s">
        <v>27</v>
      </c>
      <c r="B34" s="288">
        <f>'6-x'!J247</f>
        <v>0</v>
      </c>
      <c r="C34" s="288">
        <f>'6-x'!K247</f>
        <v>189.55</v>
      </c>
      <c r="D34" s="288">
        <f>'6-x'!L247</f>
        <v>0</v>
      </c>
      <c r="E34" s="288">
        <f>'6-x'!M247</f>
        <v>123.9</v>
      </c>
      <c r="F34" s="288">
        <f>'6-x'!N247</f>
        <v>207.6</v>
      </c>
      <c r="G34" s="288">
        <f>'6-x'!O247</f>
        <v>0</v>
      </c>
      <c r="H34" s="249">
        <f>'6-x'!P247</f>
        <v>521.05000000000007</v>
      </c>
    </row>
    <row r="35" spans="1:8">
      <c r="A35" s="227" t="s">
        <v>28</v>
      </c>
      <c r="B35" s="288">
        <f>'6-x'!J248</f>
        <v>0</v>
      </c>
      <c r="C35" s="288">
        <f>'6-x'!K248</f>
        <v>282.39999999999998</v>
      </c>
      <c r="D35" s="288">
        <f>'6-x'!L248</f>
        <v>188.2</v>
      </c>
      <c r="E35" s="288">
        <f>'6-x'!M248</f>
        <v>102.4</v>
      </c>
      <c r="F35" s="288">
        <f>'6-x'!N248</f>
        <v>1561</v>
      </c>
      <c r="G35" s="288">
        <f>'6-x'!O248</f>
        <v>0.9</v>
      </c>
      <c r="H35" s="249">
        <f>'6-x'!P248</f>
        <v>2134.9</v>
      </c>
    </row>
    <row r="36" spans="1:8">
      <c r="A36" s="227" t="s">
        <v>350</v>
      </c>
      <c r="B36" s="288">
        <f>'6-x'!J249</f>
        <v>0</v>
      </c>
      <c r="C36" s="288">
        <f>'6-x'!K249</f>
        <v>0.1</v>
      </c>
      <c r="D36" s="288">
        <f>'6-x'!L249</f>
        <v>0</v>
      </c>
      <c r="E36" s="288">
        <f>'6-x'!M249</f>
        <v>0</v>
      </c>
      <c r="F36" s="288">
        <f>'6-x'!N249</f>
        <v>0</v>
      </c>
      <c r="G36" s="288">
        <f>'6-x'!O249</f>
        <v>0</v>
      </c>
      <c r="H36" s="249">
        <f>'6-x'!P249</f>
        <v>0.1</v>
      </c>
    </row>
    <row r="37" spans="1:8" ht="15.5">
      <c r="A37" s="314"/>
      <c r="B37" s="314"/>
      <c r="C37" s="314"/>
      <c r="D37" s="314"/>
      <c r="E37" s="314"/>
      <c r="F37" s="314"/>
      <c r="G37" s="314"/>
      <c r="H37" s="314"/>
    </row>
    <row r="38" spans="1:8" ht="15.5">
      <c r="A38" s="314"/>
      <c r="B38" s="314"/>
      <c r="C38" s="314"/>
      <c r="D38" s="314"/>
      <c r="E38" s="314"/>
      <c r="F38" s="314"/>
      <c r="G38" s="314"/>
      <c r="H38" s="314"/>
    </row>
    <row r="39" spans="1:8">
      <c r="B39" s="1104" t="s">
        <v>10</v>
      </c>
      <c r="C39" s="1104"/>
      <c r="D39" s="1104"/>
      <c r="E39" s="1104"/>
      <c r="F39" s="1104"/>
      <c r="G39" s="1104"/>
      <c r="H39" s="1104"/>
    </row>
    <row r="40" spans="1:8" ht="29">
      <c r="B40" s="251" t="s">
        <v>5</v>
      </c>
      <c r="C40" s="251" t="s">
        <v>63</v>
      </c>
      <c r="D40" s="251" t="s">
        <v>7</v>
      </c>
      <c r="E40" s="251" t="s">
        <v>8</v>
      </c>
      <c r="F40" s="251" t="s">
        <v>243</v>
      </c>
      <c r="G40" s="251" t="s">
        <v>244</v>
      </c>
      <c r="H40" s="251" t="s">
        <v>9</v>
      </c>
    </row>
    <row r="41" spans="1:8">
      <c r="A41" s="253">
        <v>2021</v>
      </c>
      <c r="B41" s="1106" t="s">
        <v>176</v>
      </c>
      <c r="C41" s="1107"/>
      <c r="D41" s="1107"/>
      <c r="E41" s="1107"/>
      <c r="F41" s="1107"/>
      <c r="G41" s="1107"/>
      <c r="H41" s="1108"/>
    </row>
    <row r="42" spans="1:8">
      <c r="A42" s="228" t="s">
        <v>263</v>
      </c>
      <c r="B42" s="249">
        <f>'6-x'!J335</f>
        <v>0</v>
      </c>
      <c r="C42" s="249">
        <f>'6-x'!K335</f>
        <v>15857.460000000001</v>
      </c>
      <c r="D42" s="249">
        <f>'6-x'!L335</f>
        <v>479.70000000000005</v>
      </c>
      <c r="E42" s="249">
        <f>'6-x'!M335</f>
        <v>743.75999999999988</v>
      </c>
      <c r="F42" s="249">
        <f>'6-x'!N335</f>
        <v>2816.37</v>
      </c>
      <c r="G42" s="249">
        <f>'6-x'!O335</f>
        <v>1323.9</v>
      </c>
      <c r="H42" s="249">
        <f>'6-x'!P335</f>
        <v>21221.190000000002</v>
      </c>
    </row>
    <row r="43" spans="1:8">
      <c r="A43" s="227" t="s">
        <v>24</v>
      </c>
      <c r="B43" s="288">
        <f>'6-x'!J336</f>
        <v>0</v>
      </c>
      <c r="C43" s="288">
        <f>'6-x'!K336</f>
        <v>2572.4</v>
      </c>
      <c r="D43" s="288">
        <f>'6-x'!L336</f>
        <v>34.6</v>
      </c>
      <c r="E43" s="288">
        <f>'6-x'!M336</f>
        <v>4.0999999999999996</v>
      </c>
      <c r="F43" s="288">
        <f>'6-x'!N336</f>
        <v>452.6</v>
      </c>
      <c r="G43" s="288">
        <f>'6-x'!O336</f>
        <v>1315</v>
      </c>
      <c r="H43" s="249">
        <f>'6-x'!P336</f>
        <v>4378.7</v>
      </c>
    </row>
    <row r="44" spans="1:8">
      <c r="A44" s="227" t="s">
        <v>25</v>
      </c>
      <c r="B44" s="288">
        <f>'6-x'!J337</f>
        <v>0</v>
      </c>
      <c r="C44" s="288">
        <f>'6-x'!K337</f>
        <v>1924.54</v>
      </c>
      <c r="D44" s="288">
        <f>'6-x'!L337</f>
        <v>0</v>
      </c>
      <c r="E44" s="288">
        <f>'6-x'!M337</f>
        <v>88.11</v>
      </c>
      <c r="F44" s="288">
        <f>'6-x'!N337</f>
        <v>12.9</v>
      </c>
      <c r="G44" s="288">
        <f>'6-x'!O337</f>
        <v>1.2</v>
      </c>
      <c r="H44" s="249">
        <f>'6-x'!P337</f>
        <v>2026.75</v>
      </c>
    </row>
    <row r="45" spans="1:8">
      <c r="A45" s="227" t="s">
        <v>26</v>
      </c>
      <c r="B45" s="288">
        <f>'6-x'!J338</f>
        <v>0</v>
      </c>
      <c r="C45" s="288">
        <f>'6-x'!K338</f>
        <v>10877.3</v>
      </c>
      <c r="D45" s="288">
        <f>'6-x'!L338</f>
        <v>230.2</v>
      </c>
      <c r="E45" s="288">
        <f>'6-x'!M338</f>
        <v>416.4</v>
      </c>
      <c r="F45" s="288">
        <f>'6-x'!N338</f>
        <v>642.29999999999995</v>
      </c>
      <c r="G45" s="288">
        <f>'6-x'!O338</f>
        <v>7.4</v>
      </c>
      <c r="H45" s="249">
        <f>'6-x'!P338</f>
        <v>12173.599999999999</v>
      </c>
    </row>
    <row r="46" spans="1:8">
      <c r="A46" s="227" t="s">
        <v>27</v>
      </c>
      <c r="B46" s="288">
        <f>'6-x'!J339</f>
        <v>0</v>
      </c>
      <c r="C46" s="288">
        <f>'6-x'!K339</f>
        <v>217.87</v>
      </c>
      <c r="D46" s="288">
        <f>'6-x'!L339</f>
        <v>0</v>
      </c>
      <c r="E46" s="288">
        <f>'6-x'!M339</f>
        <v>118.5</v>
      </c>
      <c r="F46" s="288">
        <f>'6-x'!N339</f>
        <v>208.57</v>
      </c>
      <c r="G46" s="288">
        <f>'6-x'!O339</f>
        <v>0</v>
      </c>
      <c r="H46" s="249">
        <f>'6-x'!P339</f>
        <v>544.94000000000005</v>
      </c>
    </row>
    <row r="47" spans="1:8">
      <c r="A47" s="227" t="s">
        <v>28</v>
      </c>
      <c r="B47" s="288">
        <f>'6-x'!J340</f>
        <v>0</v>
      </c>
      <c r="C47" s="288">
        <f>'6-x'!K340</f>
        <v>265.25</v>
      </c>
      <c r="D47" s="288">
        <f>'6-x'!L340</f>
        <v>214.9</v>
      </c>
      <c r="E47" s="288">
        <f>'6-x'!M340</f>
        <v>116.65</v>
      </c>
      <c r="F47" s="288">
        <f>'6-x'!N340</f>
        <v>1500</v>
      </c>
      <c r="G47" s="288">
        <f>'6-x'!O340</f>
        <v>0.3</v>
      </c>
      <c r="H47" s="249">
        <f>'6-x'!P340</f>
        <v>2097.1000000000004</v>
      </c>
    </row>
    <row r="48" spans="1:8">
      <c r="A48" s="227" t="s">
        <v>350</v>
      </c>
      <c r="B48" s="288">
        <f>'6-x'!J341</f>
        <v>0</v>
      </c>
      <c r="C48" s="288">
        <f>'6-x'!K341</f>
        <v>0.1</v>
      </c>
      <c r="D48" s="288">
        <f>'6-x'!L341</f>
        <v>0</v>
      </c>
      <c r="E48" s="288">
        <f>'6-x'!M341</f>
        <v>0</v>
      </c>
      <c r="F48" s="288">
        <f>'6-x'!N341</f>
        <v>0</v>
      </c>
      <c r="G48" s="288">
        <f>'6-x'!O341</f>
        <v>0</v>
      </c>
      <c r="H48" s="249">
        <f>'6-x'!P341</f>
        <v>0.1</v>
      </c>
    </row>
    <row r="49" spans="1:8" ht="15.5">
      <c r="A49" s="314"/>
      <c r="B49" s="314"/>
      <c r="C49" s="314"/>
      <c r="D49" s="314"/>
      <c r="E49" s="314"/>
      <c r="F49" s="314"/>
      <c r="G49" s="314"/>
      <c r="H49" s="314"/>
    </row>
    <row r="50" spans="1:8" ht="15.5">
      <c r="A50" s="314"/>
      <c r="B50" s="314"/>
      <c r="C50" s="314"/>
      <c r="D50" s="314"/>
      <c r="E50" s="314"/>
      <c r="F50" s="314"/>
      <c r="G50" s="314"/>
      <c r="H50" s="314"/>
    </row>
    <row r="51" spans="1:8">
      <c r="B51" s="1104" t="s">
        <v>10</v>
      </c>
      <c r="C51" s="1104"/>
      <c r="D51" s="1104"/>
      <c r="E51" s="1104"/>
      <c r="F51" s="1104"/>
      <c r="G51" s="1104"/>
      <c r="H51" s="1104"/>
    </row>
    <row r="52" spans="1:8" ht="29">
      <c r="B52" s="251" t="s">
        <v>5</v>
      </c>
      <c r="C52" s="251" t="s">
        <v>63</v>
      </c>
      <c r="D52" s="251" t="s">
        <v>7</v>
      </c>
      <c r="E52" s="251" t="s">
        <v>8</v>
      </c>
      <c r="F52" s="251" t="s">
        <v>243</v>
      </c>
      <c r="G52" s="251" t="s">
        <v>244</v>
      </c>
      <c r="H52" s="251" t="s">
        <v>9</v>
      </c>
    </row>
    <row r="53" spans="1:8">
      <c r="A53" s="253">
        <v>2020</v>
      </c>
      <c r="B53" s="1106" t="s">
        <v>176</v>
      </c>
      <c r="C53" s="1107"/>
      <c r="D53" s="1107"/>
      <c r="E53" s="1107"/>
      <c r="F53" s="1107"/>
      <c r="G53" s="1107"/>
      <c r="H53" s="1108"/>
    </row>
    <row r="54" spans="1:8">
      <c r="A54" s="228" t="s">
        <v>263</v>
      </c>
      <c r="B54" s="249">
        <f>'6-x'!J427</f>
        <v>32.799999999999997</v>
      </c>
      <c r="C54" s="249">
        <f>'6-x'!K427</f>
        <v>15029.380000000001</v>
      </c>
      <c r="D54" s="249">
        <f>'6-x'!L427</f>
        <v>416.7</v>
      </c>
      <c r="E54" s="249">
        <f>'6-x'!M427</f>
        <v>787.30000000000007</v>
      </c>
      <c r="F54" s="249">
        <f>'6-x'!N427</f>
        <v>3799.7200000000003</v>
      </c>
      <c r="G54" s="249">
        <f>'6-x'!O427</f>
        <v>1266.93</v>
      </c>
      <c r="H54" s="249">
        <f>'6-x'!P427</f>
        <v>21332.83</v>
      </c>
    </row>
    <row r="55" spans="1:8">
      <c r="A55" s="227" t="s">
        <v>24</v>
      </c>
      <c r="B55" s="288">
        <f>'6-x'!J428</f>
        <v>0</v>
      </c>
      <c r="C55" s="288">
        <f>'6-x'!K428</f>
        <v>2261.8200000000002</v>
      </c>
      <c r="D55" s="288">
        <f>'6-x'!L428</f>
        <v>30.4</v>
      </c>
      <c r="E55" s="288">
        <f>'6-x'!M428</f>
        <v>7.1</v>
      </c>
      <c r="F55" s="288">
        <f>'6-x'!N428</f>
        <v>603.29999999999995</v>
      </c>
      <c r="G55" s="288">
        <f>'6-x'!O428</f>
        <v>1258.82</v>
      </c>
      <c r="H55" s="249">
        <f>'6-x'!P428</f>
        <v>4161.4399999999996</v>
      </c>
    </row>
    <row r="56" spans="1:8">
      <c r="A56" s="227" t="s">
        <v>25</v>
      </c>
      <c r="B56" s="288">
        <f>'6-x'!J429</f>
        <v>0</v>
      </c>
      <c r="C56" s="288">
        <f>'6-x'!K429</f>
        <v>1243.5999999999999</v>
      </c>
      <c r="D56" s="288">
        <f>'6-x'!L429</f>
        <v>0</v>
      </c>
      <c r="E56" s="288">
        <f>'6-x'!M429</f>
        <v>140.30000000000001</v>
      </c>
      <c r="F56" s="288">
        <f>'6-x'!N429</f>
        <v>14.7</v>
      </c>
      <c r="G56" s="288">
        <f>'6-x'!O429</f>
        <v>1.5</v>
      </c>
      <c r="H56" s="249">
        <f>'6-x'!P429</f>
        <v>1400.1</v>
      </c>
    </row>
    <row r="57" spans="1:8">
      <c r="A57" s="227" t="s">
        <v>26</v>
      </c>
      <c r="B57" s="288">
        <f>'6-x'!J430</f>
        <v>0</v>
      </c>
      <c r="C57" s="288">
        <f>'6-x'!K430</f>
        <v>11005.22</v>
      </c>
      <c r="D57" s="288">
        <f>'6-x'!L430</f>
        <v>220.7</v>
      </c>
      <c r="E57" s="288">
        <f>'6-x'!M430</f>
        <v>451.1</v>
      </c>
      <c r="F57" s="288">
        <f>'6-x'!N430</f>
        <v>1191.32</v>
      </c>
      <c r="G57" s="288">
        <f>'6-x'!O430</f>
        <v>6.2</v>
      </c>
      <c r="H57" s="249">
        <f>'6-x'!P430</f>
        <v>12874.54</v>
      </c>
    </row>
    <row r="58" spans="1:8">
      <c r="A58" s="227" t="s">
        <v>27</v>
      </c>
      <c r="B58" s="288">
        <f>'6-x'!J431</f>
        <v>0</v>
      </c>
      <c r="C58" s="288">
        <f>'6-x'!K431</f>
        <v>227.04</v>
      </c>
      <c r="D58" s="288">
        <f>'6-x'!L431</f>
        <v>0</v>
      </c>
      <c r="E58" s="288">
        <f>'6-x'!M431</f>
        <v>80.2</v>
      </c>
      <c r="F58" s="288">
        <f>'6-x'!N431</f>
        <v>210.5</v>
      </c>
      <c r="G58" s="288">
        <f>'6-x'!O431</f>
        <v>0.01</v>
      </c>
      <c r="H58" s="249">
        <f>'6-x'!P431</f>
        <v>517.75</v>
      </c>
    </row>
    <row r="59" spans="1:8">
      <c r="A59" s="227" t="s">
        <v>28</v>
      </c>
      <c r="B59" s="288">
        <f>'6-x'!J432</f>
        <v>32.799999999999997</v>
      </c>
      <c r="C59" s="288">
        <f>'6-x'!K432</f>
        <v>291.60000000000002</v>
      </c>
      <c r="D59" s="288">
        <f>'6-x'!L432</f>
        <v>165.6</v>
      </c>
      <c r="E59" s="288">
        <f>'6-x'!M432</f>
        <v>108.6</v>
      </c>
      <c r="F59" s="288">
        <f>'6-x'!N432</f>
        <v>1779.9</v>
      </c>
      <c r="G59" s="288">
        <f>'6-x'!O432</f>
        <v>0.4</v>
      </c>
      <c r="H59" s="249">
        <f>'6-x'!P432</f>
        <v>2378.9</v>
      </c>
    </row>
    <row r="60" spans="1:8">
      <c r="A60" s="227" t="s">
        <v>350</v>
      </c>
      <c r="B60" s="288">
        <f>'6-x'!J433</f>
        <v>0</v>
      </c>
      <c r="C60" s="288">
        <f>'6-x'!K433</f>
        <v>0.1</v>
      </c>
      <c r="D60" s="288">
        <f>'6-x'!L433</f>
        <v>0</v>
      </c>
      <c r="E60" s="288">
        <f>'6-x'!M433</f>
        <v>0</v>
      </c>
      <c r="F60" s="288">
        <f>'6-x'!N433</f>
        <v>0</v>
      </c>
      <c r="G60" s="288">
        <f>'6-x'!O433</f>
        <v>0</v>
      </c>
      <c r="H60" s="249">
        <f>'6-x'!P433</f>
        <v>0.1</v>
      </c>
    </row>
    <row r="61" spans="1:8" ht="15.5">
      <c r="A61" s="314"/>
      <c r="B61" s="314"/>
      <c r="C61" s="314"/>
      <c r="D61" s="314"/>
      <c r="E61" s="314"/>
      <c r="F61" s="314"/>
      <c r="G61" s="314"/>
      <c r="H61" s="314"/>
    </row>
    <row r="62" spans="1:8" ht="15.5">
      <c r="A62" s="314"/>
      <c r="B62" s="314"/>
      <c r="C62" s="314"/>
      <c r="D62" s="314"/>
      <c r="E62" s="314"/>
      <c r="F62" s="314"/>
      <c r="G62" s="314"/>
      <c r="H62" s="314"/>
    </row>
    <row r="63" spans="1:8">
      <c r="B63" s="1104" t="s">
        <v>10</v>
      </c>
      <c r="C63" s="1104"/>
      <c r="D63" s="1104"/>
      <c r="E63" s="1104"/>
      <c r="F63" s="1104"/>
      <c r="G63" s="1104"/>
      <c r="H63" s="1104"/>
    </row>
    <row r="64" spans="1:8" ht="29">
      <c r="B64" s="251" t="s">
        <v>5</v>
      </c>
      <c r="C64" s="251" t="s">
        <v>63</v>
      </c>
      <c r="D64" s="251" t="s">
        <v>7</v>
      </c>
      <c r="E64" s="251" t="s">
        <v>8</v>
      </c>
      <c r="F64" s="251" t="s">
        <v>243</v>
      </c>
      <c r="G64" s="251" t="s">
        <v>244</v>
      </c>
      <c r="H64" s="251" t="s">
        <v>9</v>
      </c>
    </row>
    <row r="65" spans="1:8">
      <c r="A65" s="253">
        <v>2019</v>
      </c>
      <c r="B65" s="1106" t="s">
        <v>176</v>
      </c>
      <c r="C65" s="1107"/>
      <c r="D65" s="1107"/>
      <c r="E65" s="1107"/>
      <c r="F65" s="1107"/>
      <c r="G65" s="1107"/>
      <c r="H65" s="1108"/>
    </row>
    <row r="66" spans="1:8">
      <c r="A66" s="228" t="s">
        <v>263</v>
      </c>
      <c r="B66" s="249">
        <f>'6-x'!J519</f>
        <v>65.7</v>
      </c>
      <c r="C66" s="249">
        <f>'6-x'!K519</f>
        <v>16036.349999999999</v>
      </c>
      <c r="D66" s="249">
        <f>'6-x'!L519</f>
        <v>607.6</v>
      </c>
      <c r="E66" s="249">
        <f>'6-x'!M519</f>
        <v>804.2</v>
      </c>
      <c r="F66" s="249">
        <f>'6-x'!N519</f>
        <v>3720.2</v>
      </c>
      <c r="G66" s="249">
        <f>'6-x'!O519</f>
        <v>1261.6500000000001</v>
      </c>
      <c r="H66" s="249">
        <f>'6-x'!P519</f>
        <v>22495.7</v>
      </c>
    </row>
    <row r="67" spans="1:8">
      <c r="A67" s="227" t="s">
        <v>24</v>
      </c>
      <c r="B67" s="288">
        <f>'6-x'!J520</f>
        <v>0</v>
      </c>
      <c r="C67" s="288">
        <f>'6-x'!K520</f>
        <v>2203.1999999999998</v>
      </c>
      <c r="D67" s="288">
        <f>'6-x'!L520</f>
        <v>35.200000000000003</v>
      </c>
      <c r="E67" s="288">
        <f>'6-x'!M520</f>
        <v>7.1</v>
      </c>
      <c r="F67" s="288">
        <f>'6-x'!N520</f>
        <v>602</v>
      </c>
      <c r="G67" s="288">
        <f>'6-x'!O520</f>
        <v>1252.4000000000001</v>
      </c>
      <c r="H67" s="249">
        <f>'6-x'!P520</f>
        <v>4099.8999999999996</v>
      </c>
    </row>
    <row r="68" spans="1:8">
      <c r="A68" s="227" t="s">
        <v>25</v>
      </c>
      <c r="B68" s="288">
        <f>'6-x'!J521</f>
        <v>0</v>
      </c>
      <c r="C68" s="288">
        <f>'6-x'!K521</f>
        <v>1303.9000000000001</v>
      </c>
      <c r="D68" s="288">
        <f>'6-x'!L521</f>
        <v>0</v>
      </c>
      <c r="E68" s="288">
        <f>'6-x'!M521</f>
        <v>120.3</v>
      </c>
      <c r="F68" s="288">
        <f>'6-x'!N521</f>
        <v>14.5</v>
      </c>
      <c r="G68" s="288">
        <f>'6-x'!O521</f>
        <v>1.2</v>
      </c>
      <c r="H68" s="249">
        <f>'6-x'!P521</f>
        <v>1439.9</v>
      </c>
    </row>
    <row r="69" spans="1:8">
      <c r="A69" s="227" t="s">
        <v>26</v>
      </c>
      <c r="B69" s="288">
        <f>'6-x'!J522</f>
        <v>0</v>
      </c>
      <c r="C69" s="288">
        <f>'6-x'!K522</f>
        <v>12014.3</v>
      </c>
      <c r="D69" s="288">
        <f>'6-x'!L522</f>
        <v>377.6</v>
      </c>
      <c r="E69" s="288">
        <f>'6-x'!M522</f>
        <v>479.2</v>
      </c>
      <c r="F69" s="288">
        <f>'6-x'!N522</f>
        <v>1123.7</v>
      </c>
      <c r="G69" s="288">
        <f>'6-x'!O522</f>
        <v>6.2</v>
      </c>
      <c r="H69" s="249">
        <f>'6-x'!P522</f>
        <v>14001.000000000002</v>
      </c>
    </row>
    <row r="70" spans="1:8">
      <c r="A70" s="227" t="s">
        <v>27</v>
      </c>
      <c r="B70" s="288">
        <f>'6-x'!J523</f>
        <v>10.6</v>
      </c>
      <c r="C70" s="288">
        <f>'6-x'!K523</f>
        <v>273.10000000000002</v>
      </c>
      <c r="D70" s="288">
        <f>'6-x'!L523</f>
        <v>0</v>
      </c>
      <c r="E70" s="288">
        <f>'6-x'!M523</f>
        <v>101.4</v>
      </c>
      <c r="F70" s="288">
        <f>'6-x'!N523</f>
        <v>222.9</v>
      </c>
      <c r="G70" s="288">
        <f>'6-x'!O523</f>
        <v>0</v>
      </c>
      <c r="H70" s="249">
        <f>'6-x'!P523</f>
        <v>608</v>
      </c>
    </row>
    <row r="71" spans="1:8">
      <c r="A71" s="227" t="s">
        <v>28</v>
      </c>
      <c r="B71" s="288">
        <f>'6-x'!J524</f>
        <v>55.1</v>
      </c>
      <c r="C71" s="288">
        <f>'6-x'!K524</f>
        <v>241.8</v>
      </c>
      <c r="D71" s="288">
        <f>'6-x'!L524</f>
        <v>194.8</v>
      </c>
      <c r="E71" s="288">
        <f>'6-x'!M524</f>
        <v>96.2</v>
      </c>
      <c r="F71" s="288">
        <f>'6-x'!N524</f>
        <v>1757.1</v>
      </c>
      <c r="G71" s="288">
        <f>'6-x'!O524</f>
        <v>1.8</v>
      </c>
      <c r="H71" s="249">
        <f>'6-x'!P524</f>
        <v>2346.8000000000002</v>
      </c>
    </row>
    <row r="72" spans="1:8">
      <c r="A72" s="227" t="s">
        <v>350</v>
      </c>
      <c r="B72" s="288">
        <f>'6-x'!J525</f>
        <v>0</v>
      </c>
      <c r="C72" s="288">
        <f>'6-x'!K525</f>
        <v>0.05</v>
      </c>
      <c r="D72" s="288">
        <f>'6-x'!L525</f>
        <v>0</v>
      </c>
      <c r="E72" s="288">
        <f>'6-x'!M525</f>
        <v>0</v>
      </c>
      <c r="F72" s="288">
        <f>'6-x'!N525</f>
        <v>0</v>
      </c>
      <c r="G72" s="288">
        <f>'6-x'!O525</f>
        <v>0.05</v>
      </c>
      <c r="H72" s="249">
        <f>'6-x'!P525</f>
        <v>0.1</v>
      </c>
    </row>
    <row r="73" spans="1:8" ht="15.5">
      <c r="A73" s="314"/>
      <c r="B73" s="314"/>
      <c r="C73" s="314"/>
      <c r="D73" s="314"/>
      <c r="E73" s="314"/>
      <c r="F73" s="314"/>
      <c r="G73" s="314"/>
      <c r="H73" s="314"/>
    </row>
    <row r="74" spans="1:8" ht="15.5">
      <c r="A74" s="314"/>
      <c r="B74" s="314"/>
      <c r="C74" s="314"/>
      <c r="D74" s="314"/>
      <c r="E74" s="314"/>
      <c r="F74" s="314"/>
      <c r="G74" s="314"/>
      <c r="H74" s="314"/>
    </row>
    <row r="75" spans="1:8">
      <c r="B75" s="1104" t="s">
        <v>10</v>
      </c>
      <c r="C75" s="1104"/>
      <c r="D75" s="1104"/>
      <c r="E75" s="1104"/>
      <c r="F75" s="1104"/>
      <c r="G75" s="1104"/>
      <c r="H75" s="1104"/>
    </row>
    <row r="76" spans="1:8" ht="29">
      <c r="B76" s="251" t="s">
        <v>5</v>
      </c>
      <c r="C76" s="251" t="s">
        <v>63</v>
      </c>
      <c r="D76" s="251" t="s">
        <v>7</v>
      </c>
      <c r="E76" s="251" t="s">
        <v>8</v>
      </c>
      <c r="F76" s="251" t="s">
        <v>243</v>
      </c>
      <c r="G76" s="251" t="s">
        <v>244</v>
      </c>
      <c r="H76" s="251" t="s">
        <v>9</v>
      </c>
    </row>
    <row r="77" spans="1:8">
      <c r="A77" s="253">
        <v>2018</v>
      </c>
      <c r="B77" s="1106" t="s">
        <v>176</v>
      </c>
      <c r="C77" s="1107"/>
      <c r="D77" s="1107"/>
      <c r="E77" s="1107"/>
      <c r="F77" s="1107"/>
      <c r="G77" s="1107"/>
      <c r="H77" s="1108"/>
    </row>
    <row r="78" spans="1:8">
      <c r="A78" s="228" t="s">
        <v>263</v>
      </c>
      <c r="B78" s="249">
        <f>'6-x'!J611</f>
        <v>66.7</v>
      </c>
      <c r="C78" s="249">
        <f>'6-x'!K611</f>
        <v>15574.1</v>
      </c>
      <c r="D78" s="249">
        <f>'6-x'!L611</f>
        <v>615.21</v>
      </c>
      <c r="E78" s="249">
        <f>'6-x'!M611</f>
        <v>794.5</v>
      </c>
      <c r="F78" s="249">
        <f>'6-x'!N611</f>
        <v>3870.66</v>
      </c>
      <c r="G78" s="249">
        <f>'6-x'!O611</f>
        <v>1154.3</v>
      </c>
      <c r="H78" s="249">
        <f>'6-x'!P611</f>
        <v>22075.47</v>
      </c>
    </row>
    <row r="79" spans="1:8">
      <c r="A79" s="227" t="s">
        <v>24</v>
      </c>
      <c r="B79" s="288">
        <f>'6-x'!J612</f>
        <v>0</v>
      </c>
      <c r="C79" s="288">
        <f>'6-x'!K612</f>
        <v>2065.21</v>
      </c>
      <c r="D79" s="288">
        <f>'6-x'!L612</f>
        <v>34.81</v>
      </c>
      <c r="E79" s="288">
        <f>'6-x'!M612</f>
        <v>8.3000000000000007</v>
      </c>
      <c r="F79" s="288">
        <f>'6-x'!N612</f>
        <v>570.20000000000005</v>
      </c>
      <c r="G79" s="288">
        <f>'6-x'!O612</f>
        <v>1143.0999999999999</v>
      </c>
      <c r="H79" s="249">
        <f>'6-x'!P612</f>
        <v>3821.6200000000003</v>
      </c>
    </row>
    <row r="80" spans="1:8">
      <c r="A80" s="227" t="s">
        <v>25</v>
      </c>
      <c r="B80" s="288">
        <f>'6-x'!J613</f>
        <v>0</v>
      </c>
      <c r="C80" s="288">
        <f>'6-x'!K613</f>
        <v>1246.5999999999999</v>
      </c>
      <c r="D80" s="288">
        <f>'6-x'!L613</f>
        <v>0</v>
      </c>
      <c r="E80" s="288">
        <f>'6-x'!M613</f>
        <v>91.6</v>
      </c>
      <c r="F80" s="288">
        <f>'6-x'!N613</f>
        <v>14</v>
      </c>
      <c r="G80" s="288">
        <f>'6-x'!O613</f>
        <v>1.2</v>
      </c>
      <c r="H80" s="249">
        <f>'6-x'!P613</f>
        <v>1353.3999999999999</v>
      </c>
    </row>
    <row r="81" spans="1:8">
      <c r="A81" s="227" t="s">
        <v>26</v>
      </c>
      <c r="B81" s="288">
        <f>'6-x'!J614</f>
        <v>54.7</v>
      </c>
      <c r="C81" s="288">
        <f>'6-x'!K614</f>
        <v>11780.55</v>
      </c>
      <c r="D81" s="288">
        <f>'6-x'!L614</f>
        <v>346.4</v>
      </c>
      <c r="E81" s="288">
        <f>'6-x'!M614</f>
        <v>482.4</v>
      </c>
      <c r="F81" s="288">
        <f>'6-x'!N614</f>
        <v>1315.25</v>
      </c>
      <c r="G81" s="288">
        <f>'6-x'!O614</f>
        <v>6.3</v>
      </c>
      <c r="H81" s="249">
        <f>'6-x'!P614</f>
        <v>13985.599999999999</v>
      </c>
    </row>
    <row r="82" spans="1:8">
      <c r="A82" s="227" t="s">
        <v>27</v>
      </c>
      <c r="B82" s="288">
        <f>'6-x'!J615</f>
        <v>12</v>
      </c>
      <c r="C82" s="288">
        <f>'6-x'!K615</f>
        <v>276.54000000000002</v>
      </c>
      <c r="D82" s="288">
        <f>'6-x'!L615</f>
        <v>0</v>
      </c>
      <c r="E82" s="288">
        <f>'6-x'!M615</f>
        <v>101.7</v>
      </c>
      <c r="F82" s="288">
        <f>'6-x'!N615</f>
        <v>205.71</v>
      </c>
      <c r="G82" s="288">
        <f>'6-x'!O615</f>
        <v>0</v>
      </c>
      <c r="H82" s="249">
        <f>'6-x'!P615</f>
        <v>595.95000000000005</v>
      </c>
    </row>
    <row r="83" spans="1:8">
      <c r="A83" s="227" t="s">
        <v>28</v>
      </c>
      <c r="B83" s="288">
        <f>'6-x'!J616</f>
        <v>0</v>
      </c>
      <c r="C83" s="288">
        <f>'6-x'!K616</f>
        <v>205.2</v>
      </c>
      <c r="D83" s="288">
        <f>'6-x'!L616</f>
        <v>234</v>
      </c>
      <c r="E83" s="288">
        <f>'6-x'!M616</f>
        <v>110.5</v>
      </c>
      <c r="F83" s="288">
        <f>'6-x'!N616</f>
        <v>1765.5</v>
      </c>
      <c r="G83" s="288">
        <f>'6-x'!O616</f>
        <v>3.7</v>
      </c>
      <c r="H83" s="249">
        <f>'6-x'!P616</f>
        <v>2318.8999999999996</v>
      </c>
    </row>
    <row r="84" spans="1:8">
      <c r="A84" s="227" t="s">
        <v>350</v>
      </c>
      <c r="B84" s="288">
        <f>'6-x'!J617</f>
        <v>0</v>
      </c>
      <c r="C84" s="288">
        <f>'6-x'!K617</f>
        <v>0</v>
      </c>
      <c r="D84" s="288">
        <f>'6-x'!L617</f>
        <v>0</v>
      </c>
      <c r="E84" s="288">
        <f>'6-x'!M617</f>
        <v>0</v>
      </c>
      <c r="F84" s="288">
        <f>'6-x'!N617</f>
        <v>0</v>
      </c>
      <c r="G84" s="288">
        <f>'6-x'!O617</f>
        <v>0</v>
      </c>
      <c r="H84" s="249">
        <f>'6-x'!P617</f>
        <v>0</v>
      </c>
    </row>
    <row r="85" spans="1:8" ht="15.5">
      <c r="A85" s="314"/>
      <c r="B85" s="314"/>
      <c r="C85" s="314"/>
      <c r="D85" s="314"/>
      <c r="E85" s="314"/>
      <c r="F85" s="314"/>
      <c r="G85" s="314"/>
      <c r="H85" s="314"/>
    </row>
    <row r="86" spans="1:8" ht="15.5">
      <c r="A86" s="314"/>
      <c r="B86" s="314"/>
      <c r="C86" s="314"/>
      <c r="D86" s="314"/>
      <c r="E86" s="314"/>
      <c r="F86" s="314"/>
      <c r="G86" s="314"/>
      <c r="H86" s="314"/>
    </row>
    <row r="87" spans="1:8">
      <c r="B87" s="1104" t="s">
        <v>10</v>
      </c>
      <c r="C87" s="1104"/>
      <c r="D87" s="1104"/>
      <c r="E87" s="1104"/>
      <c r="F87" s="1104"/>
      <c r="G87" s="1104"/>
      <c r="H87" s="1104"/>
    </row>
    <row r="88" spans="1:8" ht="29">
      <c r="B88" s="251" t="s">
        <v>5</v>
      </c>
      <c r="C88" s="251" t="s">
        <v>63</v>
      </c>
      <c r="D88" s="251" t="s">
        <v>7</v>
      </c>
      <c r="E88" s="251" t="s">
        <v>8</v>
      </c>
      <c r="F88" s="251" t="s">
        <v>243</v>
      </c>
      <c r="G88" s="251" t="s">
        <v>244</v>
      </c>
      <c r="H88" s="251" t="s">
        <v>9</v>
      </c>
    </row>
    <row r="89" spans="1:8">
      <c r="A89" s="253">
        <v>2017</v>
      </c>
      <c r="B89" s="1106" t="s">
        <v>176</v>
      </c>
      <c r="C89" s="1107"/>
      <c r="D89" s="1107"/>
      <c r="E89" s="1107"/>
      <c r="F89" s="1107"/>
      <c r="G89" s="1107"/>
      <c r="H89" s="1108"/>
    </row>
    <row r="90" spans="1:8">
      <c r="A90" s="228" t="s">
        <v>263</v>
      </c>
      <c r="B90" s="249">
        <f>'6-x'!J698</f>
        <v>66.400000000000006</v>
      </c>
      <c r="C90" s="249">
        <f>'6-x'!K698</f>
        <v>16485.7</v>
      </c>
      <c r="D90" s="249">
        <f>'6-x'!L698</f>
        <v>615.70000000000005</v>
      </c>
      <c r="E90" s="249">
        <f>'6-x'!M698</f>
        <v>829.2</v>
      </c>
      <c r="F90" s="249">
        <f>'6-x'!N698</f>
        <v>3771.2999999999997</v>
      </c>
      <c r="G90" s="249">
        <f>'6-x'!O698</f>
        <v>1155.5999999999999</v>
      </c>
      <c r="H90" s="249">
        <f>'6-x'!P698</f>
        <v>22923.9</v>
      </c>
    </row>
    <row r="91" spans="1:8">
      <c r="A91" s="227" t="s">
        <v>24</v>
      </c>
      <c r="B91" s="288">
        <f>'6-x'!J699</f>
        <v>0</v>
      </c>
      <c r="C91" s="288">
        <f>'6-x'!K699</f>
        <v>1919.1</v>
      </c>
      <c r="D91" s="288">
        <f>'6-x'!L699</f>
        <v>30.7</v>
      </c>
      <c r="E91" s="288">
        <f>'6-x'!M699</f>
        <v>8.8000000000000007</v>
      </c>
      <c r="F91" s="288">
        <f>'6-x'!N699</f>
        <v>539.20000000000005</v>
      </c>
      <c r="G91" s="288">
        <f>'6-x'!O699</f>
        <v>1145.3</v>
      </c>
      <c r="H91" s="249">
        <f>'6-x'!P699</f>
        <v>3643.1000000000004</v>
      </c>
    </row>
    <row r="92" spans="1:8">
      <c r="A92" s="227" t="s">
        <v>25</v>
      </c>
      <c r="B92" s="288">
        <f>'6-x'!J700</f>
        <v>0</v>
      </c>
      <c r="C92" s="288">
        <f>'6-x'!K700</f>
        <v>1231.0999999999999</v>
      </c>
      <c r="D92" s="288">
        <f>'6-x'!L700</f>
        <v>0</v>
      </c>
      <c r="E92" s="288">
        <f>'6-x'!M700</f>
        <v>129.1</v>
      </c>
      <c r="F92" s="288">
        <f>'6-x'!N700</f>
        <v>9.4</v>
      </c>
      <c r="G92" s="288">
        <f>'6-x'!O700</f>
        <v>1.1000000000000001</v>
      </c>
      <c r="H92" s="249">
        <f>'6-x'!P700</f>
        <v>1370.6999999999998</v>
      </c>
    </row>
    <row r="93" spans="1:8">
      <c r="A93" s="227" t="s">
        <v>26</v>
      </c>
      <c r="B93" s="288">
        <f>'6-x'!J701</f>
        <v>54.2</v>
      </c>
      <c r="C93" s="288">
        <f>'6-x'!K701</f>
        <v>12786.4</v>
      </c>
      <c r="D93" s="288">
        <f>'6-x'!L701</f>
        <v>341</v>
      </c>
      <c r="E93" s="288">
        <f>'6-x'!M701</f>
        <v>451.7</v>
      </c>
      <c r="F93" s="288">
        <f>'6-x'!N701</f>
        <v>1269.0999999999999</v>
      </c>
      <c r="G93" s="288">
        <f>'6-x'!O701</f>
        <v>6.4</v>
      </c>
      <c r="H93" s="249">
        <f>'6-x'!P701</f>
        <v>14908.800000000001</v>
      </c>
    </row>
    <row r="94" spans="1:8">
      <c r="A94" s="227" t="s">
        <v>27</v>
      </c>
      <c r="B94" s="288">
        <f>'6-x'!J702</f>
        <v>12.2</v>
      </c>
      <c r="C94" s="288">
        <f>'6-x'!K702</f>
        <v>294.7</v>
      </c>
      <c r="D94" s="288">
        <f>'6-x'!L702</f>
        <v>0</v>
      </c>
      <c r="E94" s="288">
        <f>'6-x'!M702</f>
        <v>95.5</v>
      </c>
      <c r="F94" s="288">
        <f>'6-x'!N702</f>
        <v>208.6</v>
      </c>
      <c r="G94" s="288">
        <f>'6-x'!O702</f>
        <v>0</v>
      </c>
      <c r="H94" s="249">
        <f>'6-x'!P702</f>
        <v>611</v>
      </c>
    </row>
    <row r="95" spans="1:8">
      <c r="A95" s="227" t="s">
        <v>28</v>
      </c>
      <c r="B95" s="288">
        <f>'6-x'!J703</f>
        <v>0</v>
      </c>
      <c r="C95" s="288">
        <f>'6-x'!K703</f>
        <v>254.4</v>
      </c>
      <c r="D95" s="288">
        <f>'6-x'!L703</f>
        <v>244</v>
      </c>
      <c r="E95" s="288">
        <f>'6-x'!M703</f>
        <v>144.1</v>
      </c>
      <c r="F95" s="288">
        <f>'6-x'!N703</f>
        <v>1745</v>
      </c>
      <c r="G95" s="288">
        <f>'6-x'!O703</f>
        <v>2.8</v>
      </c>
      <c r="H95" s="249">
        <f>'6-x'!P703</f>
        <v>2390.3000000000002</v>
      </c>
    </row>
    <row r="96" spans="1:8" ht="15.5">
      <c r="A96" s="314"/>
      <c r="B96" s="314"/>
      <c r="C96" s="314"/>
      <c r="D96" s="314"/>
      <c r="E96" s="314"/>
      <c r="F96" s="314"/>
      <c r="G96" s="314"/>
      <c r="H96" s="314"/>
    </row>
    <row r="97" spans="1:16" ht="15.5">
      <c r="A97" s="314"/>
      <c r="B97" s="314"/>
      <c r="C97" s="314"/>
      <c r="D97" s="314"/>
      <c r="E97" s="314"/>
      <c r="F97" s="314"/>
      <c r="G97" s="314"/>
      <c r="H97" s="314"/>
    </row>
    <row r="98" spans="1:16">
      <c r="B98" s="1104" t="s">
        <v>10</v>
      </c>
      <c r="C98" s="1104"/>
      <c r="D98" s="1104"/>
      <c r="E98" s="1104"/>
      <c r="F98" s="1104"/>
      <c r="G98" s="1104"/>
      <c r="H98" s="1104"/>
    </row>
    <row r="99" spans="1:16" ht="29">
      <c r="B99" s="251" t="s">
        <v>5</v>
      </c>
      <c r="C99" s="251" t="s">
        <v>63</v>
      </c>
      <c r="D99" s="251" t="s">
        <v>7</v>
      </c>
      <c r="E99" s="251" t="s">
        <v>8</v>
      </c>
      <c r="F99" s="251" t="s">
        <v>243</v>
      </c>
      <c r="G99" s="251" t="s">
        <v>244</v>
      </c>
      <c r="H99" s="251" t="s">
        <v>9</v>
      </c>
    </row>
    <row r="100" spans="1:16" ht="14.75" customHeight="1">
      <c r="A100" s="253">
        <v>2016</v>
      </c>
      <c r="B100" s="1106" t="s">
        <v>176</v>
      </c>
      <c r="C100" s="1107"/>
      <c r="D100" s="1107"/>
      <c r="E100" s="1107"/>
      <c r="F100" s="1107"/>
      <c r="G100" s="1107"/>
      <c r="H100" s="1108"/>
    </row>
    <row r="101" spans="1:16">
      <c r="A101" s="228" t="s">
        <v>263</v>
      </c>
      <c r="B101" s="249">
        <f>'6-x'!J783</f>
        <v>65.3</v>
      </c>
      <c r="C101" s="249">
        <f>'6-x'!K783</f>
        <v>15571.5</v>
      </c>
      <c r="D101" s="249">
        <f>'6-x'!L783</f>
        <v>715.2</v>
      </c>
      <c r="E101" s="249">
        <f>'6-x'!M783</f>
        <v>854.1</v>
      </c>
      <c r="F101" s="249">
        <f>'6-x'!N783</f>
        <v>3848.5</v>
      </c>
      <c r="G101" s="249">
        <f>'6-x'!O783</f>
        <v>1109.5999999999999</v>
      </c>
      <c r="H101" s="249">
        <f>'6-x'!P783</f>
        <v>22164.199999999997</v>
      </c>
      <c r="I101" s="254"/>
      <c r="J101" s="107"/>
      <c r="K101" s="107"/>
      <c r="L101" s="107"/>
      <c r="M101" s="107"/>
      <c r="N101" s="107"/>
      <c r="O101" s="107"/>
      <c r="P101" s="107"/>
    </row>
    <row r="102" spans="1:16">
      <c r="A102" s="227" t="s">
        <v>24</v>
      </c>
      <c r="B102" s="288">
        <f>'6-x'!J784</f>
        <v>0</v>
      </c>
      <c r="C102" s="288">
        <f>'6-x'!K784</f>
        <v>1725.7</v>
      </c>
      <c r="D102" s="288">
        <f>'6-x'!L784</f>
        <v>31.6</v>
      </c>
      <c r="E102" s="288">
        <f>'6-x'!M784</f>
        <v>6.4</v>
      </c>
      <c r="F102" s="288">
        <f>'6-x'!N784</f>
        <v>534.20000000000005</v>
      </c>
      <c r="G102" s="288">
        <f>'6-x'!O784</f>
        <v>1100</v>
      </c>
      <c r="H102" s="249">
        <f>'6-x'!P784</f>
        <v>3397.9</v>
      </c>
      <c r="I102" s="254"/>
      <c r="J102" s="107"/>
      <c r="K102" s="107"/>
      <c r="L102" s="107"/>
      <c r="M102" s="107"/>
      <c r="N102" s="107"/>
      <c r="O102" s="107"/>
      <c r="P102" s="107"/>
    </row>
    <row r="103" spans="1:16">
      <c r="A103" s="227" t="s">
        <v>25</v>
      </c>
      <c r="B103" s="288">
        <f>'6-x'!J785</f>
        <v>0</v>
      </c>
      <c r="C103" s="288">
        <f>'6-x'!K785</f>
        <v>1223.3</v>
      </c>
      <c r="D103" s="288">
        <f>'6-x'!L785</f>
        <v>0</v>
      </c>
      <c r="E103" s="288">
        <f>'6-x'!M785</f>
        <v>118.1</v>
      </c>
      <c r="F103" s="288">
        <f>'6-x'!N785</f>
        <v>8.1999999999999993</v>
      </c>
      <c r="G103" s="288">
        <f>'6-x'!O785</f>
        <v>1.3</v>
      </c>
      <c r="H103" s="249">
        <f>'6-x'!P785</f>
        <v>1350.8999999999999</v>
      </c>
      <c r="I103" s="254"/>
      <c r="J103" s="107"/>
      <c r="K103" s="107"/>
      <c r="L103" s="107"/>
      <c r="M103" s="107"/>
      <c r="N103" s="107"/>
      <c r="O103" s="107"/>
      <c r="P103" s="107"/>
    </row>
    <row r="104" spans="1:16">
      <c r="A104" s="227" t="s">
        <v>26</v>
      </c>
      <c r="B104" s="288">
        <f>'6-x'!J786</f>
        <v>54.7</v>
      </c>
      <c r="C104" s="288">
        <f>'6-x'!K786</f>
        <v>12081</v>
      </c>
      <c r="D104" s="288">
        <f>'6-x'!L786</f>
        <v>371.7</v>
      </c>
      <c r="E104" s="288">
        <f>'6-x'!M786</f>
        <v>502.7</v>
      </c>
      <c r="F104" s="288">
        <f>'6-x'!N786</f>
        <v>1369.9</v>
      </c>
      <c r="G104" s="288">
        <f>'6-x'!O786</f>
        <v>6.3</v>
      </c>
      <c r="H104" s="249">
        <f>'6-x'!P786</f>
        <v>14386.300000000001</v>
      </c>
      <c r="I104" s="254"/>
      <c r="J104" s="107"/>
      <c r="K104" s="107"/>
      <c r="L104" s="107"/>
      <c r="M104" s="107"/>
      <c r="N104" s="107"/>
      <c r="O104" s="107"/>
      <c r="P104" s="107"/>
    </row>
    <row r="105" spans="1:16">
      <c r="A105" s="227" t="s">
        <v>27</v>
      </c>
      <c r="B105" s="288">
        <f>'6-x'!J787</f>
        <v>10.6</v>
      </c>
      <c r="C105" s="288">
        <f>'6-x'!K787</f>
        <v>324.7</v>
      </c>
      <c r="D105" s="288">
        <f>'6-x'!L787</f>
        <v>0</v>
      </c>
      <c r="E105" s="288">
        <f>'6-x'!M787</f>
        <v>112.9</v>
      </c>
      <c r="F105" s="288">
        <f>'6-x'!N787</f>
        <v>209.6</v>
      </c>
      <c r="G105" s="288">
        <f>'6-x'!O787</f>
        <v>0.1</v>
      </c>
      <c r="H105" s="249">
        <f>'6-x'!P787</f>
        <v>657.90000000000009</v>
      </c>
      <c r="I105" s="254"/>
      <c r="J105" s="107"/>
      <c r="K105" s="107"/>
      <c r="L105" s="107"/>
      <c r="M105" s="107"/>
      <c r="N105" s="107"/>
      <c r="O105" s="107"/>
      <c r="P105" s="107"/>
    </row>
    <row r="106" spans="1:16">
      <c r="A106" s="227" t="s">
        <v>28</v>
      </c>
      <c r="B106" s="288">
        <f>'6-x'!J788</f>
        <v>0</v>
      </c>
      <c r="C106" s="288">
        <f>'6-x'!K788</f>
        <v>216.8</v>
      </c>
      <c r="D106" s="288">
        <f>'6-x'!L788</f>
        <v>311.89999999999998</v>
      </c>
      <c r="E106" s="288">
        <f>'6-x'!M788</f>
        <v>114</v>
      </c>
      <c r="F106" s="288">
        <f>'6-x'!N788</f>
        <v>1726.6</v>
      </c>
      <c r="G106" s="288">
        <f>'6-x'!O788</f>
        <v>1.9</v>
      </c>
      <c r="H106" s="249">
        <f>'6-x'!P788</f>
        <v>2371.2000000000003</v>
      </c>
      <c r="I106" s="254"/>
      <c r="J106" s="107"/>
      <c r="K106" s="107"/>
      <c r="L106" s="107"/>
      <c r="M106" s="107"/>
      <c r="N106" s="107"/>
      <c r="O106" s="107"/>
      <c r="P106" s="107"/>
    </row>
    <row r="109" spans="1:16" ht="14.75" customHeight="1">
      <c r="A109" s="253">
        <v>2015</v>
      </c>
      <c r="B109" s="1106" t="s">
        <v>176</v>
      </c>
      <c r="C109" s="1107"/>
      <c r="D109" s="1107"/>
      <c r="E109" s="1107"/>
      <c r="F109" s="1107"/>
      <c r="G109" s="1107"/>
      <c r="H109" s="1108"/>
    </row>
    <row r="110" spans="1:16">
      <c r="A110" s="228" t="s">
        <v>263</v>
      </c>
      <c r="B110" s="249">
        <f>'6-x'!J868</f>
        <v>66.3</v>
      </c>
      <c r="C110" s="249">
        <f>'6-x'!K868</f>
        <v>14278.699999999999</v>
      </c>
      <c r="D110" s="249">
        <f>'6-x'!L868</f>
        <v>566.29999999999995</v>
      </c>
      <c r="E110" s="249">
        <f>'6-x'!M868</f>
        <v>932.10200000000009</v>
      </c>
      <c r="F110" s="249">
        <f>'6-x'!N868</f>
        <v>3714.8490000000002</v>
      </c>
      <c r="G110" s="249">
        <f>'6-x'!O868</f>
        <v>1096.049</v>
      </c>
      <c r="H110" s="249">
        <f>'6-x'!P868</f>
        <v>20654.299999999996</v>
      </c>
      <c r="I110" s="255"/>
      <c r="J110" s="107"/>
      <c r="K110" s="107"/>
      <c r="L110" s="107"/>
      <c r="M110" s="107"/>
      <c r="N110" s="107"/>
      <c r="O110" s="107"/>
      <c r="P110" s="107"/>
    </row>
    <row r="111" spans="1:16">
      <c r="A111" s="227" t="s">
        <v>24</v>
      </c>
      <c r="B111" s="288">
        <f>'6-x'!J869</f>
        <v>0</v>
      </c>
      <c r="C111" s="288">
        <f>'6-x'!K869</f>
        <v>1581.7</v>
      </c>
      <c r="D111" s="288">
        <f>'6-x'!L869</f>
        <v>31</v>
      </c>
      <c r="E111" s="288">
        <f>'6-x'!M869</f>
        <v>7.3019999999999996</v>
      </c>
      <c r="F111" s="288">
        <f>'6-x'!N869</f>
        <v>535.649</v>
      </c>
      <c r="G111" s="288">
        <f>'6-x'!O869</f>
        <v>1086.8489999999999</v>
      </c>
      <c r="H111" s="249">
        <f>'6-x'!P869</f>
        <v>3242.5</v>
      </c>
      <c r="I111" s="255"/>
      <c r="J111" s="107"/>
      <c r="K111" s="107"/>
      <c r="L111" s="107"/>
      <c r="M111" s="107"/>
      <c r="N111" s="107"/>
      <c r="O111" s="107"/>
      <c r="P111" s="107"/>
    </row>
    <row r="112" spans="1:16">
      <c r="A112" s="227" t="s">
        <v>25</v>
      </c>
      <c r="B112" s="288">
        <f>'6-x'!J870</f>
        <v>0</v>
      </c>
      <c r="C112" s="288">
        <f>'6-x'!K870</f>
        <v>1176.9000000000001</v>
      </c>
      <c r="D112" s="288">
        <f>'6-x'!L870</f>
        <v>0</v>
      </c>
      <c r="E112" s="288">
        <f>'6-x'!M870</f>
        <v>117.3</v>
      </c>
      <c r="F112" s="288">
        <f>'6-x'!N870</f>
        <v>8.5</v>
      </c>
      <c r="G112" s="288">
        <f>'6-x'!O870</f>
        <v>1.4</v>
      </c>
      <c r="H112" s="249">
        <f>'6-x'!P870</f>
        <v>1304.1000000000001</v>
      </c>
      <c r="I112" s="255"/>
      <c r="J112" s="107"/>
      <c r="K112" s="107"/>
      <c r="L112" s="107"/>
      <c r="M112" s="107"/>
      <c r="N112" s="107"/>
      <c r="O112" s="107"/>
      <c r="P112" s="107"/>
    </row>
    <row r="113" spans="1:16">
      <c r="A113" s="227" t="s">
        <v>26</v>
      </c>
      <c r="B113" s="288">
        <f>'6-x'!J871</f>
        <v>54.2</v>
      </c>
      <c r="C113" s="288">
        <f>'6-x'!K871</f>
        <v>10929.5</v>
      </c>
      <c r="D113" s="288">
        <f>'6-x'!L871</f>
        <v>216.5</v>
      </c>
      <c r="E113" s="288">
        <f>'6-x'!M871</f>
        <v>459.1</v>
      </c>
      <c r="F113" s="288">
        <f>'6-x'!N871</f>
        <v>1317.6</v>
      </c>
      <c r="G113" s="288">
        <f>'6-x'!O871</f>
        <v>6.4</v>
      </c>
      <c r="H113" s="249">
        <f>'6-x'!P871</f>
        <v>12983.300000000001</v>
      </c>
      <c r="I113" s="255"/>
      <c r="J113" s="107"/>
      <c r="K113" s="107"/>
      <c r="L113" s="107"/>
      <c r="M113" s="107"/>
      <c r="N113" s="107"/>
      <c r="O113" s="107"/>
      <c r="P113" s="107"/>
    </row>
    <row r="114" spans="1:16">
      <c r="A114" s="227" t="s">
        <v>27</v>
      </c>
      <c r="B114" s="288">
        <f>'6-x'!J872</f>
        <v>12.1</v>
      </c>
      <c r="C114" s="288">
        <f>'6-x'!K872</f>
        <v>305.3</v>
      </c>
      <c r="D114" s="288">
        <f>'6-x'!L872</f>
        <v>0</v>
      </c>
      <c r="E114" s="288">
        <f>'6-x'!M872</f>
        <v>161.69999999999999</v>
      </c>
      <c r="F114" s="288">
        <f>'6-x'!N872</f>
        <v>192.8</v>
      </c>
      <c r="G114" s="288">
        <f>'6-x'!O872</f>
        <v>0.3</v>
      </c>
      <c r="H114" s="249">
        <f>'6-x'!P872</f>
        <v>672.2</v>
      </c>
      <c r="I114" s="255"/>
      <c r="J114" s="107"/>
      <c r="K114" s="107"/>
      <c r="L114" s="107"/>
      <c r="M114" s="107"/>
      <c r="N114" s="107"/>
      <c r="O114" s="107"/>
      <c r="P114" s="107"/>
    </row>
    <row r="115" spans="1:16">
      <c r="A115" s="227" t="s">
        <v>28</v>
      </c>
      <c r="B115" s="288">
        <f>'6-x'!J873</f>
        <v>0</v>
      </c>
      <c r="C115" s="288">
        <f>'6-x'!K873</f>
        <v>285.3</v>
      </c>
      <c r="D115" s="288">
        <f>'6-x'!L873</f>
        <v>318.8</v>
      </c>
      <c r="E115" s="288">
        <f>'6-x'!M873</f>
        <v>186.7</v>
      </c>
      <c r="F115" s="288">
        <f>'6-x'!N873</f>
        <v>1660.3</v>
      </c>
      <c r="G115" s="288">
        <f>'6-x'!O873</f>
        <v>1.1000000000000001</v>
      </c>
      <c r="H115" s="249">
        <f>'6-x'!P873</f>
        <v>2452.1999999999998</v>
      </c>
      <c r="I115" s="255"/>
      <c r="J115" s="107"/>
      <c r="K115" s="107"/>
      <c r="L115" s="107"/>
      <c r="M115" s="107"/>
      <c r="N115" s="107"/>
      <c r="O115" s="107"/>
      <c r="P115" s="107"/>
    </row>
    <row r="118" spans="1:16" ht="14.75" customHeight="1">
      <c r="A118" s="253">
        <v>2010</v>
      </c>
      <c r="B118" s="1106" t="s">
        <v>176</v>
      </c>
      <c r="C118" s="1107"/>
      <c r="D118" s="1107"/>
      <c r="E118" s="1107"/>
      <c r="F118" s="1107"/>
      <c r="G118" s="1107"/>
      <c r="H118" s="1108"/>
    </row>
    <row r="119" spans="1:16">
      <c r="A119" s="228" t="s">
        <v>263</v>
      </c>
      <c r="B119" s="249">
        <f>'6-x'!J952</f>
        <v>54.199999999999996</v>
      </c>
      <c r="C119" s="249">
        <f>'6-x'!K952</f>
        <v>16928</v>
      </c>
      <c r="D119" s="249">
        <f>'6-x'!L952</f>
        <v>825.4</v>
      </c>
      <c r="E119" s="249">
        <f>'6-x'!M952</f>
        <v>2183.1999999999998</v>
      </c>
      <c r="F119" s="249">
        <f>'6-x'!N952</f>
        <v>3860.05</v>
      </c>
      <c r="G119" s="249">
        <f>'6-x'!O952</f>
        <v>147.94999999999999</v>
      </c>
      <c r="H119" s="249">
        <f>'6-x'!P952</f>
        <v>23998.800000000003</v>
      </c>
      <c r="I119" s="254"/>
      <c r="J119" s="107"/>
      <c r="K119" s="107"/>
      <c r="L119" s="107"/>
      <c r="M119" s="107"/>
      <c r="N119" s="107"/>
      <c r="O119" s="107"/>
      <c r="P119" s="107"/>
    </row>
    <row r="120" spans="1:16">
      <c r="A120" s="227" t="s">
        <v>24</v>
      </c>
      <c r="B120" s="288">
        <f>'6-x'!J953</f>
        <v>0</v>
      </c>
      <c r="C120" s="288">
        <f>'6-x'!K953</f>
        <v>993.7</v>
      </c>
      <c r="D120" s="288">
        <f>'6-x'!L953</f>
        <v>33.700000000000003</v>
      </c>
      <c r="E120" s="288">
        <f>'6-x'!M953</f>
        <v>13.6</v>
      </c>
      <c r="F120" s="288">
        <f>'6-x'!N953</f>
        <v>215.55</v>
      </c>
      <c r="G120" s="288">
        <f>'6-x'!O953</f>
        <v>111.35</v>
      </c>
      <c r="H120" s="249">
        <f>'6-x'!P953</f>
        <v>1367.8999999999999</v>
      </c>
      <c r="I120" s="254"/>
      <c r="J120" s="107"/>
      <c r="K120" s="107"/>
      <c r="L120" s="107"/>
      <c r="M120" s="107"/>
      <c r="N120" s="107"/>
      <c r="O120" s="107"/>
      <c r="P120" s="107"/>
    </row>
    <row r="121" spans="1:16">
      <c r="A121" s="227" t="s">
        <v>25</v>
      </c>
      <c r="B121" s="288">
        <f>'6-x'!J954</f>
        <v>0</v>
      </c>
      <c r="C121" s="288">
        <f>'6-x'!K954</f>
        <v>936.7</v>
      </c>
      <c r="D121" s="288">
        <f>'6-x'!L954</f>
        <v>0.1</v>
      </c>
      <c r="E121" s="288">
        <f>'6-x'!M954</f>
        <v>165.6</v>
      </c>
      <c r="F121" s="288">
        <f>'6-x'!N954</f>
        <v>0</v>
      </c>
      <c r="G121" s="288">
        <f>'6-x'!O954</f>
        <v>0.4</v>
      </c>
      <c r="H121" s="249">
        <f>'6-x'!P954</f>
        <v>1102.8000000000002</v>
      </c>
      <c r="I121" s="254"/>
      <c r="J121" s="107"/>
      <c r="K121" s="107"/>
      <c r="L121" s="107"/>
      <c r="M121" s="107"/>
      <c r="N121" s="107"/>
      <c r="O121" s="107"/>
      <c r="P121" s="107"/>
    </row>
    <row r="122" spans="1:16">
      <c r="A122" s="227" t="s">
        <v>26</v>
      </c>
      <c r="B122" s="288">
        <f>'6-x'!J955</f>
        <v>37.799999999999997</v>
      </c>
      <c r="C122" s="288">
        <f>'6-x'!K955</f>
        <v>14161.6</v>
      </c>
      <c r="D122" s="288">
        <f>'6-x'!L955</f>
        <v>757.6</v>
      </c>
      <c r="E122" s="288">
        <f>'6-x'!M955</f>
        <v>653</v>
      </c>
      <c r="F122" s="288">
        <f>'6-x'!N955</f>
        <v>2164.9</v>
      </c>
      <c r="G122" s="288">
        <f>'6-x'!O955</f>
        <v>0.6</v>
      </c>
      <c r="H122" s="249">
        <f>'6-x'!P955</f>
        <v>17775.5</v>
      </c>
      <c r="I122" s="254"/>
      <c r="J122" s="107"/>
      <c r="K122" s="107"/>
      <c r="L122" s="107"/>
      <c r="M122" s="107"/>
      <c r="N122" s="107"/>
      <c r="O122" s="107"/>
      <c r="P122" s="107"/>
    </row>
    <row r="123" spans="1:16">
      <c r="A123" s="227" t="s">
        <v>27</v>
      </c>
      <c r="B123" s="288">
        <f>'6-x'!J956</f>
        <v>16.399999999999999</v>
      </c>
      <c r="C123" s="288">
        <f>'6-x'!K956</f>
        <v>559.1</v>
      </c>
      <c r="D123" s="288">
        <f>'6-x'!L956</f>
        <v>0</v>
      </c>
      <c r="E123" s="288">
        <f>'6-x'!M956</f>
        <v>359.2</v>
      </c>
      <c r="F123" s="288">
        <f>'6-x'!N956</f>
        <v>195.8</v>
      </c>
      <c r="G123" s="288">
        <f>'6-x'!O956</f>
        <v>4.5</v>
      </c>
      <c r="H123" s="249">
        <f>'6-x'!P956</f>
        <v>1135</v>
      </c>
      <c r="I123" s="254"/>
      <c r="J123" s="107"/>
      <c r="K123" s="107"/>
      <c r="L123" s="107"/>
      <c r="M123" s="107"/>
      <c r="N123" s="107"/>
      <c r="O123" s="107"/>
      <c r="P123" s="107"/>
    </row>
    <row r="124" spans="1:16">
      <c r="A124" s="227" t="s">
        <v>28</v>
      </c>
      <c r="B124" s="288">
        <f>'6-x'!J957</f>
        <v>0</v>
      </c>
      <c r="C124" s="288">
        <f>'6-x'!K957</f>
        <v>276.89999999999998</v>
      </c>
      <c r="D124" s="288">
        <f>'6-x'!L957</f>
        <v>34</v>
      </c>
      <c r="E124" s="288">
        <f>'6-x'!M957</f>
        <v>991.8</v>
      </c>
      <c r="F124" s="288">
        <f>'6-x'!N957</f>
        <v>1283.8</v>
      </c>
      <c r="G124" s="288">
        <f>'6-x'!O957</f>
        <v>31.1</v>
      </c>
      <c r="H124" s="249">
        <f>'6-x'!P957</f>
        <v>2617.6</v>
      </c>
      <c r="I124" s="254"/>
      <c r="J124" s="107"/>
      <c r="K124" s="107"/>
      <c r="L124" s="107"/>
      <c r="M124" s="107"/>
      <c r="N124" s="107"/>
      <c r="O124" s="107"/>
      <c r="P124" s="107"/>
    </row>
    <row r="127" spans="1:16" ht="14.75" customHeight="1">
      <c r="A127" s="253">
        <v>2005</v>
      </c>
      <c r="B127" s="1106" t="s">
        <v>176</v>
      </c>
      <c r="C127" s="1107"/>
      <c r="D127" s="1107"/>
      <c r="E127" s="1107"/>
      <c r="F127" s="1107"/>
      <c r="G127" s="1107"/>
      <c r="H127" s="1108"/>
    </row>
    <row r="128" spans="1:16">
      <c r="A128" s="228" t="s">
        <v>263</v>
      </c>
      <c r="B128" s="249">
        <f>'6-x'!J1035</f>
        <v>168.7</v>
      </c>
      <c r="C128" s="249">
        <f>'6-x'!K1035</f>
        <v>14285.640000000001</v>
      </c>
      <c r="D128" s="249">
        <f>'6-x'!L1035</f>
        <v>840.04</v>
      </c>
      <c r="E128" s="249">
        <f>'6-x'!M1035</f>
        <v>2958.91</v>
      </c>
      <c r="F128" s="249">
        <f>'6-x'!N1035</f>
        <v>2879.51</v>
      </c>
      <c r="G128" s="249">
        <f>'6-x'!O1035</f>
        <v>72.8</v>
      </c>
      <c r="H128" s="249">
        <f>'6-x'!P1035</f>
        <v>21205.600000000002</v>
      </c>
      <c r="J128" s="107"/>
      <c r="K128" s="107"/>
      <c r="L128" s="107"/>
      <c r="M128" s="107"/>
      <c r="N128" s="107"/>
      <c r="O128" s="107"/>
      <c r="P128" s="107"/>
    </row>
    <row r="129" spans="1:16">
      <c r="A129" s="227" t="s">
        <v>24</v>
      </c>
      <c r="B129" s="288">
        <f>'6-x'!J1036</f>
        <v>0</v>
      </c>
      <c r="C129" s="288">
        <f>'6-x'!K1036</f>
        <v>422.2</v>
      </c>
      <c r="D129" s="288">
        <f>'6-x'!L1036</f>
        <v>34.799999999999997</v>
      </c>
      <c r="E129" s="288">
        <f>'6-x'!M1036</f>
        <v>19.600000000000001</v>
      </c>
      <c r="F129" s="288">
        <f>'6-x'!N1036</f>
        <v>35</v>
      </c>
      <c r="G129" s="288">
        <f>'6-x'!O1036</f>
        <v>30.4</v>
      </c>
      <c r="H129" s="249">
        <f>'6-x'!P1036</f>
        <v>542</v>
      </c>
      <c r="J129" s="107"/>
      <c r="K129" s="107"/>
      <c r="L129" s="107"/>
      <c r="M129" s="107"/>
      <c r="N129" s="107"/>
      <c r="O129" s="107"/>
      <c r="P129" s="107"/>
    </row>
    <row r="130" spans="1:16">
      <c r="A130" s="227" t="s">
        <v>25</v>
      </c>
      <c r="B130" s="288">
        <f>'6-x'!J1037</f>
        <v>0</v>
      </c>
      <c r="C130" s="288">
        <f>'6-x'!K1037</f>
        <v>1509.5</v>
      </c>
      <c r="D130" s="288">
        <f>'6-x'!L1037</f>
        <v>0</v>
      </c>
      <c r="E130" s="288">
        <f>'6-x'!M1037</f>
        <v>175.1</v>
      </c>
      <c r="F130" s="288">
        <f>'6-x'!N1037</f>
        <v>7.4</v>
      </c>
      <c r="G130" s="288">
        <f>'6-x'!O1037</f>
        <v>0.2</v>
      </c>
      <c r="H130" s="249">
        <f>'6-x'!P1037</f>
        <v>1692.2</v>
      </c>
      <c r="J130" s="107"/>
      <c r="K130" s="107"/>
      <c r="L130" s="107"/>
      <c r="M130" s="107"/>
      <c r="N130" s="107"/>
      <c r="O130" s="107"/>
      <c r="P130" s="107"/>
    </row>
    <row r="131" spans="1:16">
      <c r="A131" s="227" t="s">
        <v>26</v>
      </c>
      <c r="B131" s="288">
        <f>'6-x'!J1038</f>
        <v>0</v>
      </c>
      <c r="C131" s="288">
        <f>'6-x'!K1038</f>
        <v>10735.94</v>
      </c>
      <c r="D131" s="288">
        <f>'6-x'!L1038</f>
        <v>716.34</v>
      </c>
      <c r="E131" s="288">
        <f>'6-x'!M1038</f>
        <v>596.21</v>
      </c>
      <c r="F131" s="288">
        <f>'6-x'!N1038</f>
        <v>1579.61</v>
      </c>
      <c r="G131" s="288">
        <f>'6-x'!O1038</f>
        <v>0.7</v>
      </c>
      <c r="H131" s="249">
        <f>'6-x'!P1038</f>
        <v>13628.800000000003</v>
      </c>
      <c r="J131" s="107"/>
      <c r="K131" s="107"/>
      <c r="L131" s="107"/>
      <c r="M131" s="107"/>
      <c r="N131" s="107"/>
      <c r="O131" s="107"/>
      <c r="P131" s="107"/>
    </row>
    <row r="132" spans="1:16">
      <c r="A132" s="227" t="s">
        <v>27</v>
      </c>
      <c r="B132" s="288">
        <f>'6-x'!J1039</f>
        <v>168.7</v>
      </c>
      <c r="C132" s="288">
        <f>'6-x'!K1039</f>
        <v>1187.4000000000001</v>
      </c>
      <c r="D132" s="288">
        <f>'6-x'!L1039</f>
        <v>2.6</v>
      </c>
      <c r="E132" s="288">
        <f>'6-x'!M1039</f>
        <v>629.5</v>
      </c>
      <c r="F132" s="288">
        <f>'6-x'!N1039</f>
        <v>377</v>
      </c>
      <c r="G132" s="288">
        <f>'6-x'!O1039</f>
        <v>8.9</v>
      </c>
      <c r="H132" s="249">
        <f>'6-x'!P1039</f>
        <v>2374.1</v>
      </c>
      <c r="J132" s="107"/>
      <c r="K132" s="107"/>
      <c r="L132" s="107"/>
      <c r="M132" s="107"/>
      <c r="N132" s="107"/>
      <c r="O132" s="107"/>
      <c r="P132" s="107"/>
    </row>
    <row r="133" spans="1:16">
      <c r="A133" s="227" t="s">
        <v>28</v>
      </c>
      <c r="B133" s="288">
        <f>'6-x'!J1040</f>
        <v>0</v>
      </c>
      <c r="C133" s="288">
        <f>'6-x'!K1040</f>
        <v>430.6</v>
      </c>
      <c r="D133" s="288">
        <f>'6-x'!L1040</f>
        <v>86.3</v>
      </c>
      <c r="E133" s="288">
        <f>'6-x'!M1040</f>
        <v>1538.5</v>
      </c>
      <c r="F133" s="288">
        <f>'6-x'!N1040</f>
        <v>880.5</v>
      </c>
      <c r="G133" s="288">
        <f>'6-x'!O1040</f>
        <v>32.6</v>
      </c>
      <c r="H133" s="249">
        <f>'6-x'!P1040</f>
        <v>2968.5</v>
      </c>
      <c r="J133" s="107"/>
      <c r="K133" s="107"/>
      <c r="L133" s="107"/>
      <c r="M133" s="107"/>
      <c r="N133" s="107"/>
      <c r="O133" s="107"/>
      <c r="P133" s="107"/>
    </row>
  </sheetData>
  <sheetProtection algorithmName="SHA-512" hashValue="mEjCu09M3JNZ/Aqcczo2R20c6+gazJxkAuF/pbNX03Hvo0tyneX8KGBBmBGgapEcuzSJNPPD1uIp0KLEpmBzsg==" saltValue="BDQdNCE85wZ098Zdmfm9qg==" spinCount="100000" sheet="1" objects="1" scenarios="1"/>
  <mergeCells count="22">
    <mergeCell ref="B5:H5"/>
    <mergeCell ref="B127:H127"/>
    <mergeCell ref="B109:H109"/>
    <mergeCell ref="B118:H118"/>
    <mergeCell ref="B15:H15"/>
    <mergeCell ref="B17:H17"/>
    <mergeCell ref="A2:H2"/>
    <mergeCell ref="B98:H98"/>
    <mergeCell ref="B100:H100"/>
    <mergeCell ref="B87:H87"/>
    <mergeCell ref="B89:H89"/>
    <mergeCell ref="B75:H75"/>
    <mergeCell ref="B77:H77"/>
    <mergeCell ref="B63:H63"/>
    <mergeCell ref="B65:H65"/>
    <mergeCell ref="B51:H51"/>
    <mergeCell ref="B53:H53"/>
    <mergeCell ref="B39:H39"/>
    <mergeCell ref="B41:H41"/>
    <mergeCell ref="B27:H27"/>
    <mergeCell ref="B29:H29"/>
    <mergeCell ref="B3:H3"/>
  </mergeCells>
  <hyperlinks>
    <hyperlink ref="A1" location="Indice!A1" display="Torna indietro" xr:uid="{276BCCA8-C952-4F5A-A59C-E8C3006A0CB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9"/>
  <dimension ref="A1:I133"/>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6" customHeight="1">
      <c r="A2" s="1103" t="s">
        <v>433</v>
      </c>
      <c r="B2" s="1103"/>
      <c r="C2" s="1103"/>
      <c r="D2" s="1103"/>
      <c r="E2" s="1103"/>
      <c r="F2" s="1103"/>
      <c r="G2" s="1103"/>
      <c r="H2" s="1103"/>
    </row>
    <row r="3" spans="1:8">
      <c r="B3" s="1104" t="s">
        <v>10</v>
      </c>
      <c r="C3" s="1104"/>
      <c r="D3" s="1104"/>
      <c r="E3" s="1104"/>
      <c r="F3" s="1104"/>
      <c r="G3" s="1104"/>
      <c r="H3" s="1104"/>
    </row>
    <row r="4" spans="1:8" ht="29">
      <c r="B4" s="251" t="s">
        <v>5</v>
      </c>
      <c r="C4" s="251" t="s">
        <v>63</v>
      </c>
      <c r="D4" s="251" t="s">
        <v>7</v>
      </c>
      <c r="E4" s="251" t="s">
        <v>8</v>
      </c>
      <c r="F4" s="251" t="s">
        <v>243</v>
      </c>
      <c r="G4" s="251" t="s">
        <v>244</v>
      </c>
      <c r="H4" s="251" t="s">
        <v>9</v>
      </c>
    </row>
    <row r="5" spans="1:8">
      <c r="A5" s="253">
        <v>2024</v>
      </c>
      <c r="B5" s="1106" t="s">
        <v>176</v>
      </c>
      <c r="C5" s="1107"/>
      <c r="D5" s="1107"/>
      <c r="E5" s="1107"/>
      <c r="F5" s="1107"/>
      <c r="G5" s="1107"/>
      <c r="H5" s="1108"/>
    </row>
    <row r="6" spans="1:8">
      <c r="A6" s="228" t="s">
        <v>263</v>
      </c>
      <c r="B6" s="249">
        <f>'6-x'!J50</f>
        <v>0</v>
      </c>
      <c r="C6" s="249">
        <f>'6-x'!K50</f>
        <v>2962.7377476913916</v>
      </c>
      <c r="D6" s="249">
        <f>'6-x'!L50</f>
        <v>33.886500435479995</v>
      </c>
      <c r="E6" s="249">
        <f>'6-x'!M50</f>
        <v>429.11435948567998</v>
      </c>
      <c r="F6" s="249">
        <f>'6-x'!N50</f>
        <v>763.17282901595991</v>
      </c>
      <c r="G6" s="249">
        <f>'6-x'!O50</f>
        <v>258.27171113435998</v>
      </c>
      <c r="H6" s="249">
        <f>'6-x'!P50</f>
        <v>4447.1831477628712</v>
      </c>
    </row>
    <row r="7" spans="1:8">
      <c r="A7" s="227" t="s">
        <v>24</v>
      </c>
      <c r="B7" s="288">
        <f>'6-x'!J51</f>
        <v>0</v>
      </c>
      <c r="C7" s="288">
        <f>'6-x'!K51</f>
        <v>840.81685310436001</v>
      </c>
      <c r="D7" s="288">
        <f>'6-x'!L51</f>
        <v>5.8039552889999992</v>
      </c>
      <c r="E7" s="288">
        <f>'6-x'!M51</f>
        <v>2.2613929496400003</v>
      </c>
      <c r="F7" s="288">
        <f>'6-x'!N51</f>
        <v>118.13413587492001</v>
      </c>
      <c r="G7" s="288">
        <f>'6-x'!O51</f>
        <v>256.21668103944</v>
      </c>
      <c r="H7" s="249">
        <f>'6-x'!P51</f>
        <v>1223.2330182573601</v>
      </c>
    </row>
    <row r="8" spans="1:8">
      <c r="A8" s="227" t="s">
        <v>25</v>
      </c>
      <c r="B8" s="288">
        <f>'6-x'!J52</f>
        <v>0</v>
      </c>
      <c r="C8" s="288">
        <f>'6-x'!K52</f>
        <v>679.75924344767998</v>
      </c>
      <c r="D8" s="288">
        <f>'6-x'!L52</f>
        <v>0</v>
      </c>
      <c r="E8" s="288">
        <f>'6-x'!M52</f>
        <v>46.319862432360004</v>
      </c>
      <c r="F8" s="288">
        <f>'6-x'!N52</f>
        <v>5.1934651771199993</v>
      </c>
      <c r="G8" s="288">
        <f>'6-x'!O52</f>
        <v>0.53310404136</v>
      </c>
      <c r="H8" s="249">
        <f>'6-x'!P52</f>
        <v>731.80567509851994</v>
      </c>
    </row>
    <row r="9" spans="1:8">
      <c r="A9" s="227" t="s">
        <v>26</v>
      </c>
      <c r="B9" s="288">
        <f>'6-x'!J53</f>
        <v>0</v>
      </c>
      <c r="C9" s="288">
        <f>'6-x'!K53</f>
        <v>1306.6723991824799</v>
      </c>
      <c r="D9" s="288">
        <f>'6-x'!L53</f>
        <v>11.883061050959997</v>
      </c>
      <c r="E9" s="288">
        <f>'6-x'!M53</f>
        <v>233.23301809499998</v>
      </c>
      <c r="F9" s="288">
        <f>'6-x'!N53</f>
        <v>177.38607053639998</v>
      </c>
      <c r="G9" s="288">
        <f>'6-x'!O53</f>
        <v>1.4015477216399999</v>
      </c>
      <c r="H9" s="249">
        <f>'6-x'!P53</f>
        <v>1730.5760965864799</v>
      </c>
    </row>
    <row r="10" spans="1:8">
      <c r="A10" s="227" t="s">
        <v>27</v>
      </c>
      <c r="B10" s="288">
        <f>'6-x'!J54</f>
        <v>0</v>
      </c>
      <c r="C10" s="288">
        <f>'6-x'!K54</f>
        <v>79.496130709511988</v>
      </c>
      <c r="D10" s="288">
        <f>'6-x'!L54</f>
        <v>0</v>
      </c>
      <c r="E10" s="288">
        <f>'6-x'!M54</f>
        <v>84.6087704352</v>
      </c>
      <c r="F10" s="288">
        <f>'6-x'!N54</f>
        <v>126.91315565279999</v>
      </c>
      <c r="G10" s="288">
        <f>'6-x'!O54</f>
        <v>0</v>
      </c>
      <c r="H10" s="249">
        <f>'6-x'!P54</f>
        <v>291.01805679751197</v>
      </c>
    </row>
    <row r="11" spans="1:8">
      <c r="A11" s="227" t="s">
        <v>28</v>
      </c>
      <c r="B11" s="288">
        <f>'6-x'!J55</f>
        <v>0</v>
      </c>
      <c r="C11" s="288">
        <f>'6-x'!K55</f>
        <v>55.889939819999995</v>
      </c>
      <c r="D11" s="288">
        <f>'6-x'!L55</f>
        <v>16.199484095519999</v>
      </c>
      <c r="E11" s="288">
        <f>'6-x'!M55</f>
        <v>62.691315573479997</v>
      </c>
      <c r="F11" s="288">
        <f>'6-x'!N55</f>
        <v>335.54600177471997</v>
      </c>
      <c r="G11" s="288">
        <f>'6-x'!O55</f>
        <v>0.12037833191999998</v>
      </c>
      <c r="H11" s="249">
        <f>'6-x'!P55</f>
        <v>470.44711959563995</v>
      </c>
    </row>
    <row r="12" spans="1:8">
      <c r="A12" s="227" t="s">
        <v>353</v>
      </c>
      <c r="B12" s="288">
        <f>'6-x'!J56</f>
        <v>0</v>
      </c>
      <c r="C12" s="288">
        <f>'6-x'!K56</f>
        <v>0.10318142735999998</v>
      </c>
      <c r="D12" s="288">
        <f>'6-x'!L56</f>
        <v>0</v>
      </c>
      <c r="E12" s="288">
        <f>'6-x'!M56</f>
        <v>0</v>
      </c>
      <c r="F12" s="288">
        <f>'6-x'!N56</f>
        <v>0</v>
      </c>
      <c r="G12" s="288">
        <f>'6-x'!O56</f>
        <v>0</v>
      </c>
      <c r="H12" s="249">
        <f>'6-x'!P56</f>
        <v>0.10318142735999998</v>
      </c>
    </row>
    <row r="13" spans="1:8">
      <c r="A13" s="228" t="s">
        <v>434</v>
      </c>
      <c r="B13" s="273" t="str">
        <f>'6-x'!J47</f>
        <v/>
      </c>
      <c r="C13" s="273">
        <f>'6-x'!K47</f>
        <v>0.89314400497761315</v>
      </c>
      <c r="D13" s="273">
        <f>'6-x'!L47</f>
        <v>0.8998777939574637</v>
      </c>
      <c r="E13" s="273">
        <f>'6-x'!M47</f>
        <v>0.90316195057341764</v>
      </c>
      <c r="F13" s="273">
        <f>'6-x'!N47</f>
        <v>0.8506584084169182</v>
      </c>
      <c r="G13" s="273">
        <f>'6-x'!O47</f>
        <v>0.88892779730253091</v>
      </c>
      <c r="H13" s="273">
        <f>'6-x'!P47</f>
        <v>0.88630263034340351</v>
      </c>
    </row>
    <row r="14" spans="1:8" ht="15.5">
      <c r="A14" s="314"/>
      <c r="B14" s="314"/>
      <c r="C14" s="314"/>
      <c r="D14" s="314"/>
      <c r="E14" s="314"/>
      <c r="F14" s="314"/>
      <c r="G14" s="314"/>
      <c r="H14" s="314"/>
    </row>
    <row r="15" spans="1:8">
      <c r="B15" s="1104" t="s">
        <v>10</v>
      </c>
      <c r="C15" s="1104"/>
      <c r="D15" s="1104"/>
      <c r="E15" s="1104"/>
      <c r="F15" s="1104"/>
      <c r="G15" s="1104"/>
      <c r="H15" s="1104"/>
    </row>
    <row r="16" spans="1:8" ht="29">
      <c r="B16" s="251" t="s">
        <v>5</v>
      </c>
      <c r="C16" s="251" t="s">
        <v>63</v>
      </c>
      <c r="D16" s="251" t="s">
        <v>7</v>
      </c>
      <c r="E16" s="251" t="s">
        <v>8</v>
      </c>
      <c r="F16" s="251" t="s">
        <v>243</v>
      </c>
      <c r="G16" s="251" t="s">
        <v>244</v>
      </c>
      <c r="H16" s="251" t="s">
        <v>9</v>
      </c>
    </row>
    <row r="17" spans="1:8">
      <c r="A17" s="253">
        <v>2023</v>
      </c>
      <c r="B17" s="1106" t="s">
        <v>176</v>
      </c>
      <c r="C17" s="1107"/>
      <c r="D17" s="1107"/>
      <c r="E17" s="1107"/>
      <c r="F17" s="1107"/>
      <c r="G17" s="1107"/>
      <c r="H17" s="1108"/>
    </row>
    <row r="18" spans="1:8">
      <c r="A18" s="228" t="s">
        <v>263</v>
      </c>
      <c r="B18" s="249">
        <f>'6-x'!J144</f>
        <v>0</v>
      </c>
      <c r="C18" s="249">
        <f>'6-x'!K144</f>
        <v>2912.9647468233834</v>
      </c>
      <c r="D18" s="249">
        <f>'6-x'!L144</f>
        <v>46.847807402351997</v>
      </c>
      <c r="E18" s="249">
        <f>'6-x'!M144</f>
        <v>432.46603618442396</v>
      </c>
      <c r="F18" s="249">
        <f>'6-x'!N144</f>
        <v>717.47549452867202</v>
      </c>
      <c r="G18" s="249">
        <f>'6-x'!O144</f>
        <v>263.99828035283997</v>
      </c>
      <c r="H18" s="249">
        <f>'6-x'!P144</f>
        <v>4373.7523652916716</v>
      </c>
    </row>
    <row r="19" spans="1:8">
      <c r="A19" s="227" t="s">
        <v>24</v>
      </c>
      <c r="B19" s="288">
        <f>'6-x'!J145</f>
        <v>0</v>
      </c>
      <c r="C19" s="288">
        <f>'6-x'!K145</f>
        <v>779.38091156376004</v>
      </c>
      <c r="D19" s="288">
        <f>'6-x'!L145</f>
        <v>8.7618228733199999</v>
      </c>
      <c r="E19" s="288">
        <f>'6-x'!M145</f>
        <v>1.14359415324</v>
      </c>
      <c r="F19" s="288">
        <f>'6-x'!N145</f>
        <v>132.61392951443997</v>
      </c>
      <c r="G19" s="288">
        <f>'6-x'!O145</f>
        <v>261.35855550287999</v>
      </c>
      <c r="H19" s="249">
        <f>'6-x'!P145</f>
        <v>1183.2588136076399</v>
      </c>
    </row>
    <row r="20" spans="1:8">
      <c r="A20" s="227" t="s">
        <v>25</v>
      </c>
      <c r="B20" s="288">
        <f>'6-x'!J146</f>
        <v>0</v>
      </c>
      <c r="C20" s="288">
        <f>'6-x'!K146</f>
        <v>683.64574387823995</v>
      </c>
      <c r="D20" s="288">
        <f>'6-x'!L146</f>
        <v>0</v>
      </c>
      <c r="E20" s="288">
        <f>'6-x'!M146</f>
        <v>44.539982810399998</v>
      </c>
      <c r="F20" s="288">
        <f>'6-x'!N146</f>
        <v>4.09286328528</v>
      </c>
      <c r="G20" s="288">
        <f>'6-x'!O146</f>
        <v>0.92003439395999986</v>
      </c>
      <c r="H20" s="249">
        <f>'6-x'!P146</f>
        <v>733.19862436788003</v>
      </c>
    </row>
    <row r="21" spans="1:8">
      <c r="A21" s="227" t="s">
        <v>26</v>
      </c>
      <c r="B21" s="288">
        <f>'6-x'!J147</f>
        <v>0</v>
      </c>
      <c r="C21" s="288">
        <f>'6-x'!K147</f>
        <v>1312.075666595232</v>
      </c>
      <c r="D21" s="288">
        <f>'6-x'!L147</f>
        <v>23.279449702872</v>
      </c>
      <c r="E21" s="288">
        <f>'6-x'!M147</f>
        <v>225.532244233032</v>
      </c>
      <c r="F21" s="288">
        <f>'6-x'!N147</f>
        <v>208.94239040399998</v>
      </c>
      <c r="G21" s="288">
        <f>'6-x'!O147</f>
        <v>1.6509028377599997</v>
      </c>
      <c r="H21" s="249">
        <f>'6-x'!P147</f>
        <v>1771.4806537728959</v>
      </c>
    </row>
    <row r="22" spans="1:8">
      <c r="A22" s="227" t="s">
        <v>27</v>
      </c>
      <c r="B22" s="288">
        <f>'6-x'!J148</f>
        <v>0</v>
      </c>
      <c r="C22" s="288">
        <f>'6-x'!K148</f>
        <v>91.447979378711992</v>
      </c>
      <c r="D22" s="288">
        <f>'6-x'!L148</f>
        <v>0</v>
      </c>
      <c r="E22" s="288">
        <f>'6-x'!M148</f>
        <v>84.560619102432</v>
      </c>
      <c r="F22" s="288">
        <f>'6-x'!N148</f>
        <v>91.181427358031996</v>
      </c>
      <c r="G22" s="288">
        <f>'6-x'!O148</f>
        <v>0</v>
      </c>
      <c r="H22" s="249">
        <f>'6-x'!P148</f>
        <v>267.19002583917597</v>
      </c>
    </row>
    <row r="23" spans="1:8">
      <c r="A23" s="227" t="s">
        <v>28</v>
      </c>
      <c r="B23" s="288">
        <f>'6-x'!J149</f>
        <v>0</v>
      </c>
      <c r="C23" s="288">
        <f>'6-x'!K149</f>
        <v>46.414445407439992</v>
      </c>
      <c r="D23" s="288">
        <f>'6-x'!L149</f>
        <v>14.806534826159998</v>
      </c>
      <c r="E23" s="288">
        <f>'6-x'!M149</f>
        <v>76.689595885320003</v>
      </c>
      <c r="F23" s="288">
        <f>'6-x'!N149</f>
        <v>280.64488396691996</v>
      </c>
      <c r="G23" s="288">
        <f>'6-x'!O149</f>
        <v>6.8787618240000001E-2</v>
      </c>
      <c r="H23" s="249">
        <f>'6-x'!P149</f>
        <v>418.62424770407995</v>
      </c>
    </row>
    <row r="24" spans="1:8">
      <c r="A24" s="227" t="s">
        <v>353</v>
      </c>
      <c r="B24" s="288">
        <f>'6-x'!J150</f>
        <v>0</v>
      </c>
      <c r="C24" s="288">
        <f>'6-x'!K150</f>
        <v>0</v>
      </c>
      <c r="D24" s="288">
        <f>'6-x'!L150</f>
        <v>0</v>
      </c>
      <c r="E24" s="288">
        <f>'6-x'!M150</f>
        <v>0</v>
      </c>
      <c r="F24" s="288">
        <f>'6-x'!N150</f>
        <v>0</v>
      </c>
      <c r="G24" s="288">
        <f>'6-x'!O150</f>
        <v>0</v>
      </c>
      <c r="H24" s="249">
        <f>'6-x'!P150</f>
        <v>0</v>
      </c>
    </row>
    <row r="25" spans="1:8">
      <c r="A25" s="228" t="s">
        <v>434</v>
      </c>
      <c r="B25" s="273" t="str">
        <f>'6-x'!J141</f>
        <v/>
      </c>
      <c r="C25" s="273">
        <f>'6-x'!K141</f>
        <v>0.89245673706488438</v>
      </c>
      <c r="D25" s="273">
        <f>'6-x'!L141</f>
        <v>0.89910718855761074</v>
      </c>
      <c r="E25" s="273">
        <f>'6-x'!M141</f>
        <v>0.89649547469413671</v>
      </c>
      <c r="F25" s="273">
        <f>'6-x'!N141</f>
        <v>0.84315675877672125</v>
      </c>
      <c r="G25" s="273">
        <f>'6-x'!O141</f>
        <v>0.89192106193196952</v>
      </c>
      <c r="H25" s="273">
        <f>'6-x'!P141</f>
        <v>0.88440582934100209</v>
      </c>
    </row>
    <row r="26" spans="1:8" ht="15.5">
      <c r="A26" s="314"/>
      <c r="B26" s="314"/>
      <c r="C26" s="314"/>
      <c r="D26" s="314"/>
      <c r="E26" s="314"/>
      <c r="F26" s="314"/>
      <c r="G26" s="314"/>
      <c r="H26" s="314"/>
    </row>
    <row r="27" spans="1:8">
      <c r="B27" s="1104" t="s">
        <v>10</v>
      </c>
      <c r="C27" s="1104"/>
      <c r="D27" s="1104"/>
      <c r="E27" s="1104"/>
      <c r="F27" s="1104"/>
      <c r="G27" s="1104"/>
      <c r="H27" s="1104"/>
    </row>
    <row r="28" spans="1:8" ht="29">
      <c r="B28" s="251" t="s">
        <v>5</v>
      </c>
      <c r="C28" s="251" t="s">
        <v>63</v>
      </c>
      <c r="D28" s="251" t="s">
        <v>7</v>
      </c>
      <c r="E28" s="251" t="s">
        <v>8</v>
      </c>
      <c r="F28" s="251" t="s">
        <v>243</v>
      </c>
      <c r="G28" s="251" t="s">
        <v>244</v>
      </c>
      <c r="H28" s="251" t="s">
        <v>9</v>
      </c>
    </row>
    <row r="29" spans="1:8">
      <c r="A29" s="253">
        <v>2022</v>
      </c>
      <c r="B29" s="1106" t="s">
        <v>176</v>
      </c>
      <c r="C29" s="1107"/>
      <c r="D29" s="1107"/>
      <c r="E29" s="1107"/>
      <c r="F29" s="1107"/>
      <c r="G29" s="1107"/>
      <c r="H29" s="1108"/>
    </row>
    <row r="30" spans="1:8">
      <c r="A30" s="228" t="s">
        <v>263</v>
      </c>
      <c r="B30" s="249">
        <f>'6-x'!J236</f>
        <v>0</v>
      </c>
      <c r="C30" s="249">
        <f>'6-x'!K236</f>
        <v>3192.3989687092799</v>
      </c>
      <c r="D30" s="249">
        <f>'6-x'!L236</f>
        <v>50.068787626439999</v>
      </c>
      <c r="E30" s="249">
        <f>'6-x'!M236</f>
        <v>485.10748073303995</v>
      </c>
      <c r="F30" s="249">
        <f>'6-x'!N236</f>
        <v>862.50214975451991</v>
      </c>
      <c r="G30" s="249">
        <f>'6-x'!O236</f>
        <v>283.27601036459993</v>
      </c>
      <c r="H30" s="249">
        <f>'6-x'!P236</f>
        <v>4873.3533971878796</v>
      </c>
    </row>
    <row r="31" spans="1:8">
      <c r="A31" s="227" t="s">
        <v>24</v>
      </c>
      <c r="B31" s="288">
        <f>'6-x'!J237</f>
        <v>0</v>
      </c>
      <c r="C31" s="288">
        <f>'6-x'!K237</f>
        <v>772.79449711728</v>
      </c>
      <c r="D31" s="288">
        <f>'6-x'!L237</f>
        <v>7.5580395541199996</v>
      </c>
      <c r="E31" s="288">
        <f>'6-x'!M237</f>
        <v>1.4187446261999999</v>
      </c>
      <c r="F31" s="288">
        <f>'6-x'!N237</f>
        <v>145.27944972287997</v>
      </c>
      <c r="G31" s="288">
        <f>'6-x'!O237</f>
        <v>281.25537407879995</v>
      </c>
      <c r="H31" s="249">
        <f>'6-x'!P237</f>
        <v>1208.3061050992801</v>
      </c>
    </row>
    <row r="32" spans="1:8">
      <c r="A32" s="227" t="s">
        <v>25</v>
      </c>
      <c r="B32" s="288">
        <f>'6-x'!J238</f>
        <v>0</v>
      </c>
      <c r="C32" s="288">
        <f>'6-x'!K238</f>
        <v>758.1943251458398</v>
      </c>
      <c r="D32" s="288">
        <f>'6-x'!L238</f>
        <v>0</v>
      </c>
      <c r="E32" s="288">
        <f>'6-x'!M238</f>
        <v>80.834049884280006</v>
      </c>
      <c r="F32" s="288">
        <f>'6-x'!N238</f>
        <v>5.8555460026799988</v>
      </c>
      <c r="G32" s="288">
        <f>'6-x'!O238</f>
        <v>0.34393809119999996</v>
      </c>
      <c r="H32" s="249">
        <f>'6-x'!P238</f>
        <v>845.22785912399979</v>
      </c>
    </row>
    <row r="33" spans="1:8">
      <c r="A33" s="227" t="s">
        <v>26</v>
      </c>
      <c r="B33" s="288">
        <f>'6-x'!J239</f>
        <v>0</v>
      </c>
      <c r="C33" s="288">
        <f>'6-x'!K239</f>
        <v>1465.9243338603599</v>
      </c>
      <c r="D33" s="288">
        <f>'6-x'!L239</f>
        <v>31.530524510759996</v>
      </c>
      <c r="E33" s="288">
        <f>'6-x'!M239</f>
        <v>246.41444544024</v>
      </c>
      <c r="F33" s="288">
        <f>'6-x'!N239</f>
        <v>285.54600176651996</v>
      </c>
      <c r="G33" s="288">
        <f>'6-x'!O239</f>
        <v>1.3499570079599998</v>
      </c>
      <c r="H33" s="249">
        <f>'6-x'!P239</f>
        <v>2030.7652625858398</v>
      </c>
    </row>
    <row r="34" spans="1:8">
      <c r="A34" s="227" t="s">
        <v>27</v>
      </c>
      <c r="B34" s="288">
        <f>'6-x'!J240</f>
        <v>0</v>
      </c>
      <c r="C34" s="288">
        <f>'6-x'!K240</f>
        <v>126.13069649532</v>
      </c>
      <c r="D34" s="288">
        <f>'6-x'!L240</f>
        <v>0</v>
      </c>
      <c r="E34" s="288">
        <f>'6-x'!M240</f>
        <v>88.271711106479984</v>
      </c>
      <c r="F34" s="288">
        <f>'6-x'!N240</f>
        <v>105.03869305247999</v>
      </c>
      <c r="G34" s="288">
        <f>'6-x'!O240</f>
        <v>0</v>
      </c>
      <c r="H34" s="249">
        <f>'6-x'!P240</f>
        <v>319.44110065427998</v>
      </c>
    </row>
    <row r="35" spans="1:8">
      <c r="A35" s="227" t="s">
        <v>28</v>
      </c>
      <c r="B35" s="288">
        <f>'6-x'!J241</f>
        <v>0</v>
      </c>
      <c r="C35" s="288">
        <f>'6-x'!K241</f>
        <v>69.337919185919986</v>
      </c>
      <c r="D35" s="288">
        <f>'6-x'!L241</f>
        <v>10.980223561560001</v>
      </c>
      <c r="E35" s="288">
        <f>'6-x'!M241</f>
        <v>68.168529675839991</v>
      </c>
      <c r="F35" s="288">
        <f>'6-x'!N241</f>
        <v>320.78245920995994</v>
      </c>
      <c r="G35" s="288">
        <f>'6-x'!O241</f>
        <v>0.32674118663999996</v>
      </c>
      <c r="H35" s="249">
        <f>'6-x'!P241</f>
        <v>469.59587281991992</v>
      </c>
    </row>
    <row r="36" spans="1:8">
      <c r="A36" s="227" t="s">
        <v>353</v>
      </c>
      <c r="B36" s="288">
        <f>'6-x'!J242</f>
        <v>0</v>
      </c>
      <c r="C36" s="288">
        <f>'6-x'!K242</f>
        <v>1.719690456E-2</v>
      </c>
      <c r="D36" s="288">
        <f>'6-x'!L242</f>
        <v>0</v>
      </c>
      <c r="E36" s="288">
        <f>'6-x'!M242</f>
        <v>0</v>
      </c>
      <c r="F36" s="288">
        <f>'6-x'!N242</f>
        <v>0</v>
      </c>
      <c r="G36" s="288">
        <f>'6-x'!O242</f>
        <v>0</v>
      </c>
      <c r="H36" s="249">
        <f>'6-x'!P242</f>
        <v>1.719690456E-2</v>
      </c>
    </row>
    <row r="37" spans="1:8">
      <c r="A37" s="228" t="s">
        <v>434</v>
      </c>
      <c r="B37" s="273" t="str">
        <f>'6-x'!J233</f>
        <v/>
      </c>
      <c r="C37" s="273">
        <f>'6-x'!K233</f>
        <v>0.89548678567612772</v>
      </c>
      <c r="D37" s="273">
        <f>'6-x'!L233</f>
        <v>0.90021843800471402</v>
      </c>
      <c r="E37" s="273">
        <f>'6-x'!M233</f>
        <v>0.89245470751235767</v>
      </c>
      <c r="F37" s="273">
        <f>'6-x'!N233</f>
        <v>0.863149039428593</v>
      </c>
      <c r="G37" s="273">
        <f>'6-x'!O233</f>
        <v>0.89472657081806117</v>
      </c>
      <c r="H37" s="273">
        <f>'6-x'!P233</f>
        <v>0.88929353895715624</v>
      </c>
    </row>
    <row r="38" spans="1:8" ht="15.5">
      <c r="A38" s="314"/>
      <c r="B38" s="314"/>
      <c r="C38" s="314"/>
      <c r="D38" s="314"/>
      <c r="E38" s="314"/>
      <c r="F38" s="314"/>
      <c r="G38" s="314"/>
      <c r="H38" s="314"/>
    </row>
    <row r="39" spans="1:8">
      <c r="B39" s="1104" t="s">
        <v>10</v>
      </c>
      <c r="C39" s="1104"/>
      <c r="D39" s="1104"/>
      <c r="E39" s="1104"/>
      <c r="F39" s="1104"/>
      <c r="G39" s="1104"/>
      <c r="H39" s="1104"/>
    </row>
    <row r="40" spans="1:8" ht="29">
      <c r="B40" s="251" t="s">
        <v>5</v>
      </c>
      <c r="C40" s="251" t="s">
        <v>63</v>
      </c>
      <c r="D40" s="251" t="s">
        <v>7</v>
      </c>
      <c r="E40" s="251" t="s">
        <v>8</v>
      </c>
      <c r="F40" s="251" t="s">
        <v>243</v>
      </c>
      <c r="G40" s="251" t="s">
        <v>244</v>
      </c>
      <c r="H40" s="251" t="s">
        <v>9</v>
      </c>
    </row>
    <row r="41" spans="1:8">
      <c r="A41" s="253">
        <v>2021</v>
      </c>
      <c r="B41" s="1106" t="s">
        <v>176</v>
      </c>
      <c r="C41" s="1107"/>
      <c r="D41" s="1107"/>
      <c r="E41" s="1107"/>
      <c r="F41" s="1107"/>
      <c r="G41" s="1107"/>
      <c r="H41" s="1108"/>
    </row>
    <row r="42" spans="1:8">
      <c r="A42" s="228" t="s">
        <v>263</v>
      </c>
      <c r="B42" s="249">
        <f>'6-x'!J328</f>
        <v>0</v>
      </c>
      <c r="C42" s="249">
        <f>'6-x'!K328</f>
        <v>3465.3946695279119</v>
      </c>
      <c r="D42" s="249">
        <f>'6-x'!L328</f>
        <v>39.088564064879996</v>
      </c>
      <c r="E42" s="249">
        <f>'6-x'!M328</f>
        <v>417.54600178816798</v>
      </c>
      <c r="F42" s="249">
        <f>'6-x'!N328</f>
        <v>746.59931224625984</v>
      </c>
      <c r="G42" s="249">
        <f>'6-x'!O328</f>
        <v>291.05760967800001</v>
      </c>
      <c r="H42" s="249">
        <f>'6-x'!P328</f>
        <v>4959.6861573052192</v>
      </c>
    </row>
    <row r="43" spans="1:8">
      <c r="A43" s="227" t="s">
        <v>24</v>
      </c>
      <c r="B43" s="288">
        <f>'6-x'!J329</f>
        <v>0</v>
      </c>
      <c r="C43" s="288">
        <f>'6-x'!K329</f>
        <v>810.61049024471993</v>
      </c>
      <c r="D43" s="288">
        <f>'6-x'!L329</f>
        <v>7.4892519358799987</v>
      </c>
      <c r="E43" s="288">
        <f>'6-x'!M329</f>
        <v>1.6079105763599999</v>
      </c>
      <c r="F43" s="288">
        <f>'6-x'!N329</f>
        <v>172.61392952099999</v>
      </c>
      <c r="G43" s="288">
        <f>'6-x'!O329</f>
        <v>289.20034398552002</v>
      </c>
      <c r="H43" s="249">
        <f>'6-x'!P329</f>
        <v>1281.5219262634801</v>
      </c>
    </row>
    <row r="44" spans="1:8">
      <c r="A44" s="227" t="s">
        <v>25</v>
      </c>
      <c r="B44" s="288">
        <f>'6-x'!J330</f>
        <v>0</v>
      </c>
      <c r="C44" s="288">
        <f>'6-x'!K330</f>
        <v>798.601891790472</v>
      </c>
      <c r="D44" s="288">
        <f>'6-x'!L330</f>
        <v>0</v>
      </c>
      <c r="E44" s="288">
        <f>'6-x'!M330</f>
        <v>50.80051591546799</v>
      </c>
      <c r="F44" s="288">
        <f>'6-x'!N330</f>
        <v>7.3860705085199996</v>
      </c>
      <c r="G44" s="288">
        <f>'6-x'!O330</f>
        <v>0.46431642311999999</v>
      </c>
      <c r="H44" s="249">
        <f>'6-x'!P330</f>
        <v>857.25279463757988</v>
      </c>
    </row>
    <row r="45" spans="1:8">
      <c r="A45" s="227" t="s">
        <v>26</v>
      </c>
      <c r="B45" s="288">
        <f>'6-x'!J331</f>
        <v>0</v>
      </c>
      <c r="C45" s="288">
        <f>'6-x'!K331</f>
        <v>1646.3456580515999</v>
      </c>
      <c r="D45" s="288">
        <f>'6-x'!L331</f>
        <v>28.81341359028</v>
      </c>
      <c r="E45" s="288">
        <f>'6-x'!M331</f>
        <v>195.42562341984001</v>
      </c>
      <c r="F45" s="288">
        <f>'6-x'!N331</f>
        <v>126.69819434579999</v>
      </c>
      <c r="G45" s="288">
        <f>'6-x'!O331</f>
        <v>1.2811693897200001</v>
      </c>
      <c r="H45" s="249">
        <f>'6-x'!P331</f>
        <v>1998.56405879724</v>
      </c>
    </row>
    <row r="46" spans="1:8">
      <c r="A46" s="227" t="s">
        <v>27</v>
      </c>
      <c r="B46" s="288">
        <f>'6-x'!J332</f>
        <v>0</v>
      </c>
      <c r="C46" s="288">
        <f>'6-x'!K332</f>
        <v>136.51762684955997</v>
      </c>
      <c r="D46" s="288">
        <f>'6-x'!L332</f>
        <v>0</v>
      </c>
      <c r="E46" s="288">
        <f>'6-x'!M332</f>
        <v>88.615649197679986</v>
      </c>
      <c r="F46" s="288">
        <f>'6-x'!N332</f>
        <v>109.69045573596</v>
      </c>
      <c r="G46" s="288">
        <f>'6-x'!O332</f>
        <v>0</v>
      </c>
      <c r="H46" s="249">
        <f>'6-x'!P332</f>
        <v>334.82373178319995</v>
      </c>
    </row>
    <row r="47" spans="1:8">
      <c r="A47" s="227" t="s">
        <v>28</v>
      </c>
      <c r="B47" s="288">
        <f>'6-x'!J333</f>
        <v>0</v>
      </c>
      <c r="C47" s="288">
        <f>'6-x'!K333</f>
        <v>73.301805686999998</v>
      </c>
      <c r="D47" s="288">
        <f>'6-x'!L333</f>
        <v>2.7858985387199997</v>
      </c>
      <c r="E47" s="288">
        <f>'6-x'!M333</f>
        <v>81.096302678819995</v>
      </c>
      <c r="F47" s="288">
        <f>'6-x'!N333</f>
        <v>330.21066213497994</v>
      </c>
      <c r="G47" s="288">
        <f>'6-x'!O333</f>
        <v>0.11177987964</v>
      </c>
      <c r="H47" s="249">
        <f>'6-x'!P333</f>
        <v>487.50644891915994</v>
      </c>
    </row>
    <row r="48" spans="1:8">
      <c r="A48" s="227" t="s">
        <v>353</v>
      </c>
      <c r="B48" s="288">
        <f>'6-x'!J334</f>
        <v>0</v>
      </c>
      <c r="C48" s="288">
        <f>'6-x'!K334</f>
        <v>1.719690456E-2</v>
      </c>
      <c r="D48" s="288">
        <f>'6-x'!L334</f>
        <v>0</v>
      </c>
      <c r="E48" s="288">
        <f>'6-x'!M334</f>
        <v>0</v>
      </c>
      <c r="F48" s="288">
        <f>'6-x'!N334</f>
        <v>0</v>
      </c>
      <c r="G48" s="288">
        <f>'6-x'!O334</f>
        <v>0</v>
      </c>
      <c r="H48" s="249">
        <f>'6-x'!P334</f>
        <v>1.719690456E-2</v>
      </c>
    </row>
    <row r="49" spans="1:8">
      <c r="A49" s="228" t="s">
        <v>434</v>
      </c>
      <c r="B49" s="273" t="str">
        <f>'6-x'!J325</f>
        <v/>
      </c>
      <c r="C49" s="273">
        <f>'6-x'!K325</f>
        <v>0.8992282301551221</v>
      </c>
      <c r="D49" s="273">
        <f>'6-x'!L325</f>
        <v>0.90000240556537914</v>
      </c>
      <c r="E49" s="273">
        <f>'6-x'!M325</f>
        <v>0.89765258399818271</v>
      </c>
      <c r="F49" s="273">
        <f>'6-x'!N325</f>
        <v>0.86344285519558106</v>
      </c>
      <c r="G49" s="273">
        <f>'6-x'!O325</f>
        <v>0.89486575086087805</v>
      </c>
      <c r="H49" s="273">
        <f>'6-x'!P325</f>
        <v>0.89327371615208595</v>
      </c>
    </row>
    <row r="50" spans="1:8" ht="15.5">
      <c r="A50" s="314"/>
      <c r="B50" s="314"/>
      <c r="C50" s="314"/>
      <c r="D50" s="314"/>
      <c r="E50" s="314"/>
      <c r="F50" s="314"/>
      <c r="G50" s="314"/>
      <c r="H50" s="314"/>
    </row>
    <row r="51" spans="1:8">
      <c r="B51" s="1104" t="s">
        <v>10</v>
      </c>
      <c r="C51" s="1104"/>
      <c r="D51" s="1104"/>
      <c r="E51" s="1104"/>
      <c r="F51" s="1104"/>
      <c r="G51" s="1104"/>
      <c r="H51" s="1104"/>
    </row>
    <row r="52" spans="1:8" ht="29">
      <c r="B52" s="251" t="s">
        <v>5</v>
      </c>
      <c r="C52" s="251" t="s">
        <v>63</v>
      </c>
      <c r="D52" s="251" t="s">
        <v>7</v>
      </c>
      <c r="E52" s="251" t="s">
        <v>8</v>
      </c>
      <c r="F52" s="251" t="s">
        <v>243</v>
      </c>
      <c r="G52" s="251" t="s">
        <v>244</v>
      </c>
      <c r="H52" s="251" t="s">
        <v>9</v>
      </c>
    </row>
    <row r="53" spans="1:8">
      <c r="A53" s="253">
        <v>2020</v>
      </c>
      <c r="B53" s="1106" t="s">
        <v>176</v>
      </c>
      <c r="C53" s="1107"/>
      <c r="D53" s="1107"/>
      <c r="E53" s="1107"/>
      <c r="F53" s="1107"/>
      <c r="G53" s="1107"/>
      <c r="H53" s="1108"/>
    </row>
    <row r="54" spans="1:8">
      <c r="A54" s="228" t="s">
        <v>263</v>
      </c>
      <c r="B54" s="249">
        <f>'6-x'!J420</f>
        <v>22.42</v>
      </c>
      <c r="C54" s="249">
        <f>'6-x'!K420</f>
        <v>3247.62</v>
      </c>
      <c r="D54" s="249">
        <f>'6-x'!L420</f>
        <v>71.2</v>
      </c>
      <c r="E54" s="249">
        <f>'6-x'!M420</f>
        <v>435.3</v>
      </c>
      <c r="F54" s="249">
        <f>'6-x'!N420</f>
        <v>1047.8200000000002</v>
      </c>
      <c r="G54" s="249">
        <f>'6-x'!O420</f>
        <v>274.30099999999999</v>
      </c>
      <c r="H54" s="249">
        <f>'6-x'!P420</f>
        <v>5098.661000000001</v>
      </c>
    </row>
    <row r="55" spans="1:8">
      <c r="A55" s="227" t="s">
        <v>24</v>
      </c>
      <c r="B55" s="288">
        <f>'6-x'!J421</f>
        <v>0</v>
      </c>
      <c r="C55" s="288">
        <f>'6-x'!K421</f>
        <v>674.1</v>
      </c>
      <c r="D55" s="288">
        <f>'6-x'!L421</f>
        <v>8.1</v>
      </c>
      <c r="E55" s="288">
        <f>'6-x'!M421</f>
        <v>3.1</v>
      </c>
      <c r="F55" s="288">
        <f>'6-x'!N421</f>
        <v>203.7</v>
      </c>
      <c r="G55" s="288">
        <f>'6-x'!O421</f>
        <v>272.7</v>
      </c>
      <c r="H55" s="249">
        <f>'6-x'!P421</f>
        <v>1161.7</v>
      </c>
    </row>
    <row r="56" spans="1:8">
      <c r="A56" s="227" t="s">
        <v>25</v>
      </c>
      <c r="B56" s="288">
        <f>'6-x'!J422</f>
        <v>0</v>
      </c>
      <c r="C56" s="288">
        <f>'6-x'!K422</f>
        <v>547.6</v>
      </c>
      <c r="D56" s="288">
        <f>'6-x'!L422</f>
        <v>0</v>
      </c>
      <c r="E56" s="288">
        <f>'6-x'!M422</f>
        <v>76.5</v>
      </c>
      <c r="F56" s="288">
        <f>'6-x'!N422</f>
        <v>8.6999999999999993</v>
      </c>
      <c r="G56" s="288">
        <f>'6-x'!O422</f>
        <v>0.3</v>
      </c>
      <c r="H56" s="249">
        <f>'6-x'!P422</f>
        <v>633.1</v>
      </c>
    </row>
    <row r="57" spans="1:8">
      <c r="A57" s="227" t="s">
        <v>26</v>
      </c>
      <c r="B57" s="288">
        <f>'6-x'!J423</f>
        <v>0</v>
      </c>
      <c r="C57" s="288">
        <f>'6-x'!K423</f>
        <v>1800.3</v>
      </c>
      <c r="D57" s="288">
        <f>'6-x'!L423</f>
        <v>38.299999999999997</v>
      </c>
      <c r="E57" s="288">
        <f>'6-x'!M423</f>
        <v>221.6</v>
      </c>
      <c r="F57" s="288">
        <f>'6-x'!N423</f>
        <v>204.2</v>
      </c>
      <c r="G57" s="288">
        <f>'6-x'!O423</f>
        <v>1.2</v>
      </c>
      <c r="H57" s="249">
        <f>'6-x'!P423</f>
        <v>2265.5999999999995</v>
      </c>
    </row>
    <row r="58" spans="1:8">
      <c r="A58" s="227" t="s">
        <v>27</v>
      </c>
      <c r="B58" s="288">
        <f>'6-x'!J424</f>
        <v>0</v>
      </c>
      <c r="C58" s="288">
        <f>'6-x'!K424</f>
        <v>146.1</v>
      </c>
      <c r="D58" s="288">
        <f>'6-x'!L424</f>
        <v>0</v>
      </c>
      <c r="E58" s="288">
        <f>'6-x'!M424</f>
        <v>54.1</v>
      </c>
      <c r="F58" s="288">
        <f>'6-x'!N424</f>
        <v>106.9</v>
      </c>
      <c r="G58" s="288">
        <f>'6-x'!O424</f>
        <v>1E-3</v>
      </c>
      <c r="H58" s="249">
        <f>'6-x'!P424</f>
        <v>307.101</v>
      </c>
    </row>
    <row r="59" spans="1:8">
      <c r="A59" s="227" t="s">
        <v>28</v>
      </c>
      <c r="B59" s="288">
        <f>'6-x'!J425</f>
        <v>22.42</v>
      </c>
      <c r="C59" s="288">
        <f>'6-x'!K425</f>
        <v>79.52</v>
      </c>
      <c r="D59" s="288">
        <f>'6-x'!L425</f>
        <v>24.8</v>
      </c>
      <c r="E59" s="288">
        <f>'6-x'!M425</f>
        <v>80</v>
      </c>
      <c r="F59" s="288">
        <f>'6-x'!N425</f>
        <v>524.32000000000005</v>
      </c>
      <c r="G59" s="288">
        <f>'6-x'!O425</f>
        <v>0.1</v>
      </c>
      <c r="H59" s="249">
        <f>'6-x'!P425</f>
        <v>731.16000000000008</v>
      </c>
    </row>
    <row r="60" spans="1:8">
      <c r="A60" s="227" t="s">
        <v>353</v>
      </c>
      <c r="B60" s="288">
        <f>'6-x'!J426</f>
        <v>0</v>
      </c>
      <c r="C60" s="288">
        <f>'6-x'!K426</f>
        <v>0</v>
      </c>
      <c r="D60" s="288">
        <f>'6-x'!L426</f>
        <v>0</v>
      </c>
      <c r="E60" s="288">
        <f>'6-x'!M426</f>
        <v>0</v>
      </c>
      <c r="F60" s="288">
        <f>'6-x'!N426</f>
        <v>0</v>
      </c>
      <c r="G60" s="288">
        <f>'6-x'!O426</f>
        <v>0</v>
      </c>
      <c r="H60" s="249">
        <f>'6-x'!P426</f>
        <v>0</v>
      </c>
    </row>
    <row r="61" spans="1:8">
      <c r="A61" s="228" t="s">
        <v>434</v>
      </c>
      <c r="B61" s="273">
        <f>'6-x'!J417</f>
        <v>0.89911069817338929</v>
      </c>
      <c r="C61" s="273">
        <f>'6-x'!K417</f>
        <v>0.89373861605037974</v>
      </c>
      <c r="D61" s="273">
        <f>'6-x'!L417</f>
        <v>0.89964961669092103</v>
      </c>
      <c r="E61" s="273">
        <f>'6-x'!M417</f>
        <v>0.89982334448705414</v>
      </c>
      <c r="F61" s="273">
        <f>'6-x'!N417</f>
        <v>0.87112498706734653</v>
      </c>
      <c r="G61" s="273">
        <f>'6-x'!O417</f>
        <v>0.89202660294330882</v>
      </c>
      <c r="H61" s="273">
        <f>'6-x'!P417</f>
        <v>0.88951985861246341</v>
      </c>
    </row>
    <row r="62" spans="1:8" ht="15.5">
      <c r="A62" s="314"/>
      <c r="B62" s="314"/>
      <c r="C62" s="314"/>
      <c r="D62" s="314"/>
      <c r="E62" s="314"/>
      <c r="F62" s="314"/>
      <c r="G62" s="314"/>
      <c r="H62" s="314"/>
    </row>
    <row r="63" spans="1:8">
      <c r="B63" s="1104" t="s">
        <v>10</v>
      </c>
      <c r="C63" s="1104"/>
      <c r="D63" s="1104"/>
      <c r="E63" s="1104"/>
      <c r="F63" s="1104"/>
      <c r="G63" s="1104"/>
      <c r="H63" s="1104"/>
    </row>
    <row r="64" spans="1:8" ht="29">
      <c r="B64" s="251" t="s">
        <v>5</v>
      </c>
      <c r="C64" s="251" t="s">
        <v>63</v>
      </c>
      <c r="D64" s="251" t="s">
        <v>7</v>
      </c>
      <c r="E64" s="251" t="s">
        <v>8</v>
      </c>
      <c r="F64" s="251" t="s">
        <v>243</v>
      </c>
      <c r="G64" s="251" t="s">
        <v>244</v>
      </c>
      <c r="H64" s="251" t="s">
        <v>9</v>
      </c>
    </row>
    <row r="65" spans="1:8">
      <c r="A65" s="253">
        <v>2019</v>
      </c>
      <c r="B65" s="1106" t="s">
        <v>176</v>
      </c>
      <c r="C65" s="1107"/>
      <c r="D65" s="1107"/>
      <c r="E65" s="1107"/>
      <c r="F65" s="1107"/>
      <c r="G65" s="1107"/>
      <c r="H65" s="1108"/>
    </row>
    <row r="66" spans="1:8">
      <c r="A66" s="228" t="s">
        <v>263</v>
      </c>
      <c r="B66" s="249">
        <f>'6-x'!J512</f>
        <v>45.4</v>
      </c>
      <c r="C66" s="249">
        <f>'6-x'!K512</f>
        <v>3313</v>
      </c>
      <c r="D66" s="249">
        <f>'6-x'!L512</f>
        <v>111.5</v>
      </c>
      <c r="E66" s="249">
        <f>'6-x'!M512</f>
        <v>425.3</v>
      </c>
      <c r="F66" s="249">
        <f>'6-x'!N512</f>
        <v>1010.2</v>
      </c>
      <c r="G66" s="249">
        <f>'6-x'!O512</f>
        <v>274.8</v>
      </c>
      <c r="H66" s="249">
        <f>'6-x'!P512</f>
        <v>5180.2000000000007</v>
      </c>
    </row>
    <row r="67" spans="1:8">
      <c r="A67" s="227" t="s">
        <v>24</v>
      </c>
      <c r="B67" s="288">
        <f>'6-x'!J513</f>
        <v>0</v>
      </c>
      <c r="C67" s="288">
        <f>'6-x'!K513</f>
        <v>698.5</v>
      </c>
      <c r="D67" s="288">
        <f>'6-x'!L513</f>
        <v>9.6999999999999993</v>
      </c>
      <c r="E67" s="288">
        <f>'6-x'!M513</f>
        <v>2</v>
      </c>
      <c r="F67" s="288">
        <f>'6-x'!N513</f>
        <v>200.9</v>
      </c>
      <c r="G67" s="288">
        <f>'6-x'!O513</f>
        <v>272.3</v>
      </c>
      <c r="H67" s="249">
        <f>'6-x'!P513</f>
        <v>1183.4000000000001</v>
      </c>
    </row>
    <row r="68" spans="1:8">
      <c r="A68" s="227" t="s">
        <v>25</v>
      </c>
      <c r="B68" s="288">
        <f>'6-x'!J514</f>
        <v>0</v>
      </c>
      <c r="C68" s="288">
        <f>'6-x'!K514</f>
        <v>556.1</v>
      </c>
      <c r="D68" s="288">
        <f>'6-x'!L514</f>
        <v>0</v>
      </c>
      <c r="E68" s="288">
        <f>'6-x'!M514</f>
        <v>58.8</v>
      </c>
      <c r="F68" s="288">
        <f>'6-x'!N514</f>
        <v>8.9</v>
      </c>
      <c r="G68" s="288">
        <f>'6-x'!O514</f>
        <v>0.4</v>
      </c>
      <c r="H68" s="249">
        <f>'6-x'!P514</f>
        <v>624.19999999999993</v>
      </c>
    </row>
    <row r="69" spans="1:8">
      <c r="A69" s="227" t="s">
        <v>26</v>
      </c>
      <c r="B69" s="288">
        <f>'6-x'!J515</f>
        <v>0</v>
      </c>
      <c r="C69" s="288">
        <f>'6-x'!K515</f>
        <v>1819.9</v>
      </c>
      <c r="D69" s="288">
        <f>'6-x'!L515</f>
        <v>75.5</v>
      </c>
      <c r="E69" s="288">
        <f>'6-x'!M515</f>
        <v>230.3</v>
      </c>
      <c r="F69" s="288">
        <f>'6-x'!N515</f>
        <v>133.69999999999999</v>
      </c>
      <c r="G69" s="288">
        <f>'6-x'!O515</f>
        <v>1.3</v>
      </c>
      <c r="H69" s="249">
        <f>'6-x'!P515</f>
        <v>2260.7000000000003</v>
      </c>
    </row>
    <row r="70" spans="1:8">
      <c r="A70" s="227" t="s">
        <v>27</v>
      </c>
      <c r="B70" s="288">
        <f>'6-x'!J516</f>
        <v>7.9</v>
      </c>
      <c r="C70" s="288">
        <f>'6-x'!K516</f>
        <v>177.2</v>
      </c>
      <c r="D70" s="288">
        <f>'6-x'!L516</f>
        <v>0</v>
      </c>
      <c r="E70" s="288">
        <f>'6-x'!M516</f>
        <v>72.8</v>
      </c>
      <c r="F70" s="288">
        <f>'6-x'!N516</f>
        <v>117.1</v>
      </c>
      <c r="G70" s="288">
        <f>'6-x'!O516</f>
        <v>0</v>
      </c>
      <c r="H70" s="249">
        <f>'6-x'!P516</f>
        <v>375</v>
      </c>
    </row>
    <row r="71" spans="1:8">
      <c r="A71" s="227" t="s">
        <v>28</v>
      </c>
      <c r="B71" s="288">
        <f>'6-x'!J517</f>
        <v>37.5</v>
      </c>
      <c r="C71" s="288">
        <f>'6-x'!K517</f>
        <v>61.3</v>
      </c>
      <c r="D71" s="288">
        <f>'6-x'!L517</f>
        <v>26.3</v>
      </c>
      <c r="E71" s="288">
        <f>'6-x'!M517</f>
        <v>61.4</v>
      </c>
      <c r="F71" s="288">
        <f>'6-x'!N517</f>
        <v>549.6</v>
      </c>
      <c r="G71" s="288">
        <f>'6-x'!O517</f>
        <v>0.8</v>
      </c>
      <c r="H71" s="249">
        <f>'6-x'!P517</f>
        <v>736.9</v>
      </c>
    </row>
    <row r="72" spans="1:8">
      <c r="A72" s="227" t="s">
        <v>353</v>
      </c>
      <c r="B72" s="288">
        <f>'6-x'!J518</f>
        <v>0</v>
      </c>
      <c r="C72" s="288">
        <f>'6-x'!K518</f>
        <v>0</v>
      </c>
      <c r="D72" s="288">
        <f>'6-x'!L518</f>
        <v>0</v>
      </c>
      <c r="E72" s="288">
        <f>'6-x'!M518</f>
        <v>0</v>
      </c>
      <c r="F72" s="288">
        <f>'6-x'!N518</f>
        <v>0</v>
      </c>
      <c r="G72" s="288">
        <f>'6-x'!O518</f>
        <v>0</v>
      </c>
      <c r="H72" s="249">
        <f>'6-x'!P518</f>
        <v>0</v>
      </c>
    </row>
    <row r="73" spans="1:8">
      <c r="A73" s="228" t="s">
        <v>434</v>
      </c>
      <c r="B73" s="273">
        <f>'6-x'!J509</f>
        <v>0.88924639086534818</v>
      </c>
      <c r="C73" s="273">
        <f>'6-x'!K509</f>
        <v>0.89249152355838512</v>
      </c>
      <c r="D73" s="273">
        <f>'6-x'!L509</f>
        <v>0.89911353685044948</v>
      </c>
      <c r="E73" s="273">
        <f>'6-x'!M509</f>
        <v>0.90018842439304414</v>
      </c>
      <c r="F73" s="273">
        <f>'6-x'!N509</f>
        <v>0.87253421385508578</v>
      </c>
      <c r="G73" s="273">
        <f>'6-x'!O509</f>
        <v>0.890375338858302</v>
      </c>
      <c r="H73" s="273">
        <f>'6-x'!P509</f>
        <v>0.88915008522762917</v>
      </c>
    </row>
    <row r="74" spans="1:8" ht="15.5">
      <c r="A74" s="314"/>
      <c r="B74" s="314"/>
      <c r="C74" s="314"/>
      <c r="D74" s="314"/>
      <c r="E74" s="314"/>
      <c r="F74" s="314"/>
      <c r="G74" s="314"/>
      <c r="H74" s="314"/>
    </row>
    <row r="75" spans="1:8">
      <c r="B75" s="1104" t="s">
        <v>10</v>
      </c>
      <c r="C75" s="1104"/>
      <c r="D75" s="1104"/>
      <c r="E75" s="1104"/>
      <c r="F75" s="1104"/>
      <c r="G75" s="1104"/>
      <c r="H75" s="1104"/>
    </row>
    <row r="76" spans="1:8" ht="29">
      <c r="B76" s="251" t="s">
        <v>5</v>
      </c>
      <c r="C76" s="251" t="s">
        <v>63</v>
      </c>
      <c r="D76" s="251" t="s">
        <v>7</v>
      </c>
      <c r="E76" s="251" t="s">
        <v>8</v>
      </c>
      <c r="F76" s="251" t="s">
        <v>243</v>
      </c>
      <c r="G76" s="251" t="s">
        <v>244</v>
      </c>
      <c r="H76" s="251" t="s">
        <v>9</v>
      </c>
    </row>
    <row r="77" spans="1:8">
      <c r="A77" s="253">
        <v>2018</v>
      </c>
      <c r="B77" s="1106" t="s">
        <v>176</v>
      </c>
      <c r="C77" s="1107"/>
      <c r="D77" s="1107"/>
      <c r="E77" s="1107"/>
      <c r="F77" s="1107"/>
      <c r="G77" s="1107"/>
      <c r="H77" s="1108"/>
    </row>
    <row r="78" spans="1:8">
      <c r="A78" s="228" t="s">
        <v>263</v>
      </c>
      <c r="B78" s="249">
        <f>'6-x'!J604</f>
        <v>46.4</v>
      </c>
      <c r="C78" s="249">
        <f>'6-x'!K604</f>
        <v>3281.8999999999996</v>
      </c>
      <c r="D78" s="249">
        <f>'6-x'!L604</f>
        <v>58.6</v>
      </c>
      <c r="E78" s="249">
        <f>'6-x'!M604</f>
        <v>430.7</v>
      </c>
      <c r="F78" s="249">
        <f>'6-x'!N604</f>
        <v>1095.0999999999999</v>
      </c>
      <c r="G78" s="249">
        <f>'6-x'!O604</f>
        <v>214</v>
      </c>
      <c r="H78" s="249">
        <f>'6-x'!P604</f>
        <v>5126.6999999999989</v>
      </c>
    </row>
    <row r="79" spans="1:8">
      <c r="A79" s="227" t="s">
        <v>24</v>
      </c>
      <c r="B79" s="288">
        <f>'6-x'!J605</f>
        <v>0</v>
      </c>
      <c r="C79" s="288">
        <f>'6-x'!K605</f>
        <v>671.9</v>
      </c>
      <c r="D79" s="288">
        <f>'6-x'!L605</f>
        <v>8.1999999999999993</v>
      </c>
      <c r="E79" s="288">
        <f>'6-x'!M605</f>
        <v>2.8</v>
      </c>
      <c r="F79" s="288">
        <f>'6-x'!N605</f>
        <v>214.1</v>
      </c>
      <c r="G79" s="288">
        <f>'6-x'!O605</f>
        <v>210.2</v>
      </c>
      <c r="H79" s="249">
        <f>'6-x'!P605</f>
        <v>1107.2</v>
      </c>
    </row>
    <row r="80" spans="1:8">
      <c r="A80" s="227" t="s">
        <v>25</v>
      </c>
      <c r="B80" s="288">
        <f>'6-x'!J606</f>
        <v>0</v>
      </c>
      <c r="C80" s="288">
        <f>'6-x'!K606</f>
        <v>521.4</v>
      </c>
      <c r="D80" s="288">
        <f>'6-x'!L606</f>
        <v>0</v>
      </c>
      <c r="E80" s="288">
        <f>'6-x'!M606</f>
        <v>46.3</v>
      </c>
      <c r="F80" s="288">
        <f>'6-x'!N606</f>
        <v>8.8000000000000007</v>
      </c>
      <c r="G80" s="288">
        <f>'6-x'!O606</f>
        <v>0.5</v>
      </c>
      <c r="H80" s="249">
        <f>'6-x'!P606</f>
        <v>576.99999999999989</v>
      </c>
    </row>
    <row r="81" spans="1:8">
      <c r="A81" s="227" t="s">
        <v>26</v>
      </c>
      <c r="B81" s="288">
        <f>'6-x'!J607</f>
        <v>37.4</v>
      </c>
      <c r="C81" s="288">
        <f>'6-x'!K607</f>
        <v>1861.6</v>
      </c>
      <c r="D81" s="288">
        <f>'6-x'!L607</f>
        <v>43.8</v>
      </c>
      <c r="E81" s="288">
        <f>'6-x'!M607</f>
        <v>236.8</v>
      </c>
      <c r="F81" s="288">
        <f>'6-x'!N607</f>
        <v>171.9</v>
      </c>
      <c r="G81" s="288">
        <f>'6-x'!O607</f>
        <v>1.4</v>
      </c>
      <c r="H81" s="249">
        <f>'6-x'!P607</f>
        <v>2352.9</v>
      </c>
    </row>
    <row r="82" spans="1:8">
      <c r="A82" s="227" t="s">
        <v>27</v>
      </c>
      <c r="B82" s="288">
        <f>'6-x'!J608</f>
        <v>9</v>
      </c>
      <c r="C82" s="288">
        <f>'6-x'!K608</f>
        <v>180.5</v>
      </c>
      <c r="D82" s="288">
        <f>'6-x'!L608</f>
        <v>0</v>
      </c>
      <c r="E82" s="288">
        <f>'6-x'!M608</f>
        <v>75.5</v>
      </c>
      <c r="F82" s="288">
        <f>'6-x'!N608</f>
        <v>100.4</v>
      </c>
      <c r="G82" s="288">
        <f>'6-x'!O608</f>
        <v>0</v>
      </c>
      <c r="H82" s="249">
        <f>'6-x'!P608</f>
        <v>365.4</v>
      </c>
    </row>
    <row r="83" spans="1:8">
      <c r="A83" s="227" t="s">
        <v>28</v>
      </c>
      <c r="B83" s="288">
        <f>'6-x'!J609</f>
        <v>0</v>
      </c>
      <c r="C83" s="288">
        <f>'6-x'!K609</f>
        <v>46.5</v>
      </c>
      <c r="D83" s="288">
        <f>'6-x'!L609</f>
        <v>6.6</v>
      </c>
      <c r="E83" s="288">
        <f>'6-x'!M609</f>
        <v>69.3</v>
      </c>
      <c r="F83" s="288">
        <f>'6-x'!N609</f>
        <v>599.9</v>
      </c>
      <c r="G83" s="288">
        <f>'6-x'!O609</f>
        <v>1.9</v>
      </c>
      <c r="H83" s="249">
        <f>'6-x'!P609</f>
        <v>724.19999999999993</v>
      </c>
    </row>
    <row r="84" spans="1:8">
      <c r="A84" s="227" t="s">
        <v>353</v>
      </c>
      <c r="B84" s="288">
        <f>'6-x'!J610</f>
        <v>0</v>
      </c>
      <c r="C84" s="288">
        <f>'6-x'!K610</f>
        <v>0</v>
      </c>
      <c r="D84" s="288">
        <f>'6-x'!L610</f>
        <v>0</v>
      </c>
      <c r="E84" s="288">
        <f>'6-x'!M610</f>
        <v>0</v>
      </c>
      <c r="F84" s="288">
        <f>'6-x'!N610</f>
        <v>0</v>
      </c>
      <c r="G84" s="288">
        <f>'6-x'!O610</f>
        <v>0</v>
      </c>
      <c r="H84" s="249">
        <f>'6-x'!P610</f>
        <v>0</v>
      </c>
    </row>
    <row r="85" spans="1:8">
      <c r="A85" s="228" t="s">
        <v>434</v>
      </c>
      <c r="B85" s="273">
        <f>'6-x'!J601</f>
        <v>0.88975881718412897</v>
      </c>
      <c r="C85" s="273">
        <f>'6-x'!K601</f>
        <v>0.89381906004629275</v>
      </c>
      <c r="D85" s="273">
        <f>'6-x'!L601</f>
        <v>0.89941896298141388</v>
      </c>
      <c r="E85" s="273">
        <f>'6-x'!M601</f>
        <v>0.90052739839024976</v>
      </c>
      <c r="F85" s="273">
        <f>'6-x'!N601</f>
        <v>0.87018986396996933</v>
      </c>
      <c r="G85" s="273">
        <f>'6-x'!O601</f>
        <v>0.88473019779089923</v>
      </c>
      <c r="H85" s="273">
        <f>'6-x'!P601</f>
        <v>0.88886503291451946</v>
      </c>
    </row>
    <row r="86" spans="1:8" ht="15.5">
      <c r="A86" s="314"/>
      <c r="B86" s="314"/>
      <c r="C86" s="314"/>
      <c r="D86" s="314"/>
      <c r="E86" s="314"/>
      <c r="F86" s="314"/>
      <c r="G86" s="314"/>
      <c r="H86" s="314"/>
    </row>
    <row r="87" spans="1:8">
      <c r="B87" s="1104" t="s">
        <v>10</v>
      </c>
      <c r="C87" s="1104"/>
      <c r="D87" s="1104"/>
      <c r="E87" s="1104"/>
      <c r="F87" s="1104"/>
      <c r="G87" s="1104"/>
      <c r="H87" s="1104"/>
    </row>
    <row r="88" spans="1:8" ht="29">
      <c r="B88" s="251" t="s">
        <v>5</v>
      </c>
      <c r="C88" s="251" t="s">
        <v>63</v>
      </c>
      <c r="D88" s="251" t="s">
        <v>7</v>
      </c>
      <c r="E88" s="251" t="s">
        <v>8</v>
      </c>
      <c r="F88" s="251" t="s">
        <v>243</v>
      </c>
      <c r="G88" s="251" t="s">
        <v>244</v>
      </c>
      <c r="H88" s="251" t="s">
        <v>9</v>
      </c>
    </row>
    <row r="89" spans="1:8">
      <c r="A89" s="253">
        <v>2017</v>
      </c>
      <c r="B89" s="1106" t="s">
        <v>176</v>
      </c>
      <c r="C89" s="1107"/>
      <c r="D89" s="1107"/>
      <c r="E89" s="1107"/>
      <c r="F89" s="1107"/>
      <c r="G89" s="1107"/>
      <c r="H89" s="1108"/>
    </row>
    <row r="90" spans="1:8">
      <c r="A90" s="228" t="s">
        <v>263</v>
      </c>
      <c r="B90" s="249">
        <f>'6-x'!J692</f>
        <v>46</v>
      </c>
      <c r="C90" s="249">
        <f>'6-x'!K692</f>
        <v>3339.9000000000005</v>
      </c>
      <c r="D90" s="249">
        <f>'6-x'!L692</f>
        <v>103.1</v>
      </c>
      <c r="E90" s="249">
        <f>'6-x'!M692</f>
        <v>454.4</v>
      </c>
      <c r="F90" s="249">
        <f>'6-x'!N692</f>
        <v>1082.5</v>
      </c>
      <c r="G90" s="249">
        <f>'6-x'!O692</f>
        <v>226.10000000000002</v>
      </c>
      <c r="H90" s="249">
        <f>'6-x'!P692</f>
        <v>5252.0000000000009</v>
      </c>
    </row>
    <row r="91" spans="1:8">
      <c r="A91" s="227" t="s">
        <v>24</v>
      </c>
      <c r="B91" s="288">
        <f>'6-x'!J693</f>
        <v>0</v>
      </c>
      <c r="C91" s="288">
        <f>'6-x'!K693</f>
        <v>622.6</v>
      </c>
      <c r="D91" s="288">
        <f>'6-x'!L693</f>
        <v>8</v>
      </c>
      <c r="E91" s="288">
        <f>'6-x'!M693</f>
        <v>2.5</v>
      </c>
      <c r="F91" s="288">
        <f>'6-x'!N693</f>
        <v>202</v>
      </c>
      <c r="G91" s="288">
        <f>'6-x'!O693</f>
        <v>222.9</v>
      </c>
      <c r="H91" s="249">
        <f>'6-x'!P693</f>
        <v>1058</v>
      </c>
    </row>
    <row r="92" spans="1:8">
      <c r="A92" s="227" t="s">
        <v>25</v>
      </c>
      <c r="B92" s="288">
        <f>'6-x'!J694</f>
        <v>0</v>
      </c>
      <c r="C92" s="288">
        <f>'6-x'!K694</f>
        <v>513.70000000000005</v>
      </c>
      <c r="D92" s="288">
        <f>'6-x'!L694</f>
        <v>0</v>
      </c>
      <c r="E92" s="288">
        <f>'6-x'!M694</f>
        <v>70.099999999999994</v>
      </c>
      <c r="F92" s="288">
        <f>'6-x'!N694</f>
        <v>5.4</v>
      </c>
      <c r="G92" s="288">
        <f>'6-x'!O694</f>
        <v>0.4</v>
      </c>
      <c r="H92" s="249">
        <f>'6-x'!P694</f>
        <v>589.6</v>
      </c>
    </row>
    <row r="93" spans="1:8">
      <c r="A93" s="227" t="s">
        <v>26</v>
      </c>
      <c r="B93" s="288">
        <f>'6-x'!J695</f>
        <v>36.9</v>
      </c>
      <c r="C93" s="288">
        <f>'6-x'!K695</f>
        <v>1940.9</v>
      </c>
      <c r="D93" s="288">
        <f>'6-x'!L695</f>
        <v>75.599999999999994</v>
      </c>
      <c r="E93" s="288">
        <f>'6-x'!M695</f>
        <v>217.6</v>
      </c>
      <c r="F93" s="288">
        <f>'6-x'!N695</f>
        <v>184</v>
      </c>
      <c r="G93" s="288">
        <f>'6-x'!O695</f>
        <v>1.4</v>
      </c>
      <c r="H93" s="249">
        <f>'6-x'!P695</f>
        <v>2456.4</v>
      </c>
    </row>
    <row r="94" spans="1:8">
      <c r="A94" s="227" t="s">
        <v>27</v>
      </c>
      <c r="B94" s="288">
        <f>'6-x'!J696</f>
        <v>9.1</v>
      </c>
      <c r="C94" s="288">
        <f>'6-x'!K696</f>
        <v>191.9</v>
      </c>
      <c r="D94" s="288">
        <f>'6-x'!L696</f>
        <v>0</v>
      </c>
      <c r="E94" s="288">
        <f>'6-x'!M696</f>
        <v>74.099999999999994</v>
      </c>
      <c r="F94" s="288">
        <f>'6-x'!N696</f>
        <v>106.4</v>
      </c>
      <c r="G94" s="288">
        <f>'6-x'!O696</f>
        <v>0</v>
      </c>
      <c r="H94" s="249">
        <f>'6-x'!P696</f>
        <v>381.5</v>
      </c>
    </row>
    <row r="95" spans="1:8">
      <c r="A95" s="227" t="s">
        <v>28</v>
      </c>
      <c r="B95" s="288">
        <f>'6-x'!J697</f>
        <v>0</v>
      </c>
      <c r="C95" s="288">
        <f>'6-x'!K697</f>
        <v>70.8</v>
      </c>
      <c r="D95" s="288">
        <f>'6-x'!L697</f>
        <v>19.5</v>
      </c>
      <c r="E95" s="288">
        <f>'6-x'!M697</f>
        <v>90.1</v>
      </c>
      <c r="F95" s="288">
        <f>'6-x'!N697</f>
        <v>584.70000000000005</v>
      </c>
      <c r="G95" s="288">
        <f>'6-x'!O697</f>
        <v>1.4</v>
      </c>
      <c r="H95" s="249">
        <f>'6-x'!P697</f>
        <v>766.5</v>
      </c>
    </row>
    <row r="96" spans="1:8">
      <c r="A96" s="228" t="s">
        <v>434</v>
      </c>
      <c r="B96" s="273">
        <f>'6-x'!J689</f>
        <v>0.89033459895630007</v>
      </c>
      <c r="C96" s="273">
        <f>'6-x'!K689</f>
        <v>0.89324383802894725</v>
      </c>
      <c r="D96" s="273">
        <f>'6-x'!L689</f>
        <v>0.89929838701159115</v>
      </c>
      <c r="E96" s="273">
        <f>'6-x'!M689</f>
        <v>0.89950735596636433</v>
      </c>
      <c r="F96" s="273">
        <f>'6-x'!N689</f>
        <v>0.87263400397058311</v>
      </c>
      <c r="G96" s="273">
        <f>'6-x'!O689</f>
        <v>0.88654236702191991</v>
      </c>
      <c r="H96" s="273">
        <f>'6-x'!P689</f>
        <v>0.88925343549088443</v>
      </c>
    </row>
    <row r="97" spans="1:9" ht="15.5">
      <c r="A97" s="314"/>
      <c r="B97" s="314"/>
      <c r="C97" s="314"/>
      <c r="D97" s="314"/>
      <c r="E97" s="314"/>
      <c r="F97" s="314"/>
      <c r="G97" s="314"/>
      <c r="H97" s="314"/>
    </row>
    <row r="98" spans="1:9">
      <c r="B98" s="1104" t="s">
        <v>10</v>
      </c>
      <c r="C98" s="1104"/>
      <c r="D98" s="1104"/>
      <c r="E98" s="1104"/>
      <c r="F98" s="1104"/>
      <c r="G98" s="1104"/>
      <c r="H98" s="1104"/>
    </row>
    <row r="99" spans="1:9" ht="29">
      <c r="B99" s="251" t="s">
        <v>5</v>
      </c>
      <c r="C99" s="251" t="s">
        <v>63</v>
      </c>
      <c r="D99" s="251" t="s">
        <v>7</v>
      </c>
      <c r="E99" s="251" t="s">
        <v>8</v>
      </c>
      <c r="F99" s="251" t="s">
        <v>243</v>
      </c>
      <c r="G99" s="251" t="s">
        <v>244</v>
      </c>
      <c r="H99" s="251" t="s">
        <v>9</v>
      </c>
    </row>
    <row r="100" spans="1:9" ht="14.75" customHeight="1">
      <c r="A100" s="253">
        <v>2016</v>
      </c>
      <c r="B100" s="1106" t="s">
        <v>176</v>
      </c>
      <c r="C100" s="1107"/>
      <c r="D100" s="1107"/>
      <c r="E100" s="1107"/>
      <c r="F100" s="1107"/>
      <c r="G100" s="1107"/>
      <c r="H100" s="1108"/>
    </row>
    <row r="101" spans="1:9">
      <c r="A101" s="228" t="s">
        <v>263</v>
      </c>
      <c r="B101" s="249">
        <f>'6-x'!J777</f>
        <v>45.1</v>
      </c>
      <c r="C101" s="249">
        <f>'6-x'!K777</f>
        <v>3311.7</v>
      </c>
      <c r="D101" s="249">
        <f>'6-x'!L777</f>
        <v>129.1</v>
      </c>
      <c r="E101" s="249">
        <f>'6-x'!M777</f>
        <v>471.3</v>
      </c>
      <c r="F101" s="249">
        <f>'6-x'!N777</f>
        <v>1094.9000000000001</v>
      </c>
      <c r="G101" s="249">
        <f>'6-x'!O777</f>
        <v>197.16000000000003</v>
      </c>
      <c r="H101" s="249">
        <f>'6-x'!P777</f>
        <v>5249.26</v>
      </c>
      <c r="I101" s="254"/>
    </row>
    <row r="102" spans="1:9">
      <c r="A102" s="227" t="s">
        <v>24</v>
      </c>
      <c r="B102" s="288">
        <f>'6-x'!J778</f>
        <v>0</v>
      </c>
      <c r="C102" s="288">
        <f>'6-x'!K778</f>
        <v>573.5</v>
      </c>
      <c r="D102" s="288">
        <f>'6-x'!L778</f>
        <v>6.8</v>
      </c>
      <c r="E102" s="288">
        <f>'6-x'!M778</f>
        <v>1.6</v>
      </c>
      <c r="F102" s="288">
        <f>'6-x'!N778</f>
        <v>205.2</v>
      </c>
      <c r="G102" s="288">
        <f>'6-x'!O778</f>
        <v>194.4</v>
      </c>
      <c r="H102" s="249">
        <f>'6-x'!P778</f>
        <v>981.49999999999989</v>
      </c>
      <c r="I102" s="254"/>
    </row>
    <row r="103" spans="1:9">
      <c r="A103" s="227" t="s">
        <v>25</v>
      </c>
      <c r="B103" s="288">
        <f>'6-x'!J779</f>
        <v>0</v>
      </c>
      <c r="C103" s="288">
        <f>'6-x'!K779</f>
        <v>519.79999999999995</v>
      </c>
      <c r="D103" s="288">
        <f>'6-x'!L779</f>
        <v>0</v>
      </c>
      <c r="E103" s="288">
        <f>'6-x'!M779</f>
        <v>62.2</v>
      </c>
      <c r="F103" s="288">
        <f>'6-x'!N779</f>
        <v>4.8</v>
      </c>
      <c r="G103" s="288">
        <f>'6-x'!O779</f>
        <v>0.4</v>
      </c>
      <c r="H103" s="249">
        <f>'6-x'!P779</f>
        <v>587.19999999999993</v>
      </c>
      <c r="I103" s="254"/>
    </row>
    <row r="104" spans="1:9">
      <c r="A104" s="227" t="s">
        <v>26</v>
      </c>
      <c r="B104" s="288">
        <f>'6-x'!J780</f>
        <v>37.200000000000003</v>
      </c>
      <c r="C104" s="288">
        <f>'6-x'!K780</f>
        <v>1936.9</v>
      </c>
      <c r="D104" s="288">
        <f>'6-x'!L780</f>
        <v>90.5</v>
      </c>
      <c r="E104" s="288">
        <f>'6-x'!M780</f>
        <v>241.8</v>
      </c>
      <c r="F104" s="288">
        <f>'6-x'!N780</f>
        <v>187.9</v>
      </c>
      <c r="G104" s="288">
        <f>'6-x'!O780</f>
        <v>1.3</v>
      </c>
      <c r="H104" s="249">
        <f>'6-x'!P780</f>
        <v>2495.6000000000008</v>
      </c>
      <c r="I104" s="254"/>
    </row>
    <row r="105" spans="1:9">
      <c r="A105" s="227" t="s">
        <v>27</v>
      </c>
      <c r="B105" s="288">
        <f>'6-x'!J781</f>
        <v>7.9</v>
      </c>
      <c r="C105" s="288">
        <f>'6-x'!K781</f>
        <v>212.4</v>
      </c>
      <c r="D105" s="288">
        <f>'6-x'!L781</f>
        <v>0</v>
      </c>
      <c r="E105" s="288">
        <f>'6-x'!M781</f>
        <v>89</v>
      </c>
      <c r="F105" s="288">
        <f>'6-x'!N781</f>
        <v>106</v>
      </c>
      <c r="G105" s="288">
        <f>'6-x'!O781</f>
        <v>0.06</v>
      </c>
      <c r="H105" s="249">
        <f>'6-x'!P781</f>
        <v>415.36</v>
      </c>
      <c r="I105" s="254"/>
    </row>
    <row r="106" spans="1:9">
      <c r="A106" s="227" t="s">
        <v>28</v>
      </c>
      <c r="B106" s="288">
        <f>'6-x'!J782</f>
        <v>0</v>
      </c>
      <c r="C106" s="288">
        <f>'6-x'!K782</f>
        <v>69.099999999999994</v>
      </c>
      <c r="D106" s="288">
        <f>'6-x'!L782</f>
        <v>31.8</v>
      </c>
      <c r="E106" s="288">
        <f>'6-x'!M782</f>
        <v>76.7</v>
      </c>
      <c r="F106" s="288">
        <f>'6-x'!N782</f>
        <v>591</v>
      </c>
      <c r="G106" s="288">
        <f>'6-x'!O782</f>
        <v>1</v>
      </c>
      <c r="H106" s="249">
        <f>'6-x'!P782</f>
        <v>769.6</v>
      </c>
      <c r="I106" s="254"/>
    </row>
    <row r="107" spans="1:9">
      <c r="A107" s="228" t="s">
        <v>434</v>
      </c>
      <c r="B107" s="273">
        <f>'6-x'!J774</f>
        <v>0.89148108531945225</v>
      </c>
      <c r="C107" s="273">
        <f>'6-x'!K774</f>
        <v>0.89265091840478261</v>
      </c>
      <c r="D107" s="273">
        <f>'6-x'!L774</f>
        <v>0.89976111669641956</v>
      </c>
      <c r="E107" s="273">
        <f>'6-x'!M774</f>
        <v>0.89981518081544587</v>
      </c>
      <c r="F107" s="273">
        <f>'6-x'!N774</f>
        <v>0.87922232950179957</v>
      </c>
      <c r="G107" s="273">
        <f>'6-x'!O774</f>
        <v>0.83715761472637273</v>
      </c>
      <c r="H107" s="273">
        <f>'6-x'!P774</f>
        <v>0.88840652554182409</v>
      </c>
    </row>
    <row r="109" spans="1:9" ht="14.75" customHeight="1">
      <c r="A109" s="253">
        <v>2015</v>
      </c>
      <c r="B109" s="1106" t="s">
        <v>176</v>
      </c>
      <c r="C109" s="1107"/>
      <c r="D109" s="1107"/>
      <c r="E109" s="1107"/>
      <c r="F109" s="1107"/>
      <c r="G109" s="1107"/>
      <c r="H109" s="1108"/>
    </row>
    <row r="110" spans="1:9">
      <c r="A110" s="228" t="s">
        <v>263</v>
      </c>
      <c r="B110" s="249">
        <f>'6-x'!J862</f>
        <v>45.4</v>
      </c>
      <c r="C110" s="249">
        <f>'6-x'!K862</f>
        <v>3234.9</v>
      </c>
      <c r="D110" s="249">
        <f>'6-x'!L862</f>
        <v>100.7</v>
      </c>
      <c r="E110" s="249">
        <f>'6-x'!M862</f>
        <v>507.1</v>
      </c>
      <c r="F110" s="249">
        <f>'6-x'!N862</f>
        <v>1002.7</v>
      </c>
      <c r="G110" s="249">
        <f>'6-x'!O862</f>
        <v>205.6</v>
      </c>
      <c r="H110" s="249">
        <f>'6-x'!P862</f>
        <v>5096.4000000000005</v>
      </c>
      <c r="I110" s="255"/>
    </row>
    <row r="111" spans="1:9">
      <c r="A111" s="227" t="s">
        <v>24</v>
      </c>
      <c r="B111" s="288">
        <f>'6-x'!J863</f>
        <v>0</v>
      </c>
      <c r="C111" s="288">
        <f>'6-x'!K863</f>
        <v>543.79999999999995</v>
      </c>
      <c r="D111" s="288">
        <f>'6-x'!L863</f>
        <v>6.9</v>
      </c>
      <c r="E111" s="288">
        <f>'6-x'!M863</f>
        <v>1.9</v>
      </c>
      <c r="F111" s="288">
        <f>'6-x'!N863</f>
        <v>173.1</v>
      </c>
      <c r="G111" s="288">
        <f>'6-x'!O863</f>
        <v>203</v>
      </c>
      <c r="H111" s="249">
        <f>'6-x'!P863</f>
        <v>928.69999999999993</v>
      </c>
      <c r="I111" s="255"/>
    </row>
    <row r="112" spans="1:9">
      <c r="A112" s="227" t="s">
        <v>25</v>
      </c>
      <c r="B112" s="288">
        <f>'6-x'!J864</f>
        <v>0</v>
      </c>
      <c r="C112" s="288">
        <f>'6-x'!K864</f>
        <v>511.1</v>
      </c>
      <c r="D112" s="288">
        <f>'6-x'!L864</f>
        <v>0</v>
      </c>
      <c r="E112" s="288">
        <f>'6-x'!M864</f>
        <v>61.9</v>
      </c>
      <c r="F112" s="288">
        <f>'6-x'!N864</f>
        <v>5.0999999999999996</v>
      </c>
      <c r="G112" s="288">
        <f>'6-x'!O864</f>
        <v>0.6</v>
      </c>
      <c r="H112" s="249">
        <f>'6-x'!P864</f>
        <v>578.70000000000005</v>
      </c>
      <c r="I112" s="255"/>
    </row>
    <row r="113" spans="1:9">
      <c r="A113" s="227" t="s">
        <v>26</v>
      </c>
      <c r="B113" s="288">
        <f>'6-x'!J865</f>
        <v>36.4</v>
      </c>
      <c r="C113" s="288">
        <f>'6-x'!K865</f>
        <v>1899.7</v>
      </c>
      <c r="D113" s="288">
        <f>'6-x'!L865</f>
        <v>35.700000000000003</v>
      </c>
      <c r="E113" s="288">
        <f>'6-x'!M865</f>
        <v>209.8</v>
      </c>
      <c r="F113" s="288">
        <f>'6-x'!N865</f>
        <v>196.8</v>
      </c>
      <c r="G113" s="288">
        <f>'6-x'!O865</f>
        <v>1.3</v>
      </c>
      <c r="H113" s="249">
        <f>'6-x'!P865</f>
        <v>2379.7000000000007</v>
      </c>
      <c r="I113" s="255"/>
    </row>
    <row r="114" spans="1:9">
      <c r="A114" s="227" t="s">
        <v>27</v>
      </c>
      <c r="B114" s="288">
        <f>'6-x'!J866</f>
        <v>9</v>
      </c>
      <c r="C114" s="288">
        <f>'6-x'!K866</f>
        <v>192.2</v>
      </c>
      <c r="D114" s="288">
        <f>'6-x'!L866</f>
        <v>0</v>
      </c>
      <c r="E114" s="288">
        <f>'6-x'!M866</f>
        <v>128.4</v>
      </c>
      <c r="F114" s="288">
        <f>'6-x'!N866</f>
        <v>96.7</v>
      </c>
      <c r="G114" s="288">
        <f>'6-x'!O866</f>
        <v>0.2</v>
      </c>
      <c r="H114" s="249">
        <f>'6-x'!P866</f>
        <v>426.5</v>
      </c>
      <c r="I114" s="255"/>
    </row>
    <row r="115" spans="1:9">
      <c r="A115" s="227" t="s">
        <v>28</v>
      </c>
      <c r="B115" s="288">
        <f>'6-x'!J867</f>
        <v>0</v>
      </c>
      <c r="C115" s="288">
        <f>'6-x'!K867</f>
        <v>88.1</v>
      </c>
      <c r="D115" s="288">
        <f>'6-x'!L867</f>
        <v>58.1</v>
      </c>
      <c r="E115" s="288">
        <f>'6-x'!M867</f>
        <v>105.1</v>
      </c>
      <c r="F115" s="288">
        <f>'6-x'!N867</f>
        <v>531</v>
      </c>
      <c r="G115" s="288">
        <f>'6-x'!O867</f>
        <v>0.5</v>
      </c>
      <c r="H115" s="249">
        <f>'6-x'!P867</f>
        <v>782.8</v>
      </c>
      <c r="I115" s="255"/>
    </row>
    <row r="116" spans="1:9">
      <c r="A116" s="228" t="s">
        <v>434</v>
      </c>
      <c r="B116" s="273">
        <f>'6-x'!J859</f>
        <v>0.88833260302899331</v>
      </c>
      <c r="C116" s="273">
        <f>'6-x'!K859</f>
        <v>0.89221022858945953</v>
      </c>
      <c r="D116" s="273">
        <f>'6-x'!L859</f>
        <v>0.90114955834645971</v>
      </c>
      <c r="E116" s="273">
        <f>'6-x'!M859</f>
        <v>0.90532907801133833</v>
      </c>
      <c r="F116" s="273">
        <f>'6-x'!N859</f>
        <v>0.84825657123172449</v>
      </c>
      <c r="G116" s="273">
        <f>'6-x'!O859</f>
        <v>0.87544370607056943</v>
      </c>
      <c r="H116" s="273">
        <f>'6-x'!P859</f>
        <v>0.88392923999794448</v>
      </c>
    </row>
    <row r="118" spans="1:9" ht="14.75" customHeight="1">
      <c r="A118" s="253">
        <v>2010</v>
      </c>
      <c r="B118" s="1106" t="s">
        <v>176</v>
      </c>
      <c r="C118" s="1107"/>
      <c r="D118" s="1107"/>
      <c r="E118" s="1107"/>
      <c r="F118" s="1107"/>
      <c r="G118" s="1107"/>
      <c r="H118" s="1108"/>
    </row>
    <row r="119" spans="1:9">
      <c r="A119" s="228" t="s">
        <v>263</v>
      </c>
      <c r="B119" s="249">
        <f>'6-x'!J946</f>
        <v>30.7</v>
      </c>
      <c r="C119" s="249">
        <f>'6-x'!K946</f>
        <v>3077.1000000000004</v>
      </c>
      <c r="D119" s="249">
        <f>'6-x'!L946</f>
        <v>23.2</v>
      </c>
      <c r="E119" s="249">
        <f>'6-x'!M946</f>
        <v>1153.8</v>
      </c>
      <c r="F119" s="249">
        <f>'6-x'!N946</f>
        <v>527.46</v>
      </c>
      <c r="G119" s="249">
        <f>'6-x'!O946</f>
        <v>24.400000000000006</v>
      </c>
      <c r="H119" s="249">
        <f>'6-x'!P946</f>
        <v>4836.66</v>
      </c>
      <c r="I119" s="254"/>
    </row>
    <row r="120" spans="1:9">
      <c r="A120" s="227" t="s">
        <v>24</v>
      </c>
      <c r="B120" s="288">
        <f>'6-x'!J947</f>
        <v>0</v>
      </c>
      <c r="C120" s="288">
        <f>'6-x'!K947</f>
        <v>348.5</v>
      </c>
      <c r="D120" s="288">
        <f>'6-x'!L947</f>
        <v>1.3</v>
      </c>
      <c r="E120" s="288">
        <f>'6-x'!M947</f>
        <v>2.8</v>
      </c>
      <c r="F120" s="288">
        <f>'6-x'!N947</f>
        <v>43.96</v>
      </c>
      <c r="G120" s="288">
        <f>'6-x'!O947</f>
        <v>16.100000000000001</v>
      </c>
      <c r="H120" s="249">
        <f>'6-x'!P947</f>
        <v>412.66</v>
      </c>
      <c r="I120" s="254"/>
    </row>
    <row r="121" spans="1:9">
      <c r="A121" s="227" t="s">
        <v>25</v>
      </c>
      <c r="B121" s="288">
        <f>'6-x'!J948</f>
        <v>0</v>
      </c>
      <c r="C121" s="288">
        <f>'6-x'!K948</f>
        <v>407</v>
      </c>
      <c r="D121" s="288">
        <f>'6-x'!L948</f>
        <v>0</v>
      </c>
      <c r="E121" s="288">
        <f>'6-x'!M948</f>
        <v>74.5</v>
      </c>
      <c r="F121" s="288">
        <f>'6-x'!N948</f>
        <v>0</v>
      </c>
      <c r="G121" s="288">
        <f>'6-x'!O948</f>
        <v>0.2</v>
      </c>
      <c r="H121" s="249">
        <f>'6-x'!P948</f>
        <v>481.7</v>
      </c>
      <c r="I121" s="254"/>
    </row>
    <row r="122" spans="1:9">
      <c r="A122" s="227" t="s">
        <v>26</v>
      </c>
      <c r="B122" s="288">
        <f>'6-x'!J949</f>
        <v>18.399999999999999</v>
      </c>
      <c r="C122" s="288">
        <f>'6-x'!K949</f>
        <v>1903.8</v>
      </c>
      <c r="D122" s="288">
        <f>'6-x'!L949</f>
        <v>19.7</v>
      </c>
      <c r="E122" s="288">
        <f>'6-x'!M949</f>
        <v>331.8</v>
      </c>
      <c r="F122" s="288">
        <f>'6-x'!N949</f>
        <v>191.9</v>
      </c>
      <c r="G122" s="288">
        <f>'6-x'!O949</f>
        <v>0.1</v>
      </c>
      <c r="H122" s="249">
        <f>'6-x'!P949</f>
        <v>2465.7000000000003</v>
      </c>
      <c r="I122" s="254"/>
    </row>
    <row r="123" spans="1:9">
      <c r="A123" s="227" t="s">
        <v>27</v>
      </c>
      <c r="B123" s="288">
        <f>'6-x'!J950</f>
        <v>12.3</v>
      </c>
      <c r="C123" s="288">
        <f>'6-x'!K950</f>
        <v>306.8</v>
      </c>
      <c r="D123" s="288">
        <f>'6-x'!L950</f>
        <v>0</v>
      </c>
      <c r="E123" s="288">
        <f>'6-x'!M950</f>
        <v>233.9</v>
      </c>
      <c r="F123" s="288">
        <f>'6-x'!N950</f>
        <v>85.2</v>
      </c>
      <c r="G123" s="288">
        <f>'6-x'!O950</f>
        <v>2.1</v>
      </c>
      <c r="H123" s="249">
        <f>'6-x'!P950</f>
        <v>640.30000000000007</v>
      </c>
      <c r="I123" s="254"/>
    </row>
    <row r="124" spans="1:9">
      <c r="A124" s="227" t="s">
        <v>28</v>
      </c>
      <c r="B124" s="288">
        <f>'6-x'!J951</f>
        <v>0</v>
      </c>
      <c r="C124" s="288">
        <f>'6-x'!K951</f>
        <v>111</v>
      </c>
      <c r="D124" s="288">
        <f>'6-x'!L951</f>
        <v>2.2000000000000002</v>
      </c>
      <c r="E124" s="288">
        <f>'6-x'!M951</f>
        <v>510.8</v>
      </c>
      <c r="F124" s="288">
        <f>'6-x'!N951</f>
        <v>206.4</v>
      </c>
      <c r="G124" s="288">
        <f>'6-x'!O951</f>
        <v>5.9</v>
      </c>
      <c r="H124" s="249">
        <f>'6-x'!P951</f>
        <v>836.3</v>
      </c>
      <c r="I124" s="254"/>
    </row>
    <row r="125" spans="1:9">
      <c r="A125" s="228" t="s">
        <v>434</v>
      </c>
      <c r="B125" s="273">
        <f>'6-x'!J943</f>
        <v>0.87714931610030611</v>
      </c>
      <c r="C125" s="273">
        <f>'6-x'!K943</f>
        <v>0.89398639365241295</v>
      </c>
      <c r="D125" s="273">
        <f>'6-x'!L943</f>
        <v>0.90001877625378024</v>
      </c>
      <c r="E125" s="273">
        <f>'6-x'!M943</f>
        <v>0.90141968678720619</v>
      </c>
      <c r="F125" s="273">
        <f>'6-x'!N943</f>
        <v>0.86309420565421124</v>
      </c>
      <c r="G125" s="273">
        <f>'6-x'!O943</f>
        <v>0.89870722439062067</v>
      </c>
      <c r="H125" s="273">
        <f>'6-x'!P943</f>
        <v>0.89220256502901085</v>
      </c>
    </row>
    <row r="127" spans="1:9" ht="14.75" customHeight="1">
      <c r="A127" s="253">
        <v>2005</v>
      </c>
      <c r="B127" s="1106" t="s">
        <v>176</v>
      </c>
      <c r="C127" s="1107"/>
      <c r="D127" s="1107"/>
      <c r="E127" s="1107"/>
      <c r="F127" s="1107"/>
      <c r="G127" s="1107"/>
      <c r="H127" s="1108"/>
    </row>
    <row r="128" spans="1:9">
      <c r="A128" s="228" t="s">
        <v>263</v>
      </c>
      <c r="B128" s="249">
        <f>'6-x'!J1029</f>
        <v>70.2</v>
      </c>
      <c r="C128" s="249">
        <f>'6-x'!K1029</f>
        <v>2885.8</v>
      </c>
      <c r="D128" s="249">
        <f>'6-x'!L1029</f>
        <v>58.1</v>
      </c>
      <c r="E128" s="249">
        <f>'6-x'!M1029</f>
        <v>1266.9000000000001</v>
      </c>
      <c r="F128" s="249">
        <f>'6-x'!N1029</f>
        <v>304.5</v>
      </c>
      <c r="G128" s="249">
        <f>'6-x'!O1029</f>
        <v>25.939999999999998</v>
      </c>
      <c r="H128" s="249">
        <f>'6-x'!P1029</f>
        <v>4611.4399999999996</v>
      </c>
    </row>
    <row r="129" spans="1:8">
      <c r="A129" s="227" t="s">
        <v>24</v>
      </c>
      <c r="B129" s="288">
        <f>'6-x'!J1030</f>
        <v>0</v>
      </c>
      <c r="C129" s="288">
        <f>'6-x'!K1030</f>
        <v>139.69999999999999</v>
      </c>
      <c r="D129" s="288">
        <f>'6-x'!L1030</f>
        <v>0.4</v>
      </c>
      <c r="E129" s="288">
        <f>'6-x'!M1030</f>
        <v>3.2</v>
      </c>
      <c r="F129" s="288">
        <f>'6-x'!N1030</f>
        <v>6.1</v>
      </c>
      <c r="G129" s="288">
        <f>'6-x'!O1030</f>
        <v>6.8</v>
      </c>
      <c r="H129" s="249">
        <f>'6-x'!P1030</f>
        <v>156.19999999999999</v>
      </c>
    </row>
    <row r="130" spans="1:8">
      <c r="A130" s="227" t="s">
        <v>25</v>
      </c>
      <c r="B130" s="288">
        <f>'6-x'!J1031</f>
        <v>0</v>
      </c>
      <c r="C130" s="288">
        <f>'6-x'!K1031</f>
        <v>571.1</v>
      </c>
      <c r="D130" s="288">
        <f>'6-x'!L1031</f>
        <v>0</v>
      </c>
      <c r="E130" s="288">
        <f>'6-x'!M1031</f>
        <v>80.8</v>
      </c>
      <c r="F130" s="288">
        <f>'6-x'!N1031</f>
        <v>3.2</v>
      </c>
      <c r="G130" s="288">
        <f>'6-x'!O1031</f>
        <v>0.04</v>
      </c>
      <c r="H130" s="249">
        <f>'6-x'!P1031</f>
        <v>655.14</v>
      </c>
    </row>
    <row r="131" spans="1:8">
      <c r="A131" s="227" t="s">
        <v>26</v>
      </c>
      <c r="B131" s="288">
        <f>'6-x'!J1032</f>
        <v>0</v>
      </c>
      <c r="C131" s="288">
        <f>'6-x'!K1032</f>
        <v>1178.9000000000001</v>
      </c>
      <c r="D131" s="288">
        <f>'6-x'!L1032</f>
        <v>57.5</v>
      </c>
      <c r="E131" s="288">
        <f>'6-x'!M1032</f>
        <v>208.6</v>
      </c>
      <c r="F131" s="288">
        <f>'6-x'!N1032</f>
        <v>22.4</v>
      </c>
      <c r="G131" s="288">
        <f>'6-x'!O1032</f>
        <v>0.5</v>
      </c>
      <c r="H131" s="249">
        <f>'6-x'!P1032</f>
        <v>1467.9</v>
      </c>
    </row>
    <row r="132" spans="1:8">
      <c r="A132" s="227" t="s">
        <v>27</v>
      </c>
      <c r="B132" s="288">
        <f>'6-x'!J1033</f>
        <v>70.2</v>
      </c>
      <c r="C132" s="288">
        <f>'6-x'!K1033</f>
        <v>812.2</v>
      </c>
      <c r="D132" s="288">
        <f>'6-x'!L1033</f>
        <v>0.2</v>
      </c>
      <c r="E132" s="288">
        <f>'6-x'!M1033</f>
        <v>422.8</v>
      </c>
      <c r="F132" s="288">
        <f>'6-x'!N1033</f>
        <v>95.7</v>
      </c>
      <c r="G132" s="288">
        <f>'6-x'!O1033</f>
        <v>4</v>
      </c>
      <c r="H132" s="249">
        <f>'6-x'!P1033</f>
        <v>1405.1000000000001</v>
      </c>
    </row>
    <row r="133" spans="1:8">
      <c r="A133" s="227" t="s">
        <v>28</v>
      </c>
      <c r="B133" s="288">
        <f>'6-x'!J1034</f>
        <v>0</v>
      </c>
      <c r="C133" s="288">
        <f>'6-x'!K1034</f>
        <v>183.9</v>
      </c>
      <c r="D133" s="288">
        <f>'6-x'!L1034</f>
        <v>0</v>
      </c>
      <c r="E133" s="288">
        <f>'6-x'!M1034</f>
        <v>551.5</v>
      </c>
      <c r="F133" s="288">
        <f>'6-x'!N1034</f>
        <v>177.1</v>
      </c>
      <c r="G133" s="288">
        <f>'6-x'!O1034</f>
        <v>14.6</v>
      </c>
      <c r="H133" s="249">
        <f>'6-x'!P1034</f>
        <v>927.1</v>
      </c>
    </row>
  </sheetData>
  <sheetProtection algorithmName="SHA-512" hashValue="ybvpEaI6P4pyNRzO2syYhipW2TBHzc4fdwPbckAhO/QIPxErLaMfYA9F5fPYDLyldMVHUO+F2RNR9uF2AZWrHQ==" saltValue="ti86bFIqkw9c0C525WCKGw==" spinCount="100000" sheet="1" objects="1" scenarios="1"/>
  <mergeCells count="22">
    <mergeCell ref="B5:H5"/>
    <mergeCell ref="B127:H127"/>
    <mergeCell ref="B109:H109"/>
    <mergeCell ref="B118:H118"/>
    <mergeCell ref="B15:H15"/>
    <mergeCell ref="B17:H17"/>
    <mergeCell ref="A2:H2"/>
    <mergeCell ref="B98:H98"/>
    <mergeCell ref="B100:H100"/>
    <mergeCell ref="B87:H87"/>
    <mergeCell ref="B89:H89"/>
    <mergeCell ref="B75:H75"/>
    <mergeCell ref="B77:H77"/>
    <mergeCell ref="B63:H63"/>
    <mergeCell ref="B65:H65"/>
    <mergeCell ref="B51:H51"/>
    <mergeCell ref="B53:H53"/>
    <mergeCell ref="B39:H39"/>
    <mergeCell ref="B41:H41"/>
    <mergeCell ref="B27:H27"/>
    <mergeCell ref="B29:H29"/>
    <mergeCell ref="B3:H3"/>
  </mergeCells>
  <hyperlinks>
    <hyperlink ref="A1" location="Indice!A1" display="Torna indietro" xr:uid="{BBFBEB0E-6C9E-4174-ACF3-71D08013BA8B}"/>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30"/>
  <dimension ref="A1:W28"/>
  <sheetViews>
    <sheetView zoomScaleNormal="100" workbookViewId="0"/>
  </sheetViews>
  <sheetFormatPr defaultRowHeight="14.5"/>
  <cols>
    <col min="1" max="1" width="54.08984375" customWidth="1"/>
    <col min="2" max="2" width="9.81640625" customWidth="1"/>
    <col min="3" max="6" width="8.984375E-2" customWidth="1"/>
    <col min="7" max="7" width="9.54296875" bestFit="1" customWidth="1"/>
    <col min="8" max="11" width="8.984375E-2" customWidth="1"/>
    <col min="12" max="12" width="8.81640625" bestFit="1" customWidth="1"/>
    <col min="13" max="16" width="8.984375E-2" customWidth="1"/>
    <col min="17" max="20" width="8.453125" customWidth="1"/>
    <col min="21" max="22" width="9.1796875" customWidth="1"/>
  </cols>
  <sheetData>
    <row r="1" spans="1:23" ht="15.5">
      <c r="A1" s="108" t="s">
        <v>694</v>
      </c>
    </row>
    <row r="2" spans="1:23" ht="15.5">
      <c r="A2" s="47" t="s">
        <v>560</v>
      </c>
    </row>
    <row r="3" spans="1:23" ht="15.5">
      <c r="A3" s="227"/>
      <c r="B3" s="561">
        <f>'5-x'!K50</f>
        <v>2005</v>
      </c>
      <c r="C3" s="561">
        <f>'5-x'!L50</f>
        <v>2006</v>
      </c>
      <c r="D3" s="561">
        <f>'5-x'!M50</f>
        <v>2007</v>
      </c>
      <c r="E3" s="561">
        <f>'5-x'!N50</f>
        <v>2008</v>
      </c>
      <c r="F3" s="561">
        <f>'5-x'!O50</f>
        <v>2009</v>
      </c>
      <c r="G3" s="561">
        <f>'5-x'!P50</f>
        <v>2010</v>
      </c>
      <c r="H3" s="561">
        <f>'5-x'!Q50</f>
        <v>2011</v>
      </c>
      <c r="I3" s="561">
        <f>'5-x'!R50</f>
        <v>2012</v>
      </c>
      <c r="J3" s="561">
        <f>'5-x'!S50</f>
        <v>2013</v>
      </c>
      <c r="K3" s="561">
        <f>'5-x'!T50</f>
        <v>2014</v>
      </c>
      <c r="L3" s="561">
        <f>'5-x'!U50</f>
        <v>2015</v>
      </c>
      <c r="M3" s="561">
        <f>'5-x'!V50</f>
        <v>2016</v>
      </c>
      <c r="N3" s="561">
        <f>'5-x'!W50</f>
        <v>2017</v>
      </c>
      <c r="O3" s="561">
        <f>'5-x'!X50</f>
        <v>2018</v>
      </c>
      <c r="P3" s="561">
        <f>'5-x'!Y50</f>
        <v>2019</v>
      </c>
      <c r="Q3" s="561">
        <f>'5-x'!Z50</f>
        <v>2020</v>
      </c>
      <c r="R3" s="561">
        <f>'5-x'!AA50</f>
        <v>2021</v>
      </c>
      <c r="S3" s="561">
        <f>'5-x'!AB50</f>
        <v>2022</v>
      </c>
      <c r="T3" s="561">
        <f>'5-x'!AC50</f>
        <v>2023</v>
      </c>
      <c r="U3" s="926">
        <v>2024</v>
      </c>
      <c r="V3" s="690" t="s">
        <v>584</v>
      </c>
    </row>
    <row r="4" spans="1:23">
      <c r="A4" s="227" t="s">
        <v>235</v>
      </c>
      <c r="B4" s="232">
        <f>'5-x'!K54</f>
        <v>2.047641</v>
      </c>
      <c r="C4" s="232">
        <f>'5-x'!L54</f>
        <v>2.0270000000000001</v>
      </c>
      <c r="D4" s="232">
        <f>'5-x'!M54</f>
        <v>1.9950000000000001</v>
      </c>
      <c r="E4" s="232">
        <f>'5-x'!N54</f>
        <v>1.9710000000000001</v>
      </c>
      <c r="F4" s="232">
        <f>'5-x'!O54</f>
        <v>2.0129999999999999</v>
      </c>
      <c r="G4" s="232">
        <f>'5-x'!P54</f>
        <v>1.9969319999999999</v>
      </c>
      <c r="H4" s="232">
        <f>'5-x'!Q54</f>
        <v>1.9930000000000001</v>
      </c>
      <c r="I4" s="232">
        <f>'5-x'!R54</f>
        <v>2.028</v>
      </c>
      <c r="J4" s="232">
        <f>'5-x'!S54</f>
        <v>2.085</v>
      </c>
      <c r="K4" s="232">
        <f>'5-x'!T54</f>
        <v>2.1309999999999998</v>
      </c>
      <c r="L4" s="232">
        <f>'5-x'!U54</f>
        <v>2.0598464220884685</v>
      </c>
      <c r="M4" s="232">
        <f>'5-x'!V54</f>
        <v>2.0009171682430495</v>
      </c>
      <c r="N4" s="232">
        <f>'5-x'!W54</f>
        <v>1.9372516002675073</v>
      </c>
      <c r="O4" s="232">
        <f>'5-x'!X54</f>
        <v>1.9531623196713481</v>
      </c>
      <c r="P4" s="232">
        <f>'5-x'!Y54</f>
        <v>1.8902505493455621</v>
      </c>
      <c r="Q4" s="232">
        <f>'5-x'!Z54</f>
        <v>1.882463865218986</v>
      </c>
      <c r="R4" s="232">
        <f>'5-x'!AA54</f>
        <v>1.8760784261575809</v>
      </c>
      <c r="S4" s="232">
        <f>'5-x'!AB54</f>
        <v>1.904650548799935</v>
      </c>
      <c r="T4" s="232">
        <f>'5-x'!AC54</f>
        <v>1.8950497432656714</v>
      </c>
      <c r="U4" s="927">
        <f>'5-x'!AD54</f>
        <v>1.7875610704701439</v>
      </c>
      <c r="V4" s="691">
        <f>'5-x'!AE54</f>
        <v>1.7875610704701439</v>
      </c>
    </row>
    <row r="5" spans="1:23">
      <c r="A5" s="227" t="s">
        <v>236</v>
      </c>
      <c r="B5" s="232">
        <f>'5-x'!K55</f>
        <v>1.7031890000000001</v>
      </c>
      <c r="C5" s="232">
        <f>'5-x'!L55</f>
        <v>1.673</v>
      </c>
      <c r="D5" s="232">
        <f>'5-x'!M55</f>
        <v>1.698</v>
      </c>
      <c r="E5" s="232">
        <f>'5-x'!N55</f>
        <v>1.667</v>
      </c>
      <c r="F5" s="232">
        <f>'5-x'!O55</f>
        <v>1.6459999999999999</v>
      </c>
      <c r="G5" s="232">
        <f>'5-x'!P55</f>
        <v>1.6666460000000001</v>
      </c>
      <c r="H5" s="232">
        <f>'5-x'!Q55</f>
        <v>1.643</v>
      </c>
      <c r="I5" s="232">
        <f>'5-x'!R55</f>
        <v>1.6639999999999999</v>
      </c>
      <c r="J5" s="232">
        <f>'5-x'!S55</f>
        <v>1.5609999999999999</v>
      </c>
      <c r="K5" s="232">
        <f>'5-x'!T55</f>
        <v>1.5980000000000001</v>
      </c>
      <c r="L5" s="232">
        <f>'5-x'!U55</f>
        <v>1.5529343412630172</v>
      </c>
      <c r="M5" s="232">
        <f>'5-x'!V55</f>
        <v>1.5462823636189931</v>
      </c>
      <c r="N5" s="232">
        <f>'5-x'!W55</f>
        <v>1.5452749116270184</v>
      </c>
      <c r="O5" s="232">
        <f>'5-x'!X55</f>
        <v>1.5542956434508457</v>
      </c>
      <c r="P5" s="232">
        <f>'5-x'!Y55</f>
        <v>1.55412677940193</v>
      </c>
      <c r="Q5" s="232">
        <f>'5-x'!Z55</f>
        <v>1.553062903355533</v>
      </c>
      <c r="R5" s="232">
        <f>'5-x'!AA55</f>
        <v>1.5423816682213749</v>
      </c>
      <c r="S5" s="232">
        <f>'5-x'!AB55</f>
        <v>1.5277079810635823</v>
      </c>
      <c r="T5" s="232">
        <f>'5-x'!AC55</f>
        <v>1.5419406261669841</v>
      </c>
      <c r="U5" s="927">
        <f>'5-x'!AD55</f>
        <v>1.5384942429731439</v>
      </c>
      <c r="V5" s="691">
        <f>'5-x'!AE55</f>
        <v>1.5384942429731439</v>
      </c>
    </row>
    <row r="6" spans="1:23">
      <c r="A6" s="227" t="s">
        <v>246</v>
      </c>
      <c r="B6" s="233">
        <f>'5-x'!K85</f>
        <v>53462.293437100001</v>
      </c>
      <c r="C6" s="233">
        <f>'5-x'!L85</f>
        <v>54917.812180000008</v>
      </c>
      <c r="D6" s="233">
        <f>'5-x'!M85</f>
        <v>55068.393650000013</v>
      </c>
      <c r="E6" s="233">
        <f>'5-x'!N85</f>
        <v>53501.866540000003</v>
      </c>
      <c r="F6" s="233">
        <f>'5-x'!O85</f>
        <v>46755.335189999998</v>
      </c>
      <c r="G6" s="233">
        <f>'5-x'!P85</f>
        <v>47762.929818239994</v>
      </c>
      <c r="H6" s="233">
        <f>'5-x'!Q85</f>
        <v>47670.66595000001</v>
      </c>
      <c r="I6" s="233">
        <f>'5-x'!R85</f>
        <v>45665.760760000005</v>
      </c>
      <c r="J6" s="233">
        <f>'5-x'!S85</f>
        <v>41098.64028</v>
      </c>
      <c r="K6" s="233">
        <f>'5-x'!T85</f>
        <v>38300.488140000001</v>
      </c>
      <c r="L6" s="233">
        <f>'5-x'!U85</f>
        <v>40343.115442426191</v>
      </c>
      <c r="M6" s="233">
        <f>'5-x'!V85</f>
        <v>40886.221686443103</v>
      </c>
      <c r="N6" s="233">
        <f>'5-x'!W85</f>
        <v>42043.682158904179</v>
      </c>
      <c r="O6" s="233">
        <f>'5-x'!X85</f>
        <v>39108.314983041942</v>
      </c>
      <c r="P6" s="233">
        <f>'5-x'!Y85</f>
        <v>39096.485204528522</v>
      </c>
      <c r="Q6" s="233">
        <f>'5-x'!Z85</f>
        <v>36458.897773000863</v>
      </c>
      <c r="R6" s="233">
        <f>'5-x'!AA85</f>
        <v>37644.945242189744</v>
      </c>
      <c r="S6" s="233">
        <f>'5-x'!AB85</f>
        <v>39315.659285373069</v>
      </c>
      <c r="T6" s="233">
        <f>'5-x'!AC85</f>
        <v>32239.752713528229</v>
      </c>
      <c r="U6" s="928">
        <f>'5-x'!AD85</f>
        <v>29818.601202230828</v>
      </c>
      <c r="V6" s="692">
        <f>'5-x'!AE85</f>
        <v>30632.154521275923</v>
      </c>
    </row>
    <row r="7" spans="1:23">
      <c r="A7" s="230" t="s">
        <v>239</v>
      </c>
      <c r="B7" s="229">
        <f>B8+B9</f>
        <v>21205.599999999999</v>
      </c>
      <c r="C7" s="229">
        <f t="shared" ref="C7:M7" si="0">C8+C9</f>
        <v>22588.5</v>
      </c>
      <c r="D7" s="229">
        <f t="shared" si="0"/>
        <v>23728.400000000001</v>
      </c>
      <c r="E7" s="229">
        <f t="shared" si="0"/>
        <v>22461.1</v>
      </c>
      <c r="F7" s="229">
        <f t="shared" si="0"/>
        <v>21472.799999999999</v>
      </c>
      <c r="G7" s="229">
        <f t="shared" si="0"/>
        <v>23998.799999999999</v>
      </c>
      <c r="H7" s="229">
        <f t="shared" si="0"/>
        <v>22520.7</v>
      </c>
      <c r="I7" s="229">
        <f t="shared" si="0"/>
        <v>22146.7</v>
      </c>
      <c r="J7" s="229">
        <f t="shared" si="0"/>
        <v>20052.3</v>
      </c>
      <c r="K7" s="229">
        <f t="shared" si="0"/>
        <v>19044.900000000001</v>
      </c>
      <c r="L7" s="229">
        <f t="shared" si="0"/>
        <v>20654.3</v>
      </c>
      <c r="M7" s="229">
        <f t="shared" si="0"/>
        <v>22164.2</v>
      </c>
      <c r="N7" s="229">
        <f t="shared" ref="N7:S7" si="1">N8+N9</f>
        <v>22923.9</v>
      </c>
      <c r="O7" s="229">
        <f t="shared" si="1"/>
        <v>22075.47</v>
      </c>
      <c r="P7" s="229">
        <f t="shared" si="1"/>
        <v>22495.7</v>
      </c>
      <c r="Q7" s="229">
        <f t="shared" si="1"/>
        <v>21332.83</v>
      </c>
      <c r="R7" s="229">
        <f t="shared" si="1"/>
        <v>21221.190000000002</v>
      </c>
      <c r="S7" s="229">
        <f t="shared" si="1"/>
        <v>21588.41</v>
      </c>
      <c r="T7" s="229">
        <f>T8+T9</f>
        <v>19794.98</v>
      </c>
      <c r="U7" s="928">
        <f>U8+U9</f>
        <v>19049.2</v>
      </c>
      <c r="V7" s="692">
        <f>V8+V9</f>
        <v>19305.540086423978</v>
      </c>
    </row>
    <row r="8" spans="1:23">
      <c r="A8" s="235" t="s">
        <v>237</v>
      </c>
      <c r="B8" s="234">
        <f>'5-x'!K82</f>
        <v>16082.7027703</v>
      </c>
      <c r="C8" s="234">
        <f>'5-x'!L82</f>
        <v>17005.02447</v>
      </c>
      <c r="D8" s="234">
        <f>'5-x'!M82</f>
        <v>18279.037919999999</v>
      </c>
      <c r="E8" s="234">
        <f>'5-x'!N82</f>
        <v>17157.547490000001</v>
      </c>
      <c r="F8" s="234">
        <f>'5-x'!O82</f>
        <v>16532.308779999996</v>
      </c>
      <c r="G8" s="234">
        <f>'5-x'!P82</f>
        <v>18577.769632800002</v>
      </c>
      <c r="H8" s="234">
        <f>'5-x'!Q82</f>
        <v>16677.895840000001</v>
      </c>
      <c r="I8" s="234">
        <f>'5-x'!R82</f>
        <v>16779.57632</v>
      </c>
      <c r="J8" s="234">
        <f>'5-x'!S82</f>
        <v>14250.812323999997</v>
      </c>
      <c r="K8" s="234">
        <f>'5-x'!T82</f>
        <v>13607.08186</v>
      </c>
      <c r="L8" s="234">
        <f>'5-x'!U82</f>
        <v>14888.680350142113</v>
      </c>
      <c r="M8" s="234">
        <f>'5-x'!V82</f>
        <v>16255.571678370117</v>
      </c>
      <c r="N8" s="234">
        <f>'5-x'!W82</f>
        <v>17017.818999515144</v>
      </c>
      <c r="O8" s="234">
        <f>'5-x'!X82</f>
        <v>16307.778691781314</v>
      </c>
      <c r="P8" s="234">
        <f>'5-x'!Y82</f>
        <v>16669.688166007454</v>
      </c>
      <c r="Q8" s="234">
        <f>'5-x'!Z82</f>
        <v>15600.905129932167</v>
      </c>
      <c r="R8" s="234">
        <f>'5-x'!AA82</f>
        <v>15668.931976927488</v>
      </c>
      <c r="S8" s="234">
        <f>'5-x'!AB82</f>
        <v>16108.382108531572</v>
      </c>
      <c r="T8" s="234">
        <f>'5-x'!AC82</f>
        <v>14849.566683863572</v>
      </c>
      <c r="U8" s="929">
        <f>'5-x'!AD82</f>
        <v>14031.519813222509</v>
      </c>
      <c r="V8" s="717">
        <f>'5-x'!AE82</f>
        <v>14757.516399930915</v>
      </c>
    </row>
    <row r="9" spans="1:23">
      <c r="A9" s="235" t="s">
        <v>238</v>
      </c>
      <c r="B9" s="234">
        <f>'5-x'!K84</f>
        <v>5122.8972296999982</v>
      </c>
      <c r="C9" s="234">
        <f>'5-x'!L84</f>
        <v>5583.4755299999997</v>
      </c>
      <c r="D9" s="234">
        <f>'5-x'!M84</f>
        <v>5449.3620800000026</v>
      </c>
      <c r="E9" s="234">
        <f>'5-x'!N84</f>
        <v>5303.5525099999977</v>
      </c>
      <c r="F9" s="234">
        <f>'5-x'!O84</f>
        <v>4940.4912200000035</v>
      </c>
      <c r="G9" s="234">
        <f>'5-x'!P84</f>
        <v>5421.0303671999973</v>
      </c>
      <c r="H9" s="234">
        <f>'5-x'!Q84</f>
        <v>5842.8041599999997</v>
      </c>
      <c r="I9" s="234">
        <f>'5-x'!R84</f>
        <v>5367.1236800000006</v>
      </c>
      <c r="J9" s="234">
        <f>'5-x'!S84</f>
        <v>5801.4876760000025</v>
      </c>
      <c r="K9" s="234">
        <f>'5-x'!T84</f>
        <v>5437.8181400000012</v>
      </c>
      <c r="L9" s="234">
        <f>'5-x'!U84</f>
        <v>5765.6196498578865</v>
      </c>
      <c r="M9" s="234">
        <f>'5-x'!V84</f>
        <v>5908.6283216298834</v>
      </c>
      <c r="N9" s="234">
        <f>'5-x'!W84</f>
        <v>5906.0810004848572</v>
      </c>
      <c r="O9" s="234">
        <f>'5-x'!X84</f>
        <v>5767.6913082186875</v>
      </c>
      <c r="P9" s="234">
        <f>'5-x'!Y84</f>
        <v>5826.0118339925466</v>
      </c>
      <c r="Q9" s="234">
        <f>'5-x'!Z84</f>
        <v>5731.9248700678345</v>
      </c>
      <c r="R9" s="234">
        <f>'5-x'!AA84</f>
        <v>5552.2580230725143</v>
      </c>
      <c r="S9" s="234">
        <f>'5-x'!AB84</f>
        <v>5480.0278914684277</v>
      </c>
      <c r="T9" s="234">
        <f>'5-x'!AC84</f>
        <v>4945.413316136428</v>
      </c>
      <c r="U9" s="929">
        <f>'5-x'!AD84</f>
        <v>5017.6801867774921</v>
      </c>
      <c r="V9" s="717">
        <f>'5-x'!AE84</f>
        <v>4548.023686493063</v>
      </c>
    </row>
    <row r="10" spans="1:23">
      <c r="A10" s="230" t="s">
        <v>240</v>
      </c>
      <c r="B10" s="233">
        <f>'5-x'!K83</f>
        <v>32256.693437099999</v>
      </c>
      <c r="C10" s="233">
        <f>'5-x'!L83</f>
        <v>32329.312180000004</v>
      </c>
      <c r="D10" s="233">
        <f>'5-x'!M83</f>
        <v>31339.993650000004</v>
      </c>
      <c r="E10" s="233">
        <f>'5-x'!N83</f>
        <v>31040.766540000004</v>
      </c>
      <c r="F10" s="233">
        <f>'5-x'!O83</f>
        <v>25282.535189999999</v>
      </c>
      <c r="G10" s="233">
        <f>'5-x'!P83</f>
        <v>23764.129818239995</v>
      </c>
      <c r="H10" s="233">
        <f>'5-x'!Q83</f>
        <v>25149.965950000005</v>
      </c>
      <c r="I10" s="233">
        <f>'5-x'!R83</f>
        <v>23519.06076</v>
      </c>
      <c r="J10" s="233">
        <f>'5-x'!S83</f>
        <v>21046.34028</v>
      </c>
      <c r="K10" s="233">
        <f>'5-x'!T83</f>
        <v>19255.588139999996</v>
      </c>
      <c r="L10" s="233">
        <f>'5-x'!U83</f>
        <v>19688.815442426192</v>
      </c>
      <c r="M10" s="233">
        <f>'5-x'!V83</f>
        <v>18722.021686443106</v>
      </c>
      <c r="N10" s="233">
        <f>'5-x'!W83</f>
        <v>19119.782158904174</v>
      </c>
      <c r="O10" s="233">
        <f>'5-x'!X83</f>
        <v>17032.844983041941</v>
      </c>
      <c r="P10" s="233">
        <f>'5-x'!Y83</f>
        <v>16600.785204528522</v>
      </c>
      <c r="Q10" s="233">
        <f>'5-x'!Z83</f>
        <v>15126.067773000857</v>
      </c>
      <c r="R10" s="233">
        <f>'5-x'!AA83</f>
        <v>16423.755242189738</v>
      </c>
      <c r="S10" s="233">
        <f>'5-x'!AB83</f>
        <v>17727.249285373073</v>
      </c>
      <c r="T10" s="233">
        <f>'5-x'!AC83</f>
        <v>12444.772713528231</v>
      </c>
      <c r="U10" s="928">
        <f>'5-x'!AD83</f>
        <v>10769.401202230825</v>
      </c>
      <c r="V10" s="692">
        <f>'5-x'!AE83</f>
        <v>11326.614434851943</v>
      </c>
    </row>
    <row r="11" spans="1:23">
      <c r="A11" s="236" t="s">
        <v>247</v>
      </c>
      <c r="B11" s="237">
        <f>'5-x'!K82+'5-x'!K83</f>
        <v>48339.396207400001</v>
      </c>
      <c r="C11" s="237">
        <f>'5-x'!L82+'5-x'!L83</f>
        <v>49334.336650000005</v>
      </c>
      <c r="D11" s="237">
        <f>'5-x'!M82+'5-x'!M83</f>
        <v>49619.031570000006</v>
      </c>
      <c r="E11" s="237">
        <f>'5-x'!N82+'5-x'!N83</f>
        <v>48198.314030000009</v>
      </c>
      <c r="F11" s="237">
        <f>'5-x'!O82+'5-x'!O83</f>
        <v>41814.843969999994</v>
      </c>
      <c r="G11" s="237">
        <f>'5-x'!P82+'5-x'!P83</f>
        <v>42341.899451039993</v>
      </c>
      <c r="H11" s="237">
        <f>'5-x'!Q82+'5-x'!Q83</f>
        <v>41827.86179000001</v>
      </c>
      <c r="I11" s="237">
        <f>'5-x'!R82+'5-x'!R83</f>
        <v>40298.63708</v>
      </c>
      <c r="J11" s="237">
        <f>'5-x'!S82+'5-x'!S83</f>
        <v>35297.152603999995</v>
      </c>
      <c r="K11" s="237">
        <f>'5-x'!T82+'5-x'!T83</f>
        <v>32862.67</v>
      </c>
      <c r="L11" s="237">
        <f>'5-x'!U82+'5-x'!U83</f>
        <v>34577.495792568305</v>
      </c>
      <c r="M11" s="237">
        <f>'5-x'!V82+'5-x'!V83</f>
        <v>34977.59336481322</v>
      </c>
      <c r="N11" s="237">
        <f>'5-x'!W82+'5-x'!W83</f>
        <v>36137.601158419318</v>
      </c>
      <c r="O11" s="237">
        <f>'5-x'!X82+'5-x'!X83</f>
        <v>33340.623674823255</v>
      </c>
      <c r="P11" s="237">
        <f>'5-x'!Y82+'5-x'!Y83</f>
        <v>33270.473370535976</v>
      </c>
      <c r="Q11" s="237">
        <f>'5-x'!Z82+'5-x'!Z83</f>
        <v>30726.972902933026</v>
      </c>
      <c r="R11" s="237">
        <f>'5-x'!AA82+'5-x'!AA83</f>
        <v>32092.687219117226</v>
      </c>
      <c r="S11" s="237">
        <f>'5-x'!AB82+'5-x'!AB83</f>
        <v>33835.631393904645</v>
      </c>
      <c r="T11" s="237">
        <f>'5-x'!AC82+'5-x'!AC83</f>
        <v>27294.339397391803</v>
      </c>
      <c r="U11" s="928">
        <f>'5-x'!AD82+'5-x'!AD83</f>
        <v>24800.921015453336</v>
      </c>
      <c r="V11" s="692">
        <f>'5-x'!AE82+'5-x'!AE83</f>
        <v>26084.13083478286</v>
      </c>
    </row>
    <row r="12" spans="1:23">
      <c r="A12" s="238"/>
      <c r="B12" s="442"/>
      <c r="C12" s="239"/>
      <c r="D12" s="239"/>
      <c r="E12" s="239"/>
      <c r="F12" s="239"/>
      <c r="G12" s="442"/>
      <c r="H12" s="239"/>
      <c r="I12" s="239"/>
      <c r="J12" s="239"/>
      <c r="K12" s="239"/>
      <c r="L12" s="442"/>
      <c r="M12" s="442"/>
      <c r="N12" s="442"/>
      <c r="O12" s="442"/>
      <c r="P12" s="442"/>
      <c r="Q12" s="442"/>
      <c r="R12" s="442"/>
      <c r="S12" s="442"/>
      <c r="T12" s="442"/>
      <c r="U12" s="930"/>
      <c r="V12" s="442"/>
    </row>
    <row r="13" spans="1:23">
      <c r="A13" s="227" t="s">
        <v>392</v>
      </c>
      <c r="B13" s="231">
        <f>'5-x'!K106</f>
        <v>0.38288284854491461</v>
      </c>
      <c r="C13" s="231">
        <f>'5-x'!L106</f>
        <v>0.38691379399241171</v>
      </c>
      <c r="D13" s="231">
        <f>'5-x'!M106</f>
        <v>0.39009239020376812</v>
      </c>
      <c r="E13" s="231">
        <f>'5-x'!N106</f>
        <v>0.39401147817256377</v>
      </c>
      <c r="F13" s="231">
        <f>'5-x'!O106</f>
        <v>0.40219371853925423</v>
      </c>
      <c r="G13" s="231">
        <f>'5-x'!P106</f>
        <v>0.39937508483334744</v>
      </c>
      <c r="H13" s="231">
        <f>'5-x'!Q106</f>
        <v>0.3875628078420838</v>
      </c>
      <c r="I13" s="231">
        <f>'5-x'!R106</f>
        <v>0.3915064590346492</v>
      </c>
      <c r="J13" s="231">
        <f>'5-x'!S106</f>
        <v>0.39146488338840868</v>
      </c>
      <c r="K13" s="231">
        <f>'5-x'!T106</f>
        <v>0.38444109994724096</v>
      </c>
      <c r="L13" s="231">
        <f>'5-x'!U106</f>
        <v>0.39912866230453847</v>
      </c>
      <c r="M13" s="231">
        <f>'5-x'!V106</f>
        <v>0.40783234811130548</v>
      </c>
      <c r="N13" s="231">
        <f>'5-x'!W106</f>
        <v>0.41307596542550395</v>
      </c>
      <c r="O13" s="231">
        <f>'5-x'!X106</f>
        <v>0.40866882199393367</v>
      </c>
      <c r="P13" s="231">
        <f>'5-x'!Y106</f>
        <v>0.40997918276087014</v>
      </c>
      <c r="Q13" s="231">
        <f>'5-x'!Z106</f>
        <v>0.40488581567239196</v>
      </c>
      <c r="R13" s="231">
        <f>'5-x'!AA106</f>
        <v>0.41162153876390545</v>
      </c>
      <c r="S13" s="231">
        <f>'5-x'!AB106</f>
        <v>0.41996316816890733</v>
      </c>
      <c r="T13" s="231">
        <f>'5-x'!AC106</f>
        <v>0.41832261897623979</v>
      </c>
      <c r="U13" s="931">
        <f>'5-x'!AD106</f>
        <v>0.41167299795114426</v>
      </c>
      <c r="V13" s="693">
        <f>'5-x'!AE106</f>
        <v>0.42722408518867133</v>
      </c>
      <c r="W13" t="s">
        <v>437</v>
      </c>
    </row>
    <row r="14" spans="1:23">
      <c r="A14" s="227" t="s">
        <v>393</v>
      </c>
      <c r="B14" s="231">
        <f>'5-x'!K91</f>
        <v>0.50484428202565024</v>
      </c>
      <c r="C14" s="231">
        <f>'5-x'!L91</f>
        <v>0.51395411109323685</v>
      </c>
      <c r="D14" s="231">
        <f>'5-x'!M91</f>
        <v>0.50638705998762401</v>
      </c>
      <c r="E14" s="231">
        <f>'5-x'!N91</f>
        <v>0.51580397592020721</v>
      </c>
      <c r="F14" s="231">
        <f>'5-x'!O91</f>
        <v>0.52238470708322327</v>
      </c>
      <c r="G14" s="231">
        <f>'5-x'!P91</f>
        <v>0.51591353404321327</v>
      </c>
      <c r="H14" s="231">
        <f>'5-x'!Q91</f>
        <v>0.52333854404077007</v>
      </c>
      <c r="I14" s="231">
        <f>'5-x'!R91</f>
        <v>0.51673391097294807</v>
      </c>
      <c r="J14" s="231">
        <f>'5-x'!S91</f>
        <v>0.55082974238243787</v>
      </c>
      <c r="K14" s="231">
        <f>'5-x'!T91</f>
        <v>0.53807586223966541</v>
      </c>
      <c r="L14" s="231">
        <f>'5-x'!U91</f>
        <v>0.55369065195613132</v>
      </c>
      <c r="M14" s="231">
        <f>'5-x'!V91</f>
        <v>0.55607258291853134</v>
      </c>
      <c r="N14" s="231">
        <f>'5-x'!W91</f>
        <v>0.55643511804230039</v>
      </c>
      <c r="O14" s="231">
        <f>'5-x'!X91</f>
        <v>0.55320571184897482</v>
      </c>
      <c r="P14" s="231">
        <f>'5-x'!Y91</f>
        <v>0.5532658205592963</v>
      </c>
      <c r="Q14" s="231">
        <f>'5-x'!Z91</f>
        <v>0.55364481760604289</v>
      </c>
      <c r="R14" s="231">
        <f>'5-x'!AA91</f>
        <v>0.5574788948642857</v>
      </c>
      <c r="S14" s="231">
        <f>'5-x'!AB91</f>
        <v>0.5628334986247604</v>
      </c>
      <c r="T14" s="231">
        <f>'5-x'!AC91</f>
        <v>0.55763835083353497</v>
      </c>
      <c r="U14" s="931">
        <f>'5-x'!AD91</f>
        <v>0.55888751731519792</v>
      </c>
      <c r="V14" s="693">
        <f>'5-x'!AE91</f>
        <v>0.55888751731519792</v>
      </c>
      <c r="W14" t="s">
        <v>442</v>
      </c>
    </row>
    <row r="15" spans="1:23">
      <c r="A15" s="227" t="s">
        <v>394</v>
      </c>
      <c r="B15" s="231">
        <f>'5-x'!K90</f>
        <v>0.60033751702532845</v>
      </c>
      <c r="C15" s="231">
        <f>'5-x'!L90</f>
        <v>0.60779917300489494</v>
      </c>
      <c r="D15" s="231">
        <f>'5-x'!M90</f>
        <v>0.59584900640914251</v>
      </c>
      <c r="E15" s="231">
        <f>'5-x'!N90</f>
        <v>0.60495824970313383</v>
      </c>
      <c r="F15" s="231">
        <f>'5-x'!O90</f>
        <v>0.60332290695877699</v>
      </c>
      <c r="G15" s="231">
        <f>'5-x'!P90</f>
        <v>0.60091834773573316</v>
      </c>
      <c r="H15" s="231">
        <f>'5-x'!Q90</f>
        <v>0.6164720435478882</v>
      </c>
      <c r="I15" s="231">
        <f>'5-x'!R90</f>
        <v>0.61069922567041512</v>
      </c>
      <c r="J15" s="231">
        <f>'5-x'!S90</f>
        <v>0.64486206369959664</v>
      </c>
      <c r="K15" s="231">
        <f>'5-x'!T90</f>
        <v>0.63833565748060017</v>
      </c>
      <c r="L15" s="231">
        <f>'5-x'!U90</f>
        <v>0.64587129060447934</v>
      </c>
      <c r="M15" s="231">
        <f>'5-x'!V90</f>
        <v>0.64465552042813812</v>
      </c>
      <c r="N15" s="231">
        <f>'5-x'!W90</f>
        <v>0.64217747087882182</v>
      </c>
      <c r="O15" s="231">
        <f>'5-x'!X90</f>
        <v>0.64089490827163231</v>
      </c>
      <c r="P15" s="231">
        <f>'5-x'!Y90</f>
        <v>0.64025430204364653</v>
      </c>
      <c r="Q15" s="231">
        <f>'5-x'!Z90</f>
        <v>0.64389301728775117</v>
      </c>
      <c r="R15" s="231">
        <f>'5-x'!AA90</f>
        <v>0.64533559799109108</v>
      </c>
      <c r="S15" s="231">
        <f>'5-x'!AB90</f>
        <v>0.64570210858812294</v>
      </c>
      <c r="T15" s="231">
        <f>'5-x'!AC90</f>
        <v>0.63927548300353576</v>
      </c>
      <c r="U15" s="931">
        <f>'5-x'!AD90</f>
        <v>0.64513100704518722</v>
      </c>
      <c r="V15" s="693">
        <f>'5-x'!AE90</f>
        <v>0.66068209428271407</v>
      </c>
      <c r="W15" t="s">
        <v>443</v>
      </c>
    </row>
    <row r="16" spans="1:23">
      <c r="A16" s="227" t="s">
        <v>395</v>
      </c>
      <c r="B16" s="231">
        <f>'5-x'!K92</f>
        <v>0.4199199116734747</v>
      </c>
      <c r="C16" s="231">
        <f>'5-x'!L92</f>
        <v>0.4241959683566775</v>
      </c>
      <c r="D16" s="231">
        <f>'5-x'!M92</f>
        <v>0.43100011421503026</v>
      </c>
      <c r="E16" s="231">
        <f>'5-x'!N92</f>
        <v>0.43624821301825734</v>
      </c>
      <c r="F16" s="231">
        <f>'5-x'!O92</f>
        <v>0.42714616386437421</v>
      </c>
      <c r="G16" s="231">
        <f>'5-x'!P92</f>
        <v>0.4305831284485328</v>
      </c>
      <c r="H16" s="231">
        <f>'5-x'!Q92</f>
        <v>0.43143262812794042</v>
      </c>
      <c r="I16" s="231">
        <f>'5-x'!R92</f>
        <v>0.42398679874703415</v>
      </c>
      <c r="J16" s="231">
        <f>'5-x'!S92</f>
        <v>0.41239579273812249</v>
      </c>
      <c r="K16" s="231">
        <f>'5-x'!T92</f>
        <v>0.40349377187188434</v>
      </c>
      <c r="L16" s="231">
        <f>'5-x'!U92</f>
        <v>0.41743171657777883</v>
      </c>
      <c r="M16" s="231">
        <f>'5-x'!V92</f>
        <v>0.42972554861628376</v>
      </c>
      <c r="N16" s="231">
        <f>'5-x'!W92</f>
        <v>0.44384798946107612</v>
      </c>
      <c r="O16" s="231">
        <f>'5-x'!X92</f>
        <v>0.44023234484867019</v>
      </c>
      <c r="P16" s="231">
        <f>'5-x'!Y92</f>
        <v>0.45488426291248996</v>
      </c>
      <c r="Q16" s="231">
        <f>'5-x'!Z92</f>
        <v>0.45676586081983572</v>
      </c>
      <c r="R16" s="231">
        <f>'5-x'!AA92</f>
        <v>0.45832051361522497</v>
      </c>
      <c r="S16" s="231">
        <f>'5-x'!AB92</f>
        <v>0.45144513695740618</v>
      </c>
      <c r="T16" s="231">
        <f>'5-x'!AC92</f>
        <v>0.4537322732105411</v>
      </c>
      <c r="U16" s="931">
        <f>'5-x'!AD92</f>
        <v>0.48101586125549195</v>
      </c>
      <c r="V16" s="693">
        <f>'5-x'!AE92</f>
        <v>0.48101586125549195</v>
      </c>
      <c r="W16" t="s">
        <v>438</v>
      </c>
    </row>
    <row r="17" spans="1:23">
      <c r="A17" s="238"/>
      <c r="B17" s="239"/>
      <c r="C17" s="239"/>
      <c r="D17" s="239"/>
      <c r="E17" s="239"/>
      <c r="F17" s="239"/>
      <c r="G17" s="239"/>
      <c r="H17" s="239"/>
      <c r="I17" s="239"/>
      <c r="J17" s="239"/>
      <c r="K17" s="239"/>
      <c r="L17" s="239"/>
      <c r="M17" s="239"/>
      <c r="N17" s="240"/>
      <c r="O17" s="240"/>
      <c r="P17" s="240"/>
      <c r="Q17" s="240"/>
      <c r="R17" s="240"/>
      <c r="S17" s="240"/>
      <c r="T17" s="240"/>
      <c r="U17" s="240"/>
      <c r="V17" s="512"/>
    </row>
    <row r="18" spans="1:23">
      <c r="A18" s="228" t="s">
        <v>390</v>
      </c>
      <c r="B18" s="513">
        <f>'5-x'!K105</f>
        <v>0.40702138362629836</v>
      </c>
      <c r="C18" s="513">
        <f>'5-x'!L105</f>
        <v>0.41046938926785587</v>
      </c>
      <c r="D18" s="513">
        <f>'5-x'!M105</f>
        <v>0.41496788402030887</v>
      </c>
      <c r="E18" s="513">
        <f>'5-x'!N105</f>
        <v>0.41998840084941258</v>
      </c>
      <c r="F18" s="513">
        <f>'5-x'!O105</f>
        <v>0.41679589212895529</v>
      </c>
      <c r="G18" s="513">
        <f>'5-x'!P105</f>
        <v>0.41630061143709302</v>
      </c>
      <c r="H18" s="513">
        <f>'5-x'!Q105</f>
        <v>0.41218099220553739</v>
      </c>
      <c r="I18" s="513">
        <f>'5-x'!R105</f>
        <v>0.40964921943446364</v>
      </c>
      <c r="J18" s="513">
        <f>'5-x'!S105</f>
        <v>0.40375922840745021</v>
      </c>
      <c r="K18" s="513">
        <f>'5-x'!T105</f>
        <v>0.39550254856567157</v>
      </c>
      <c r="L18" s="513">
        <f>'5-x'!U105</f>
        <v>0.40932953158831331</v>
      </c>
      <c r="M18" s="513">
        <f>'5-x'!V105</f>
        <v>0.41940434400834975</v>
      </c>
      <c r="N18" s="513">
        <f>'5-x'!W105</f>
        <v>0.42842166174604429</v>
      </c>
      <c r="O18" s="513">
        <f>'5-x'!X105</f>
        <v>0.42374105813381252</v>
      </c>
      <c r="P18" s="513">
        <f>'5-x'!Y105</f>
        <v>0.43047565006585176</v>
      </c>
      <c r="Q18" s="513">
        <f>'5-x'!Z105</f>
        <v>0.42759274687991955</v>
      </c>
      <c r="R18" s="513">
        <f>'5-x'!AA105</f>
        <v>0.43331764241954573</v>
      </c>
      <c r="S18" s="513">
        <f>'5-x'!AB105</f>
        <v>0.4356776425944916</v>
      </c>
      <c r="T18" s="513">
        <f>'5-x'!AC105</f>
        <v>0.43362702056282326</v>
      </c>
      <c r="U18" s="513">
        <f>'5-x'!AD105</f>
        <v>0.43853651640302893</v>
      </c>
      <c r="V18" s="694">
        <f>'5-x'!AE105</f>
        <v>0.44897700557215842</v>
      </c>
      <c r="W18" t="s">
        <v>439</v>
      </c>
    </row>
    <row r="19" spans="1:23">
      <c r="A19" s="228" t="s">
        <v>391</v>
      </c>
      <c r="B19" s="513">
        <f>'5-x'!K89</f>
        <v>0.4501565669798841</v>
      </c>
      <c r="C19" s="513">
        <f>'5-x'!L89</f>
        <v>0.45692477807850318</v>
      </c>
      <c r="D19" s="513">
        <f>'5-x'!M89</f>
        <v>0.46054132993506786</v>
      </c>
      <c r="E19" s="513">
        <f>'5-x'!N89</f>
        <v>0.46620226916251101</v>
      </c>
      <c r="F19" s="513">
        <f>'5-x'!O89</f>
        <v>0.46604099865314857</v>
      </c>
      <c r="G19" s="513">
        <f>'5-x'!P89</f>
        <v>0.46959954903184897</v>
      </c>
      <c r="H19" s="513">
        <f>'5-x'!Q89</f>
        <v>0.46975727540218898</v>
      </c>
      <c r="I19" s="513">
        <f>'5-x'!R89</f>
        <v>0.46420783941348526</v>
      </c>
      <c r="J19" s="513">
        <f>'5-x'!S89</f>
        <v>0.47012164052484134</v>
      </c>
      <c r="K19" s="513">
        <f>'5-x'!T89</f>
        <v>0.4609467420230699</v>
      </c>
      <c r="L19" s="513">
        <f>'5-x'!U89</f>
        <v>0.47758312649150308</v>
      </c>
      <c r="M19" s="513">
        <f>'5-x'!V89</f>
        <v>0.49025268281130641</v>
      </c>
      <c r="N19" s="513">
        <f>'5-x'!W89</f>
        <v>0.49843995171338923</v>
      </c>
      <c r="O19" s="513">
        <f>'5-x'!X89</f>
        <v>0.49704525429314655</v>
      </c>
      <c r="P19" s="513">
        <f>'5-x'!Y89</f>
        <v>0.5058564901157655</v>
      </c>
      <c r="Q19" s="513">
        <f>'5-x'!Z89</f>
        <v>0.50735750300621152</v>
      </c>
      <c r="R19" s="513">
        <f>'5-x'!AA89</f>
        <v>0.5082846073307804</v>
      </c>
      <c r="S19" s="513">
        <f>'5-x'!AB89</f>
        <v>0.50624010987379675</v>
      </c>
      <c r="T19" s="513">
        <f>'5-x'!AC89</f>
        <v>0.51219513721535048</v>
      </c>
      <c r="U19" s="513">
        <f>'5-x'!AD89</f>
        <v>0.52726047903985274</v>
      </c>
      <c r="V19" s="694">
        <f>'5-x'!AE89</f>
        <v>0.52726054390305721</v>
      </c>
      <c r="W19" t="s">
        <v>441</v>
      </c>
    </row>
    <row r="20" spans="1:23">
      <c r="A20" s="228" t="s">
        <v>346</v>
      </c>
      <c r="B20" s="513">
        <f>'5-x'!K88</f>
        <v>0.49327388836318448</v>
      </c>
      <c r="C20" s="513">
        <f>'5-x'!L88</f>
        <v>0.50132277882878495</v>
      </c>
      <c r="D20" s="513">
        <f>'5-x'!M88</f>
        <v>0.50362627712685271</v>
      </c>
      <c r="E20" s="513">
        <f>'5-x'!N88</f>
        <v>0.50854786309701294</v>
      </c>
      <c r="F20" s="513">
        <f>'5-x'!O88</f>
        <v>0.50916624557726997</v>
      </c>
      <c r="G20" s="513">
        <f>'5-x'!P88</f>
        <v>0.5175673569267023</v>
      </c>
      <c r="H20" s="513">
        <f>'5-x'!Q88</f>
        <v>0.52032288873299115</v>
      </c>
      <c r="I20" s="513">
        <f>'5-x'!R88</f>
        <v>0.51595198027896105</v>
      </c>
      <c r="J20" s="513">
        <f>'5-x'!S88</f>
        <v>0.527393398397904</v>
      </c>
      <c r="K20" s="513">
        <f>'5-x'!T88</f>
        <v>0.52175149978248692</v>
      </c>
      <c r="L20" s="513">
        <f>'5-x'!U88</f>
        <v>0.53565334698547584</v>
      </c>
      <c r="M20" s="513">
        <f>'5-x'!V88</f>
        <v>0.54778490693048398</v>
      </c>
      <c r="N20" s="513">
        <f>'5-x'!W88</f>
        <v>0.55333698150827981</v>
      </c>
      <c r="O20" s="513">
        <f>'5-x'!X88</f>
        <v>0.55482571373873157</v>
      </c>
      <c r="P20" s="513">
        <f>'5-x'!Y88</f>
        <v>0.56297349414953257</v>
      </c>
      <c r="Q20" s="513">
        <f>'5-x'!Z88</f>
        <v>0.56744063895228924</v>
      </c>
      <c r="R20" s="513">
        <f>'5-x'!AA88</f>
        <v>0.56506681683388105</v>
      </c>
      <c r="S20" s="513">
        <f>'5-x'!AB88</f>
        <v>0.55963193682016843</v>
      </c>
      <c r="T20" s="513">
        <f>'5-x'!AC88</f>
        <v>0.56929051535531749</v>
      </c>
      <c r="U20" s="513">
        <f>'5-x'!AD88</f>
        <v>0.5876779290626386</v>
      </c>
      <c r="V20" s="694">
        <f>'5-x'!AE88</f>
        <v>0.59611105551080579</v>
      </c>
      <c r="W20" t="s">
        <v>440</v>
      </c>
    </row>
    <row r="21" spans="1:23">
      <c r="B21" s="170"/>
      <c r="C21" s="170"/>
      <c r="D21" s="170"/>
      <c r="E21" s="170"/>
      <c r="F21" s="170"/>
      <c r="G21" s="181"/>
      <c r="H21" s="181"/>
      <c r="I21" s="181"/>
      <c r="J21" s="181"/>
      <c r="K21" s="181"/>
      <c r="L21" s="181"/>
      <c r="M21" s="167"/>
      <c r="N21" s="167"/>
      <c r="O21" s="167"/>
    </row>
    <row r="23" spans="1:23">
      <c r="B23" s="170"/>
      <c r="G23" s="181"/>
      <c r="H23" s="181"/>
      <c r="I23" s="181"/>
      <c r="J23" s="181"/>
      <c r="K23" s="181"/>
      <c r="L23" s="181"/>
      <c r="M23" s="167"/>
      <c r="N23" s="197"/>
      <c r="O23" s="197"/>
      <c r="P23" s="197"/>
      <c r="Q23" s="197"/>
      <c r="R23" s="197"/>
      <c r="S23" s="197"/>
      <c r="T23" s="906"/>
      <c r="U23" s="906"/>
    </row>
    <row r="24" spans="1:23">
      <c r="J24" s="226"/>
      <c r="K24" s="226"/>
      <c r="N24" s="197"/>
      <c r="O24" s="197"/>
      <c r="P24" s="197"/>
      <c r="Q24" s="197"/>
      <c r="R24" s="197"/>
      <c r="S24" s="197"/>
      <c r="T24" s="906"/>
    </row>
    <row r="25" spans="1:23">
      <c r="B25" s="169"/>
      <c r="C25" s="169"/>
      <c r="D25" s="169"/>
      <c r="E25" s="169"/>
      <c r="F25" s="169"/>
      <c r="G25" s="169"/>
      <c r="H25" s="169"/>
      <c r="I25" s="169"/>
      <c r="J25" s="226"/>
      <c r="K25" s="226"/>
      <c r="L25" s="169"/>
      <c r="M25" s="169"/>
      <c r="N25" s="197"/>
      <c r="O25" s="197"/>
      <c r="P25" s="197"/>
      <c r="Q25" s="197"/>
      <c r="R25" s="197"/>
      <c r="S25" s="197"/>
      <c r="T25" s="197"/>
    </row>
    <row r="26" spans="1:23">
      <c r="J26" s="226"/>
      <c r="K26" s="226"/>
    </row>
    <row r="27" spans="1:23">
      <c r="K27" s="226"/>
    </row>
    <row r="28" spans="1:23">
      <c r="J28" s="226"/>
      <c r="K28" s="226"/>
    </row>
  </sheetData>
  <sheetProtection algorithmName="SHA-512" hashValue="nSezAICLQEZh8XEP0hHKKLNB/m3oeJT9E1srUMd8z9F82WbvePWmByQaJDoqYNXEgbhI4oaPI1otsX6rWYBRaA==" saltValue="cl3RGzABqvwRIzvrlrKMoA==" spinCount="100000" sheet="1" objects="1" scenarios="1"/>
  <hyperlinks>
    <hyperlink ref="A1" location="Indice!A1" display="Torna indietro" xr:uid="{3AA44FE4-0226-4AAB-8FFE-C6D37E670CA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1"/>
  <dimension ref="A1:X227"/>
  <sheetViews>
    <sheetView zoomScaleNormal="100" workbookViewId="0">
      <pane xSplit="1" ySplit="5" topLeftCell="B6" activePane="bottomRight" state="frozen"/>
      <selection pane="topRight"/>
      <selection pane="bottomLeft"/>
      <selection pane="bottomRight"/>
    </sheetView>
  </sheetViews>
  <sheetFormatPr defaultRowHeight="14.5"/>
  <cols>
    <col min="1" max="1" width="41.1796875" customWidth="1"/>
    <col min="2" max="8" width="10.81640625" customWidth="1"/>
    <col min="10" max="16" width="10.81640625" customWidth="1"/>
    <col min="21" max="21" width="10.36328125" customWidth="1"/>
  </cols>
  <sheetData>
    <row r="1" spans="1:24" ht="15.5">
      <c r="A1" s="108" t="s">
        <v>694</v>
      </c>
    </row>
    <row r="2" spans="1:24" ht="15.5">
      <c r="A2" s="47" t="s">
        <v>432</v>
      </c>
    </row>
    <row r="3" spans="1:24">
      <c r="B3" s="1104" t="s">
        <v>10</v>
      </c>
      <c r="C3" s="1104"/>
      <c r="D3" s="1104"/>
      <c r="E3" s="1104"/>
      <c r="F3" s="1104"/>
      <c r="G3" s="1104"/>
      <c r="H3" s="1104"/>
      <c r="J3" s="1104" t="s">
        <v>10</v>
      </c>
      <c r="K3" s="1104"/>
      <c r="L3" s="1104"/>
      <c r="M3" s="1104"/>
      <c r="N3" s="1104"/>
      <c r="O3" s="1104"/>
      <c r="P3" s="1104"/>
      <c r="R3" s="1104" t="s">
        <v>10</v>
      </c>
      <c r="S3" s="1104"/>
      <c r="T3" s="1104"/>
      <c r="U3" s="1104"/>
      <c r="V3" s="1104"/>
      <c r="W3" s="1104"/>
      <c r="X3" s="1104"/>
    </row>
    <row r="4" spans="1:24" ht="29">
      <c r="B4" s="251" t="s">
        <v>5</v>
      </c>
      <c r="C4" s="251" t="s">
        <v>63</v>
      </c>
      <c r="D4" s="251" t="s">
        <v>7</v>
      </c>
      <c r="E4" s="251" t="s">
        <v>8</v>
      </c>
      <c r="F4" s="251" t="s">
        <v>243</v>
      </c>
      <c r="G4" s="251" t="s">
        <v>244</v>
      </c>
      <c r="H4" s="251" t="s">
        <v>9</v>
      </c>
      <c r="J4" s="251" t="s">
        <v>5</v>
      </c>
      <c r="K4" s="251" t="s">
        <v>63</v>
      </c>
      <c r="L4" s="251" t="s">
        <v>7</v>
      </c>
      <c r="M4" s="251" t="s">
        <v>8</v>
      </c>
      <c r="N4" s="251" t="s">
        <v>243</v>
      </c>
      <c r="O4" s="251" t="s">
        <v>244</v>
      </c>
      <c r="P4" s="251" t="s">
        <v>9</v>
      </c>
      <c r="R4" s="251" t="s">
        <v>5</v>
      </c>
      <c r="S4" s="251" t="s">
        <v>63</v>
      </c>
      <c r="T4" s="251" t="s">
        <v>7</v>
      </c>
      <c r="U4" s="251" t="s">
        <v>8</v>
      </c>
      <c r="V4" s="251" t="s">
        <v>243</v>
      </c>
      <c r="W4" s="251" t="s">
        <v>244</v>
      </c>
      <c r="X4" s="251" t="s">
        <v>9</v>
      </c>
    </row>
    <row r="5" spans="1:24">
      <c r="A5" s="253">
        <v>2024</v>
      </c>
      <c r="B5" s="1106" t="s">
        <v>345</v>
      </c>
      <c r="C5" s="1107"/>
      <c r="D5" s="1107"/>
      <c r="E5" s="1107"/>
      <c r="F5" s="1107"/>
      <c r="G5" s="1107"/>
      <c r="H5" s="1108"/>
      <c r="J5" s="1106" t="s">
        <v>344</v>
      </c>
      <c r="K5" s="1107"/>
      <c r="L5" s="1107"/>
      <c r="M5" s="1107"/>
      <c r="N5" s="1107"/>
      <c r="O5" s="1107"/>
      <c r="P5" s="1108"/>
      <c r="R5" s="1106" t="s">
        <v>431</v>
      </c>
      <c r="S5" s="1107"/>
      <c r="T5" s="1107"/>
      <c r="U5" s="1107"/>
      <c r="V5" s="1107"/>
      <c r="W5" s="1107"/>
      <c r="X5" s="1108"/>
    </row>
    <row r="6" spans="1:24">
      <c r="A6" s="228" t="s">
        <v>262</v>
      </c>
      <c r="B6" s="273">
        <f>'6-x'!AK6</f>
        <v>0.38216560509554137</v>
      </c>
      <c r="C6" s="273">
        <f>'6-x'!AL6</f>
        <v>0.54324191362671548</v>
      </c>
      <c r="D6" s="273">
        <f>'6-x'!AM6</f>
        <v>0.40413111809609342</v>
      </c>
      <c r="E6" s="273">
        <f>'6-x'!AN6</f>
        <v>0.35708893089704197</v>
      </c>
      <c r="F6" s="273">
        <f>'6-x'!AO6</f>
        <v>0.31270525897807944</v>
      </c>
      <c r="G6" s="273">
        <f>'6-x'!AP6</f>
        <v>0.36131386892649936</v>
      </c>
      <c r="H6" s="273">
        <f>'6-x'!AQ6</f>
        <v>0.48101590117624587</v>
      </c>
      <c r="I6" s="56"/>
    </row>
    <row r="7" spans="1:24">
      <c r="A7" s="227" t="s">
        <v>17</v>
      </c>
      <c r="B7" s="232" t="str">
        <f>'6-x'!AK7</f>
        <v/>
      </c>
      <c r="C7" s="232">
        <f>'6-x'!AL7</f>
        <v>0.44020542920029349</v>
      </c>
      <c r="D7" s="232">
        <f>'6-x'!AM7</f>
        <v>0.40413111809609342</v>
      </c>
      <c r="E7" s="232">
        <f>'6-x'!AN7</f>
        <v>0.37566524053010536</v>
      </c>
      <c r="F7" s="232">
        <f>'6-x'!AO7</f>
        <v>0.39344262295081966</v>
      </c>
      <c r="G7" s="232">
        <f>'6-x'!AP7</f>
        <v>0.362282378987622</v>
      </c>
      <c r="H7" s="273">
        <f>'6-x'!AQ7</f>
        <v>0.37994223608511912</v>
      </c>
      <c r="I7" s="56"/>
    </row>
    <row r="8" spans="1:24">
      <c r="A8" s="227" t="s">
        <v>18</v>
      </c>
      <c r="B8" s="232" t="str">
        <f>'6-x'!AK8</f>
        <v/>
      </c>
      <c r="C8" s="232">
        <f>'6-x'!AL8</f>
        <v>0.3462537270366452</v>
      </c>
      <c r="D8" s="232" t="str">
        <f>'6-x'!AM8</f>
        <v/>
      </c>
      <c r="E8" s="232">
        <f>'6-x'!AN8</f>
        <v>0.26098303610265333</v>
      </c>
      <c r="F8" s="232">
        <f>'6-x'!AO8</f>
        <v>0.26658767772511854</v>
      </c>
      <c r="G8" s="232">
        <f>'6-x'!AP8</f>
        <v>0.30158331239004776</v>
      </c>
      <c r="H8" s="273">
        <f>'6-x'!AQ8</f>
        <v>0.34033078435648795</v>
      </c>
      <c r="I8" s="56"/>
    </row>
    <row r="9" spans="1:24">
      <c r="A9" s="227" t="s">
        <v>19</v>
      </c>
      <c r="B9" s="232">
        <f>'6-x'!AK9</f>
        <v>0.38216560509554137</v>
      </c>
      <c r="C9" s="232">
        <f>'6-x'!AL9</f>
        <v>0.5198555956678701</v>
      </c>
      <c r="D9" s="232" t="str">
        <f>'6-x'!AM9</f>
        <v/>
      </c>
      <c r="E9" s="232">
        <f>'6-x'!AN9</f>
        <v>0.352112676056338</v>
      </c>
      <c r="F9" s="232">
        <f>'6-x'!AO9</f>
        <v>0.26741940276333387</v>
      </c>
      <c r="G9" s="232">
        <f>'6-x'!AP9</f>
        <v>0.39991113085980889</v>
      </c>
      <c r="H9" s="273">
        <f>'6-x'!AQ9</f>
        <v>0.32704840470001778</v>
      </c>
      <c r="I9" s="56"/>
    </row>
    <row r="10" spans="1:24">
      <c r="A10" s="227" t="s">
        <v>20</v>
      </c>
      <c r="B10" s="232" t="str">
        <f>'6-x'!AK10</f>
        <v/>
      </c>
      <c r="C10" s="232">
        <f>'6-x'!AL10</f>
        <v>0.54819552306989494</v>
      </c>
      <c r="D10" s="232" t="str">
        <f>'6-x'!AM10</f>
        <v/>
      </c>
      <c r="E10" s="232">
        <f>'6-x'!AN10</f>
        <v>0.4357298474945534</v>
      </c>
      <c r="F10" s="232">
        <f>'6-x'!AO10</f>
        <v>0.47126587249640006</v>
      </c>
      <c r="G10" s="232">
        <f>'6-x'!AP10</f>
        <v>0.39991113085980889</v>
      </c>
      <c r="H10" s="273">
        <f>'6-x'!AQ10</f>
        <v>0.54523379025081353</v>
      </c>
      <c r="I10" s="56"/>
    </row>
    <row r="11" spans="1:24">
      <c r="A11" s="227" t="s">
        <v>350</v>
      </c>
      <c r="B11" s="232" t="str">
        <f>'6-x'!AK11</f>
        <v/>
      </c>
      <c r="C11" s="232">
        <f>'6-x'!AL11</f>
        <v>0.57581573896353178</v>
      </c>
      <c r="D11" s="232" t="str">
        <f>'6-x'!AM11</f>
        <v/>
      </c>
      <c r="E11" s="232" t="str">
        <f>'6-x'!AN11</f>
        <v/>
      </c>
      <c r="F11" s="232" t="str">
        <f>'6-x'!AO11</f>
        <v/>
      </c>
      <c r="G11" s="232" t="str">
        <f>'6-x'!AP11</f>
        <v/>
      </c>
      <c r="H11" s="273">
        <f>'6-x'!AQ11</f>
        <v>0.57581573896353178</v>
      </c>
      <c r="I11" s="56"/>
    </row>
    <row r="12" spans="1:24">
      <c r="A12" s="227" t="s">
        <v>691</v>
      </c>
      <c r="B12" s="232" t="str">
        <f>'6-x'!AK12</f>
        <v/>
      </c>
      <c r="C12" s="232" t="str">
        <f>'6-x'!AL12</f>
        <v/>
      </c>
      <c r="D12" s="232" t="str">
        <f>'6-x'!AM12</f>
        <v/>
      </c>
      <c r="E12" s="232" t="str">
        <f>'6-x'!AN12</f>
        <v/>
      </c>
      <c r="F12" s="232" t="str">
        <f>'6-x'!AO12</f>
        <v/>
      </c>
      <c r="G12" s="232" t="str">
        <f>'6-x'!AP12</f>
        <v/>
      </c>
      <c r="H12" s="273" t="str">
        <f>'6-x'!AQ12</f>
        <v/>
      </c>
      <c r="I12" s="56"/>
    </row>
    <row r="13" spans="1:24">
      <c r="A13" s="228" t="s">
        <v>263</v>
      </c>
      <c r="B13" s="273" t="str">
        <f>'6-x'!AK13</f>
        <v/>
      </c>
      <c r="C13" s="273">
        <f>'6-x'!AL13</f>
        <v>0.59636396941444381</v>
      </c>
      <c r="D13" s="273">
        <f>'6-x'!AM13</f>
        <v>0.40811613604396202</v>
      </c>
      <c r="E13" s="273">
        <f>'6-x'!AN13</f>
        <v>0.60613461116299949</v>
      </c>
      <c r="F13" s="273">
        <f>'6-x'!AO13</f>
        <v>0.43112574304075407</v>
      </c>
      <c r="G13" s="273">
        <f>'6-x'!AP13</f>
        <v>0.48338818423910734</v>
      </c>
      <c r="H13" s="273">
        <f>'6-x'!AQ13</f>
        <v>0.5588869657992428</v>
      </c>
      <c r="I13" s="56"/>
      <c r="J13" s="273" t="str">
        <f>'6-x'!AK29</f>
        <v/>
      </c>
      <c r="K13" s="273">
        <f>'6-x'!AL29</f>
        <v>0.6686458258721929</v>
      </c>
      <c r="L13" s="273">
        <f>'6-x'!AM29</f>
        <v>0.4959215449590737</v>
      </c>
      <c r="M13" s="273">
        <f>'6-x'!AN29</f>
        <v>0.80127421653481168</v>
      </c>
      <c r="N13" s="273">
        <f>'6-x'!AO29</f>
        <v>0.54758901988061814</v>
      </c>
      <c r="O13" s="273">
        <f>'6-x'!AP29</f>
        <v>0.57665714530789514</v>
      </c>
      <c r="P13" s="273">
        <f>'6-x'!AQ29</f>
        <v>0.64513032997326691</v>
      </c>
      <c r="R13" s="273" t="str">
        <f>'6-x'!AA65</f>
        <v/>
      </c>
      <c r="S13" s="273">
        <f>'6-x'!AB65</f>
        <v>0.91049910844470028</v>
      </c>
      <c r="T13" s="273">
        <f>'6-x'!AC65</f>
        <v>0.99949251459020538</v>
      </c>
      <c r="U13" s="273">
        <f>'6-x'!AD65</f>
        <v>0.84881577365447025</v>
      </c>
      <c r="V13" s="273">
        <f>'6-x'!AE65</f>
        <v>0.76979167840283025</v>
      </c>
      <c r="W13" s="273">
        <f>'6-x'!AF65</f>
        <v>0.45966641142590792</v>
      </c>
      <c r="X13" s="273">
        <f>'6-x'!AG65</f>
        <v>0.85489650766791048</v>
      </c>
    </row>
    <row r="14" spans="1:24">
      <c r="A14" s="227" t="s">
        <v>24</v>
      </c>
      <c r="B14" s="232" t="str">
        <f>'6-x'!AK14</f>
        <v/>
      </c>
      <c r="C14" s="232">
        <f>'6-x'!AL14</f>
        <v>0.63514467184191947</v>
      </c>
      <c r="D14" s="232">
        <f>'6-x'!AM14</f>
        <v>0.47739026654289879</v>
      </c>
      <c r="E14" s="232">
        <f>'6-x'!AN14</f>
        <v>0.51428571428571423</v>
      </c>
      <c r="F14" s="232">
        <f>'6-x'!AO14</f>
        <v>0.46248715313463518</v>
      </c>
      <c r="G14" s="232">
        <f>'6-x'!AP14</f>
        <v>0.48276786911626668</v>
      </c>
      <c r="H14" s="273">
        <f>'6-x'!AQ14</f>
        <v>0.57043989869400913</v>
      </c>
      <c r="I14" s="56"/>
      <c r="J14" s="232" t="str">
        <f>'6-x'!AK30</f>
        <v/>
      </c>
      <c r="K14" s="232">
        <f>'6-x'!AL30</f>
        <v>0.72439935920606302</v>
      </c>
      <c r="L14" s="232">
        <f>'6-x'!AM30</f>
        <v>0.56322566343567648</v>
      </c>
      <c r="M14" s="232">
        <f>'6-x'!AN30</f>
        <v>0.6631230621474401</v>
      </c>
      <c r="N14" s="232">
        <f>'6-x'!AO30</f>
        <v>0.603000037136046</v>
      </c>
      <c r="O14" s="232">
        <f>'6-x'!AP30</f>
        <v>0.57679425353051506</v>
      </c>
      <c r="P14" s="273">
        <f>'6-x'!AQ30</f>
        <v>0.6704004258238605</v>
      </c>
      <c r="R14" s="232" t="str">
        <f>'6-x'!AA66</f>
        <v/>
      </c>
      <c r="S14" s="232">
        <f>'6-x'!AB66</f>
        <v>0.94017609702721217</v>
      </c>
      <c r="T14" s="232">
        <f>'6-x'!AC66</f>
        <v>0.99703703703703694</v>
      </c>
      <c r="U14" s="232">
        <f>'6-x'!AD66</f>
        <v>0.64638783269961975</v>
      </c>
      <c r="V14" s="232">
        <f>'6-x'!AE66</f>
        <v>0.61802169007933616</v>
      </c>
      <c r="W14" s="232">
        <f>'6-x'!AF66</f>
        <v>0.45647358883146516</v>
      </c>
      <c r="X14" s="273">
        <f>'6-x'!AG66</f>
        <v>0.80747494060255021</v>
      </c>
    </row>
    <row r="15" spans="1:24">
      <c r="A15" s="227" t="s">
        <v>25</v>
      </c>
      <c r="B15" s="232" t="str">
        <f>'6-x'!AK15</f>
        <v/>
      </c>
      <c r="C15" s="232">
        <f>'6-x'!AL15</f>
        <v>0.68584492284244625</v>
      </c>
      <c r="D15" s="232" t="str">
        <f>'6-x'!AM15</f>
        <v/>
      </c>
      <c r="E15" s="232">
        <f>'6-x'!AN15</f>
        <v>0.71656050955414008</v>
      </c>
      <c r="F15" s="232">
        <f>'6-x'!AO15</f>
        <v>0.34429992348890592</v>
      </c>
      <c r="G15" s="232">
        <f>'6-x'!AP15</f>
        <v>0.4663816556548776</v>
      </c>
      <c r="H15" s="273">
        <f>'6-x'!AQ15</f>
        <v>0.68469442269690894</v>
      </c>
      <c r="I15" s="56"/>
      <c r="J15" s="232" t="str">
        <f>'6-x'!AK31</f>
        <v/>
      </c>
      <c r="K15" s="232">
        <f>'6-x'!AL31</f>
        <v>0.79859821970454314</v>
      </c>
      <c r="L15" s="232" t="str">
        <f>'6-x'!AM31</f>
        <v/>
      </c>
      <c r="M15" s="232">
        <f>'6-x'!AN31</f>
        <v>0.8318923647305031</v>
      </c>
      <c r="N15" s="232">
        <f>'6-x'!AO31</f>
        <v>0.67316130527967666</v>
      </c>
      <c r="O15" s="232">
        <f>'6-x'!AP31</f>
        <v>0.5803955288412439</v>
      </c>
      <c r="P15" s="273">
        <f>'6-x'!AQ31</f>
        <v>0.79924574589134267</v>
      </c>
      <c r="R15" s="232" t="str">
        <f>'6-x'!AA67</f>
        <v/>
      </c>
      <c r="S15" s="232">
        <f>'6-x'!AB67</f>
        <v>0.98105140659785461</v>
      </c>
      <c r="T15" s="232" t="str">
        <f>'6-x'!AC67</f>
        <v/>
      </c>
      <c r="U15" s="232">
        <f>'6-x'!AD67</f>
        <v>0.62390941154631518</v>
      </c>
      <c r="V15" s="232">
        <f>'6-x'!AE67</f>
        <v>0.66059602649006621</v>
      </c>
      <c r="W15" s="232">
        <f>'6-x'!AF67</f>
        <v>0.69354838709677413</v>
      </c>
      <c r="X15" s="273">
        <f>'6-x'!AG67</f>
        <v>0.95596235415760955</v>
      </c>
    </row>
    <row r="16" spans="1:24">
      <c r="A16" s="227" t="s">
        <v>26</v>
      </c>
      <c r="B16" s="232" t="str">
        <f>'6-x'!AK16</f>
        <v/>
      </c>
      <c r="C16" s="232">
        <f>'6-x'!AL16</f>
        <v>0.58527068769305812</v>
      </c>
      <c r="D16" s="232">
        <f>'6-x'!AM16</f>
        <v>0.43562439496611816</v>
      </c>
      <c r="E16" s="232">
        <f>'6-x'!AN16</f>
        <v>0.58679706601467008</v>
      </c>
      <c r="F16" s="232">
        <f>'6-x'!AO16</f>
        <v>0.60230885059394346</v>
      </c>
      <c r="G16" s="232">
        <f>'6-x'!AP16</f>
        <v>0.64423765211166795</v>
      </c>
      <c r="H16" s="273">
        <f>'6-x'!AQ16</f>
        <v>0.58620957659166417</v>
      </c>
      <c r="I16" s="56"/>
      <c r="J16" s="232" t="str">
        <f>'6-x'!AK32</f>
        <v/>
      </c>
      <c r="K16" s="232">
        <f>'6-x'!AL32</f>
        <v>0.63465609982045179</v>
      </c>
      <c r="L16" s="232">
        <f>'6-x'!AM32</f>
        <v>0.54698059635147578</v>
      </c>
      <c r="M16" s="232">
        <f>'6-x'!AN32</f>
        <v>0.77716780219193782</v>
      </c>
      <c r="N16" s="232">
        <f>'6-x'!AO32</f>
        <v>0.6431404290985816</v>
      </c>
      <c r="O16" s="232">
        <f>'6-x'!AP32</f>
        <v>0.56482535849356508</v>
      </c>
      <c r="P16" s="273">
        <f>'6-x'!AQ32</f>
        <v>0.64080638412628366</v>
      </c>
      <c r="R16" s="232" t="str">
        <f>'6-x'!AA68</f>
        <v/>
      </c>
      <c r="S16" s="232">
        <f>'6-x'!AB68</f>
        <v>0.84869641893581449</v>
      </c>
      <c r="T16" s="232">
        <f>'6-x'!AC68</f>
        <v>1</v>
      </c>
      <c r="U16" s="232">
        <f>'6-x'!AD68</f>
        <v>0.87546543778801833</v>
      </c>
      <c r="V16" s="232">
        <f>'6-x'!AE68</f>
        <v>0.95031507513330105</v>
      </c>
      <c r="W16" s="232">
        <f>'6-x'!AF68</f>
        <v>0.92638036809815949</v>
      </c>
      <c r="X16" s="273">
        <f>'6-x'!AG68</f>
        <v>0.86382200669760401</v>
      </c>
    </row>
    <row r="17" spans="1:24">
      <c r="A17" s="227" t="s">
        <v>27</v>
      </c>
      <c r="B17" s="232" t="str">
        <f>'6-x'!AK17</f>
        <v/>
      </c>
      <c r="C17" s="232">
        <f>'6-x'!AL17</f>
        <v>0.75156576200417535</v>
      </c>
      <c r="D17" s="232" t="str">
        <f>'6-x'!AM17</f>
        <v/>
      </c>
      <c r="E17" s="232">
        <f>'6-x'!AN17</f>
        <v>0.73544433094994899</v>
      </c>
      <c r="F17" s="232">
        <f>'6-x'!AO17</f>
        <v>0.59220266491199225</v>
      </c>
      <c r="G17" s="232" t="str">
        <f>'6-x'!AP17</f>
        <v/>
      </c>
      <c r="H17" s="273">
        <f>'6-x'!AQ17</f>
        <v>0.64818682718001275</v>
      </c>
      <c r="I17" s="56"/>
      <c r="J17" s="232" t="str">
        <f>'6-x'!AK33</f>
        <v/>
      </c>
      <c r="K17" s="232">
        <f>'6-x'!AL33</f>
        <v>0.87093059477487178</v>
      </c>
      <c r="L17" s="232" t="str">
        <f>'6-x'!AM33</f>
        <v/>
      </c>
      <c r="M17" s="232">
        <f>'6-x'!AN33</f>
        <v>0.87264381076192044</v>
      </c>
      <c r="N17" s="232">
        <f>'6-x'!AO33</f>
        <v>0.77900096153728426</v>
      </c>
      <c r="O17" s="232" t="str">
        <f>'6-x'!AP33</f>
        <v/>
      </c>
      <c r="P17" s="273">
        <f>'6-x'!AQ33</f>
        <v>0.82560683512450239</v>
      </c>
      <c r="R17" s="232" t="str">
        <f>'6-x'!AA69</f>
        <v/>
      </c>
      <c r="S17" s="232">
        <f>'6-x'!AB69</f>
        <v>0.98405693642243708</v>
      </c>
      <c r="T17" s="232" t="str">
        <f>'6-x'!AC69</f>
        <v/>
      </c>
      <c r="U17" s="232">
        <f>'6-x'!AD69</f>
        <v>0.98302845528455285</v>
      </c>
      <c r="V17" s="232">
        <f>'6-x'!AE69</f>
        <v>0.77635501355013559</v>
      </c>
      <c r="W17" s="232" t="str">
        <f>'6-x'!AF69</f>
        <v/>
      </c>
      <c r="X17" s="273">
        <f>'6-x'!AG69</f>
        <v>0.89317898444101707</v>
      </c>
    </row>
    <row r="18" spans="1:24">
      <c r="A18" s="227" t="s">
        <v>28</v>
      </c>
      <c r="B18" s="232" t="str">
        <f>'6-x'!AK18</f>
        <v/>
      </c>
      <c r="C18" s="232">
        <f>'6-x'!AL18</f>
        <v>0.394261307633337</v>
      </c>
      <c r="D18" s="232">
        <f>'6-x'!AM18</f>
        <v>0.38079119949227835</v>
      </c>
      <c r="E18" s="232">
        <f>'6-x'!AN18</f>
        <v>0.50897780291248407</v>
      </c>
      <c r="F18" s="232">
        <f>'6-x'!AO18</f>
        <v>0.29339853300733498</v>
      </c>
      <c r="G18" s="232">
        <f>'6-x'!AP18</f>
        <v>0.32765996177300449</v>
      </c>
      <c r="H18" s="273">
        <f>'6-x'!AQ18</f>
        <v>0.31858253405534237</v>
      </c>
      <c r="I18" s="56"/>
      <c r="J18" s="232" t="str">
        <f>'6-x'!AK34</f>
        <v/>
      </c>
      <c r="K18" s="232">
        <f>'6-x'!AL34</f>
        <v>0.49465315750460576</v>
      </c>
      <c r="L18" s="232">
        <f>'6-x'!AM34</f>
        <v>0.45611950881576568</v>
      </c>
      <c r="M18" s="232">
        <f>'6-x'!AN34</f>
        <v>0.80971767634624903</v>
      </c>
      <c r="N18" s="232">
        <f>'6-x'!AO34</f>
        <v>0.43508278982168525</v>
      </c>
      <c r="O18" s="232">
        <f>'6-x'!AP34</f>
        <v>0.42132416168380621</v>
      </c>
      <c r="P18" s="273">
        <f>'6-x'!AQ34</f>
        <v>0.4614954042200235</v>
      </c>
      <c r="R18" s="232" t="str">
        <f>'6-x'!AA70</f>
        <v/>
      </c>
      <c r="S18" s="232">
        <f>'6-x'!AB70</f>
        <v>0.94636923076923074</v>
      </c>
      <c r="T18" s="232">
        <f>'6-x'!AC70</f>
        <v>1</v>
      </c>
      <c r="U18" s="232">
        <f>'6-x'!AD70</f>
        <v>0.74201069812097109</v>
      </c>
      <c r="V18" s="232">
        <f>'6-x'!AE70</f>
        <v>0.72699876998769986</v>
      </c>
      <c r="W18" s="232">
        <f>'6-x'!AF70</f>
        <v>0.78571428571428581</v>
      </c>
      <c r="X18" s="273">
        <f>'6-x'!AG70</f>
        <v>0.76447644983824703</v>
      </c>
    </row>
    <row r="19" spans="1:24">
      <c r="A19" s="227" t="s">
        <v>353</v>
      </c>
      <c r="B19" s="232" t="str">
        <f>'6-x'!AK19</f>
        <v/>
      </c>
      <c r="C19" s="232">
        <f>'6-x'!AL19</f>
        <v>0.84309133489461385</v>
      </c>
      <c r="D19" s="232" t="str">
        <f>'6-x'!AM19</f>
        <v/>
      </c>
      <c r="E19" s="232" t="str">
        <f>'6-x'!AN19</f>
        <v/>
      </c>
      <c r="F19" s="232" t="str">
        <f>'6-x'!AO19</f>
        <v/>
      </c>
      <c r="G19" s="232" t="str">
        <f>'6-x'!AP19</f>
        <v/>
      </c>
      <c r="H19" s="273">
        <f>'6-x'!AQ19</f>
        <v>0.84309133489461385</v>
      </c>
      <c r="I19" s="56"/>
      <c r="J19" s="232" t="str">
        <f>'6-x'!AK35</f>
        <v/>
      </c>
      <c r="K19" s="232">
        <f>'6-x'!AL35</f>
        <v>0.81685296650834038</v>
      </c>
      <c r="L19" s="232" t="str">
        <f>'6-x'!AM35</f>
        <v/>
      </c>
      <c r="M19" s="232" t="str">
        <f>'6-x'!AN35</f>
        <v/>
      </c>
      <c r="N19" s="232" t="str">
        <f>'6-x'!AO35</f>
        <v/>
      </c>
      <c r="O19" s="232" t="str">
        <f>'6-x'!AP35</f>
        <v/>
      </c>
      <c r="P19" s="273">
        <f>'6-x'!AQ35</f>
        <v>0.81685296650834038</v>
      </c>
      <c r="R19" s="232" t="str">
        <f>'6-x'!AA71</f>
        <v/>
      </c>
      <c r="S19" s="232">
        <f>'6-x'!AB71</f>
        <v>0.83333333333333337</v>
      </c>
      <c r="T19" s="232" t="str">
        <f>'6-x'!AC71</f>
        <v/>
      </c>
      <c r="U19" s="232" t="str">
        <f>'6-x'!AD71</f>
        <v/>
      </c>
      <c r="V19" s="232" t="str">
        <f>'6-x'!AE71</f>
        <v/>
      </c>
      <c r="W19" s="232">
        <f>'6-x'!AF71</f>
        <v>0</v>
      </c>
      <c r="X19" s="273">
        <f>'6-x'!AG71</f>
        <v>0.83333333333333337</v>
      </c>
    </row>
    <row r="20" spans="1:24">
      <c r="A20" s="322" t="s">
        <v>9</v>
      </c>
      <c r="B20" s="323">
        <f>'6-x'!AK20</f>
        <v>0.38216560509554137</v>
      </c>
      <c r="C20" s="323">
        <f>'6-x'!AL20</f>
        <v>0.57406347526252166</v>
      </c>
      <c r="D20" s="323">
        <f>'6-x'!AM20</f>
        <v>0.40803491979977591</v>
      </c>
      <c r="E20" s="323">
        <f>'6-x'!AN20</f>
        <v>0.49896815482811885</v>
      </c>
      <c r="F20" s="323">
        <f>'6-x'!AO20</f>
        <v>0.38043331922194151</v>
      </c>
      <c r="G20" s="323">
        <f>'6-x'!AP20</f>
        <v>0.44259515554870515</v>
      </c>
      <c r="H20" s="323">
        <f>'6-x'!AQ20</f>
        <v>0.52726026098396583</v>
      </c>
      <c r="I20" s="56"/>
      <c r="J20" s="323">
        <f>'6-x'!AK36</f>
        <v>0.38216560509554143</v>
      </c>
      <c r="K20" s="323">
        <f>'6-x'!AL36</f>
        <v>0.62428801426661673</v>
      </c>
      <c r="L20" s="323">
        <f>'6-x'!AM36</f>
        <v>0.49437923044353987</v>
      </c>
      <c r="M20" s="323">
        <f>'6-x'!AN36</f>
        <v>0.70986923340250818</v>
      </c>
      <c r="N20" s="323">
        <f>'6-x'!AO36</f>
        <v>0.46515858206179805</v>
      </c>
      <c r="O20" s="323">
        <f>'6-x'!AP36</f>
        <v>0.51663377393122401</v>
      </c>
      <c r="P20" s="323">
        <f>'6-x'!AQ36</f>
        <v>0.58767757468457349</v>
      </c>
    </row>
    <row r="21" spans="1:24" ht="15.5">
      <c r="A21" s="47"/>
    </row>
    <row r="22" spans="1:24" ht="15.5">
      <c r="A22" s="47"/>
    </row>
    <row r="23" spans="1:24">
      <c r="B23" s="1104" t="s">
        <v>10</v>
      </c>
      <c r="C23" s="1104"/>
      <c r="D23" s="1104"/>
      <c r="E23" s="1104"/>
      <c r="F23" s="1104"/>
      <c r="G23" s="1104"/>
      <c r="H23" s="1104"/>
      <c r="J23" s="1104" t="s">
        <v>10</v>
      </c>
      <c r="K23" s="1104"/>
      <c r="L23" s="1104"/>
      <c r="M23" s="1104"/>
      <c r="N23" s="1104"/>
      <c r="O23" s="1104"/>
      <c r="P23" s="1104"/>
      <c r="R23" s="1104" t="s">
        <v>10</v>
      </c>
      <c r="S23" s="1104"/>
      <c r="T23" s="1104"/>
      <c r="U23" s="1104"/>
      <c r="V23" s="1104"/>
      <c r="W23" s="1104"/>
      <c r="X23" s="1104"/>
    </row>
    <row r="24" spans="1:24" ht="29">
      <c r="B24" s="251" t="s">
        <v>5</v>
      </c>
      <c r="C24" s="251" t="s">
        <v>63</v>
      </c>
      <c r="D24" s="251" t="s">
        <v>7</v>
      </c>
      <c r="E24" s="251" t="s">
        <v>8</v>
      </c>
      <c r="F24" s="251" t="s">
        <v>243</v>
      </c>
      <c r="G24" s="251" t="s">
        <v>244</v>
      </c>
      <c r="H24" s="251" t="s">
        <v>9</v>
      </c>
      <c r="J24" s="251" t="s">
        <v>5</v>
      </c>
      <c r="K24" s="251" t="s">
        <v>63</v>
      </c>
      <c r="L24" s="251" t="s">
        <v>7</v>
      </c>
      <c r="M24" s="251" t="s">
        <v>8</v>
      </c>
      <c r="N24" s="251" t="s">
        <v>243</v>
      </c>
      <c r="O24" s="251" t="s">
        <v>244</v>
      </c>
      <c r="P24" s="251" t="s">
        <v>9</v>
      </c>
      <c r="R24" s="251" t="s">
        <v>5</v>
      </c>
      <c r="S24" s="251" t="s">
        <v>63</v>
      </c>
      <c r="T24" s="251" t="s">
        <v>7</v>
      </c>
      <c r="U24" s="251" t="s">
        <v>8</v>
      </c>
      <c r="V24" s="251" t="s">
        <v>243</v>
      </c>
      <c r="W24" s="251" t="s">
        <v>244</v>
      </c>
      <c r="X24" s="251" t="s">
        <v>9</v>
      </c>
    </row>
    <row r="25" spans="1:24">
      <c r="A25" s="253">
        <v>2023</v>
      </c>
      <c r="B25" s="1106" t="s">
        <v>345</v>
      </c>
      <c r="C25" s="1107"/>
      <c r="D25" s="1107"/>
      <c r="E25" s="1107"/>
      <c r="F25" s="1107"/>
      <c r="G25" s="1107"/>
      <c r="H25" s="1108"/>
      <c r="J25" s="1106" t="s">
        <v>344</v>
      </c>
      <c r="K25" s="1107"/>
      <c r="L25" s="1107"/>
      <c r="M25" s="1107"/>
      <c r="N25" s="1107"/>
      <c r="O25" s="1107"/>
      <c r="P25" s="1108"/>
      <c r="R25" s="1106" t="s">
        <v>431</v>
      </c>
      <c r="S25" s="1107"/>
      <c r="T25" s="1107"/>
      <c r="U25" s="1107"/>
      <c r="V25" s="1107"/>
      <c r="W25" s="1107"/>
      <c r="X25" s="1108"/>
    </row>
    <row r="26" spans="1:24">
      <c r="A26" s="228" t="s">
        <v>262</v>
      </c>
      <c r="B26" s="273">
        <f>'6-x'!AK100</f>
        <v>0.36659877800407331</v>
      </c>
      <c r="C26" s="273">
        <f>'6-x'!AL100</f>
        <v>0.53998726931728791</v>
      </c>
      <c r="D26" s="273">
        <f>'6-x'!AM100</f>
        <v>0.38216560509554137</v>
      </c>
      <c r="E26" s="273">
        <f>'6-x'!AN100</f>
        <v>0.36510154266233308</v>
      </c>
      <c r="F26" s="273">
        <f>'6-x'!AO100</f>
        <v>0.30406811242861764</v>
      </c>
      <c r="G26" s="273">
        <f>'6-x'!AP100</f>
        <v>0.36332984674190505</v>
      </c>
      <c r="H26" s="273">
        <f>'6-x'!AQ100</f>
        <v>0.45373296413937336</v>
      </c>
      <c r="I26" s="56"/>
    </row>
    <row r="27" spans="1:24">
      <c r="A27" s="227" t="s">
        <v>17</v>
      </c>
      <c r="B27" s="232" t="str">
        <f>'6-x'!AK101</f>
        <v/>
      </c>
      <c r="C27" s="232">
        <f>'6-x'!AL101</f>
        <v>0.41532071988924785</v>
      </c>
      <c r="D27" s="232">
        <f>'6-x'!AM101</f>
        <v>0.38216560509554137</v>
      </c>
      <c r="E27" s="232">
        <f>'6-x'!AN101</f>
        <v>0.37554767369079911</v>
      </c>
      <c r="F27" s="232">
        <f>'6-x'!AO101</f>
        <v>0.40196516301920504</v>
      </c>
      <c r="G27" s="232">
        <f>'6-x'!AP101</f>
        <v>0.36411449377971072</v>
      </c>
      <c r="H27" s="273">
        <f>'6-x'!AQ101</f>
        <v>0.37737862437752673</v>
      </c>
      <c r="I27" s="56"/>
    </row>
    <row r="28" spans="1:24">
      <c r="A28" s="227" t="s">
        <v>18</v>
      </c>
      <c r="B28" s="232" t="str">
        <f>'6-x'!AK102</f>
        <v/>
      </c>
      <c r="C28" s="232">
        <f>'6-x'!AL102</f>
        <v>0.33812341504649196</v>
      </c>
      <c r="D28" s="232" t="str">
        <f>'6-x'!AM102</f>
        <v/>
      </c>
      <c r="E28" s="232">
        <f>'6-x'!AN102</f>
        <v>0.25403994072401381</v>
      </c>
      <c r="F28" s="232">
        <f>'6-x'!AO102</f>
        <v>0.27096191479753129</v>
      </c>
      <c r="G28" s="232">
        <f>'6-x'!AP102</f>
        <v>0.31171530002597631</v>
      </c>
      <c r="H28" s="273">
        <f>'6-x'!AQ102</f>
        <v>0.33089717271731262</v>
      </c>
      <c r="I28" s="56"/>
    </row>
    <row r="29" spans="1:24">
      <c r="A29" s="227" t="s">
        <v>19</v>
      </c>
      <c r="B29" s="232">
        <f>'6-x'!AK103</f>
        <v>0.36659877800407331</v>
      </c>
      <c r="C29" s="232">
        <f>'6-x'!AL103</f>
        <v>0.4784688995215311</v>
      </c>
      <c r="D29" s="232" t="str">
        <f>'6-x'!AM103</f>
        <v/>
      </c>
      <c r="E29" s="232">
        <f>'6-x'!AN103</f>
        <v>0.36422501011736141</v>
      </c>
      <c r="F29" s="232">
        <f>'6-x'!AO103</f>
        <v>0.25684931506849312</v>
      </c>
      <c r="G29" s="232">
        <f>'6-x'!AP103</f>
        <v>0.39991113085980889</v>
      </c>
      <c r="H29" s="273">
        <f>'6-x'!AQ103</f>
        <v>0.3425489336871626</v>
      </c>
      <c r="I29" s="56"/>
    </row>
    <row r="30" spans="1:24">
      <c r="A30" s="227" t="s">
        <v>20</v>
      </c>
      <c r="B30" s="232" t="str">
        <f>'6-x'!AK104</f>
        <v/>
      </c>
      <c r="C30" s="232">
        <f>'6-x'!AL104</f>
        <v>0.54462934947049912</v>
      </c>
      <c r="D30" s="232" t="str">
        <f>'6-x'!AM104</f>
        <v/>
      </c>
      <c r="E30" s="232">
        <f>'6-x'!AN104</f>
        <v>0.4250797024442084</v>
      </c>
      <c r="F30" s="232">
        <f>'6-x'!AO104</f>
        <v>0.46065259117082535</v>
      </c>
      <c r="G30" s="232">
        <f>'6-x'!AP104</f>
        <v>0.39991113085980889</v>
      </c>
      <c r="H30" s="273">
        <f>'6-x'!AQ104</f>
        <v>0.54117111456002354</v>
      </c>
      <c r="I30" s="56"/>
    </row>
    <row r="31" spans="1:24">
      <c r="A31" s="227" t="s">
        <v>22</v>
      </c>
      <c r="B31" s="232" t="str">
        <f>'6-x'!AK105</f>
        <v/>
      </c>
      <c r="C31" s="232" t="str">
        <f>'6-x'!AL105</f>
        <v/>
      </c>
      <c r="D31" s="232" t="str">
        <f>'6-x'!AM105</f>
        <v/>
      </c>
      <c r="E31" s="232" t="str">
        <f>'6-x'!AN105</f>
        <v/>
      </c>
      <c r="F31" s="232" t="str">
        <f>'6-x'!AO105</f>
        <v/>
      </c>
      <c r="G31" s="232" t="str">
        <f>'6-x'!AP105</f>
        <v/>
      </c>
      <c r="H31" s="273" t="str">
        <f>'6-x'!AQ105</f>
        <v/>
      </c>
      <c r="I31" s="56"/>
    </row>
    <row r="32" spans="1:24">
      <c r="A32" s="227" t="s">
        <v>350</v>
      </c>
      <c r="B32" s="232" t="str">
        <f>'6-x'!AK106</f>
        <v/>
      </c>
      <c r="C32" s="232" t="str">
        <f>'6-x'!AL106</f>
        <v/>
      </c>
      <c r="D32" s="232" t="str">
        <f>'6-x'!AM106</f>
        <v/>
      </c>
      <c r="E32" s="232" t="str">
        <f>'6-x'!AN106</f>
        <v/>
      </c>
      <c r="F32" s="232" t="str">
        <f>'6-x'!AO106</f>
        <v/>
      </c>
      <c r="G32" s="232" t="str">
        <f>'6-x'!AP106</f>
        <v/>
      </c>
      <c r="H32" s="273" t="str">
        <f>'6-x'!AQ106</f>
        <v/>
      </c>
      <c r="I32" s="56"/>
    </row>
    <row r="33" spans="1:24">
      <c r="A33" s="228" t="s">
        <v>263</v>
      </c>
      <c r="B33" s="273" t="str">
        <f>'6-x'!AK107</f>
        <v/>
      </c>
      <c r="C33" s="273">
        <f>'6-x'!AL107</f>
        <v>0.59379933531538109</v>
      </c>
      <c r="D33" s="273">
        <f>'6-x'!AM107</f>
        <v>0.4293597153340844</v>
      </c>
      <c r="E33" s="273">
        <f>'6-x'!AN107</f>
        <v>0.56275242092310795</v>
      </c>
      <c r="F33" s="273">
        <f>'6-x'!AO107</f>
        <v>0.43134251018938913</v>
      </c>
      <c r="G33" s="273">
        <f>'6-x'!AP107</f>
        <v>0.48176001394065399</v>
      </c>
      <c r="H33" s="273">
        <f>'6-x'!AQ107</f>
        <v>0.55763748227765775</v>
      </c>
      <c r="I33" s="56"/>
      <c r="J33" s="273" t="str">
        <f>'6-x'!AK123</f>
        <v/>
      </c>
      <c r="K33" s="273">
        <f>'6-x'!AL123</f>
        <v>0.66212192603617082</v>
      </c>
      <c r="L33" s="273">
        <f>'6-x'!AM123</f>
        <v>0.51518054943547886</v>
      </c>
      <c r="M33" s="273">
        <f>'6-x'!AN123</f>
        <v>0.76827797885207627</v>
      </c>
      <c r="N33" s="273">
        <f>'6-x'!AO123</f>
        <v>0.54096121060248914</v>
      </c>
      <c r="O33" s="273">
        <f>'6-x'!AP123</f>
        <v>0.57797103023334295</v>
      </c>
      <c r="P33" s="273">
        <f>'6-x'!AQ123</f>
        <v>0.63927457081520378</v>
      </c>
      <c r="R33" s="273" t="str">
        <f>'6-x'!AA159</f>
        <v/>
      </c>
      <c r="S33" s="273">
        <f>'6-x'!AB159</f>
        <v>0.91674661090543696</v>
      </c>
      <c r="T33" s="273">
        <f>'6-x'!AC159</f>
        <v>0.99992658395125178</v>
      </c>
      <c r="U33" s="273">
        <f>'6-x'!AD159</f>
        <v>0.90081080328774965</v>
      </c>
      <c r="V33" s="273">
        <f>'6-x'!AE159</f>
        <v>0.76340805154214164</v>
      </c>
      <c r="W33" s="273">
        <f>'6-x'!AF159</f>
        <v>0.43516920170667361</v>
      </c>
      <c r="X33" s="273">
        <f>'6-x'!AG159</f>
        <v>0.86184017296960624</v>
      </c>
    </row>
    <row r="34" spans="1:24">
      <c r="A34" s="227" t="s">
        <v>24</v>
      </c>
      <c r="B34" s="232" t="str">
        <f>'6-x'!AK108</f>
        <v/>
      </c>
      <c r="C34" s="232">
        <f>'6-x'!AL108</f>
        <v>0.64034151547492002</v>
      </c>
      <c r="D34" s="232">
        <f>'6-x'!AM108</f>
        <v>0.52075799218863017</v>
      </c>
      <c r="E34" s="232">
        <f>'6-x'!AN108</f>
        <v>0.60443250503693746</v>
      </c>
      <c r="F34" s="232">
        <f>'6-x'!AO108</f>
        <v>0.46338010039902178</v>
      </c>
      <c r="G34" s="232">
        <f>'6-x'!AP108</f>
        <v>0.48186320439030922</v>
      </c>
      <c r="H34" s="273">
        <f>'6-x'!AQ108</f>
        <v>0.57345850736429771</v>
      </c>
      <c r="I34" s="56"/>
      <c r="J34" s="232" t="str">
        <f>'6-x'!AK124</f>
        <v/>
      </c>
      <c r="K34" s="232">
        <f>'6-x'!AL124</f>
        <v>0.72822315817487626</v>
      </c>
      <c r="L34" s="232">
        <f>'6-x'!AM124</f>
        <v>0.62647631476441135</v>
      </c>
      <c r="M34" s="232">
        <f>'6-x'!AN124</f>
        <v>0.75666380059092686</v>
      </c>
      <c r="N34" s="232">
        <f>'6-x'!AO124</f>
        <v>0.64286869705660388</v>
      </c>
      <c r="O34" s="232">
        <f>'6-x'!AP124</f>
        <v>0.57784333562917334</v>
      </c>
      <c r="P34" s="273">
        <f>'6-x'!AQ124</f>
        <v>0.6750815071753854</v>
      </c>
      <c r="R34" s="232" t="str">
        <f>'6-x'!AA160</f>
        <v/>
      </c>
      <c r="S34" s="232">
        <f>'6-x'!AB160</f>
        <v>0.93285673308179429</v>
      </c>
      <c r="T34" s="232">
        <f>'6-x'!AC160</f>
        <v>1</v>
      </c>
      <c r="U34" s="232">
        <f>'6-x'!AD160</f>
        <v>0.68421052631578938</v>
      </c>
      <c r="V34" s="232">
        <f>'6-x'!AE160</f>
        <v>0.55689554561369381</v>
      </c>
      <c r="W34" s="232">
        <f>'6-x'!AF160</f>
        <v>0.43413607053559677</v>
      </c>
      <c r="X34" s="273">
        <f>'6-x'!AG160</f>
        <v>0.7808201260055373</v>
      </c>
    </row>
    <row r="35" spans="1:24">
      <c r="A35" s="227" t="s">
        <v>25</v>
      </c>
      <c r="B35" s="232" t="str">
        <f>'6-x'!AK109</f>
        <v/>
      </c>
      <c r="C35" s="232">
        <f>'6-x'!AL109</f>
        <v>0.67340067340067344</v>
      </c>
      <c r="D35" s="232" t="str">
        <f>'6-x'!AM109</f>
        <v/>
      </c>
      <c r="E35" s="232">
        <f>'6-x'!AN109</f>
        <v>0.71656050955414019</v>
      </c>
      <c r="F35" s="232">
        <f>'6-x'!AO109</f>
        <v>0.33616584181529557</v>
      </c>
      <c r="G35" s="232">
        <f>'6-x'!AP109</f>
        <v>0.46759319392128851</v>
      </c>
      <c r="H35" s="273">
        <f>'6-x'!AQ109</f>
        <v>0.67216755544589046</v>
      </c>
      <c r="I35" s="56"/>
      <c r="J35" s="232" t="str">
        <f>'6-x'!AK125</f>
        <v/>
      </c>
      <c r="K35" s="232">
        <f>'6-x'!AL125</f>
        <v>0.79210148439845374</v>
      </c>
      <c r="L35" s="232" t="str">
        <f>'6-x'!AM125</f>
        <v/>
      </c>
      <c r="M35" s="232">
        <f>'6-x'!AN125</f>
        <v>0.83752652656460658</v>
      </c>
      <c r="N35" s="232">
        <f>'6-x'!AO125</f>
        <v>0.60063771861391524</v>
      </c>
      <c r="O35" s="232">
        <f>'6-x'!AP125</f>
        <v>0.6577448538540468</v>
      </c>
      <c r="P35" s="273">
        <f>'6-x'!AQ125</f>
        <v>0.79291992433344138</v>
      </c>
      <c r="R35" s="232" t="str">
        <f>'6-x'!AA161</f>
        <v/>
      </c>
      <c r="S35" s="232">
        <f>'6-x'!AB161</f>
        <v>0.97470694772853039</v>
      </c>
      <c r="T35" s="232" t="str">
        <f>'6-x'!AC161</f>
        <v/>
      </c>
      <c r="U35" s="232">
        <f>'6-x'!AD161</f>
        <v>0.57393822393822391</v>
      </c>
      <c r="V35" s="232">
        <f>'6-x'!AE161</f>
        <v>0.83403361344537819</v>
      </c>
      <c r="W35" s="232">
        <f>'6-x'!AF161</f>
        <v>0.43925233644859818</v>
      </c>
      <c r="X35" s="273">
        <f>'6-x'!AG161</f>
        <v>0.94890408227885203</v>
      </c>
    </row>
    <row r="36" spans="1:24">
      <c r="A36" s="227" t="s">
        <v>26</v>
      </c>
      <c r="B36" s="232" t="str">
        <f>'6-x'!AK110</f>
        <v/>
      </c>
      <c r="C36" s="232">
        <f>'6-x'!AL110</f>
        <v>0.5823358136525395</v>
      </c>
      <c r="D36" s="232">
        <f>'6-x'!AM110</f>
        <v>0.43923865300146409</v>
      </c>
      <c r="E36" s="232">
        <f>'6-x'!AN110</f>
        <v>0.53667262969588558</v>
      </c>
      <c r="F36" s="232">
        <f>'6-x'!AO110</f>
        <v>0.58403634003893579</v>
      </c>
      <c r="G36" s="232">
        <f>'6-x'!AP110</f>
        <v>0.47682119205298013</v>
      </c>
      <c r="H36" s="273">
        <f>'6-x'!AQ110</f>
        <v>0.57971668590753878</v>
      </c>
      <c r="I36" s="56"/>
      <c r="J36" s="232" t="str">
        <f>'6-x'!AK126</f>
        <v/>
      </c>
      <c r="K36" s="232">
        <f>'6-x'!AL126</f>
        <v>0.62815807991351669</v>
      </c>
      <c r="L36" s="232">
        <f>'6-x'!AM126</f>
        <v>0.52613113583947968</v>
      </c>
      <c r="M36" s="232">
        <f>'6-x'!AN126</f>
        <v>0.72412529630849132</v>
      </c>
      <c r="N36" s="232">
        <f>'6-x'!AO126</f>
        <v>0.63500054128287664</v>
      </c>
      <c r="O36" s="232">
        <f>'6-x'!AP126</f>
        <v>0.58114072803839256</v>
      </c>
      <c r="P36" s="273">
        <f>'6-x'!AQ126</f>
        <v>0.63156310740369481</v>
      </c>
      <c r="R36" s="232" t="str">
        <f>'6-x'!AA162</f>
        <v/>
      </c>
      <c r="S36" s="232">
        <f>'6-x'!AB162</f>
        <v>0.86912363756468125</v>
      </c>
      <c r="T36" s="232">
        <f>'6-x'!AC162</f>
        <v>0.99985225677772027</v>
      </c>
      <c r="U36" s="232">
        <f>'6-x'!AD162</f>
        <v>0.92897283201293201</v>
      </c>
      <c r="V36" s="232">
        <f>'6-x'!AE162</f>
        <v>0.69218106995884776</v>
      </c>
      <c r="W36" s="232">
        <f>'6-x'!AF162</f>
        <v>0.58333333333333337</v>
      </c>
      <c r="X36" s="273">
        <f>'6-x'!AG162</f>
        <v>0.85732480613833784</v>
      </c>
    </row>
    <row r="37" spans="1:24">
      <c r="A37" s="227" t="s">
        <v>27</v>
      </c>
      <c r="B37" s="232" t="str">
        <f>'6-x'!AK111</f>
        <v/>
      </c>
      <c r="C37" s="232">
        <f>'6-x'!AL111</f>
        <v>0.75156576200417535</v>
      </c>
      <c r="D37" s="232" t="str">
        <f>'6-x'!AM111</f>
        <v/>
      </c>
      <c r="E37" s="232">
        <f>'6-x'!AN111</f>
        <v>0.73274984734378179</v>
      </c>
      <c r="F37" s="232">
        <f>'6-x'!AO111</f>
        <v>0.53595355069227335</v>
      </c>
      <c r="G37" s="232" t="str">
        <f>'6-x'!AP111</f>
        <v/>
      </c>
      <c r="H37" s="273">
        <f>'6-x'!AQ111</f>
        <v>0.61481764182801391</v>
      </c>
      <c r="I37" s="56"/>
      <c r="J37" s="232" t="str">
        <f>'6-x'!AK127</f>
        <v/>
      </c>
      <c r="K37" s="232">
        <f>'6-x'!AL127</f>
        <v>0.83979768631497576</v>
      </c>
      <c r="L37" s="232" t="str">
        <f>'6-x'!AM127</f>
        <v/>
      </c>
      <c r="M37" s="232">
        <f>'6-x'!AN127</f>
        <v>0.87341201673028412</v>
      </c>
      <c r="N37" s="232">
        <f>'6-x'!AO127</f>
        <v>0.7044793743739185</v>
      </c>
      <c r="O37" s="232" t="str">
        <f>'6-x'!AP127</f>
        <v/>
      </c>
      <c r="P37" s="273">
        <f>'6-x'!AQ127</f>
        <v>0.7878020997228149</v>
      </c>
      <c r="R37" s="232" t="str">
        <f>'6-x'!AA163</f>
        <v/>
      </c>
      <c r="S37" s="232">
        <f>'6-x'!AB163</f>
        <v>0.99150008462305139</v>
      </c>
      <c r="T37" s="232" t="str">
        <f>'6-x'!AC163</f>
        <v/>
      </c>
      <c r="U37" s="232">
        <f>'6-x'!AD163</f>
        <v>0.97856503701293418</v>
      </c>
      <c r="V37" s="232">
        <f>'6-x'!AE163</f>
        <v>0.99473803326920884</v>
      </c>
      <c r="W37" s="232" t="str">
        <f>'6-x'!AF163</f>
        <v/>
      </c>
      <c r="X37" s="273">
        <f>'6-x'!AG163</f>
        <v>0.98851136956060015</v>
      </c>
    </row>
    <row r="38" spans="1:24">
      <c r="A38" s="227" t="s">
        <v>28</v>
      </c>
      <c r="B38" s="232" t="str">
        <f>'6-x'!AK112</f>
        <v/>
      </c>
      <c r="C38" s="232">
        <f>'6-x'!AL112</f>
        <v>0.3995560488346282</v>
      </c>
      <c r="D38" s="232">
        <f>'6-x'!AM112</f>
        <v>0.3944340966363537</v>
      </c>
      <c r="E38" s="232">
        <f>'6-x'!AN112</f>
        <v>0.52716356714013768</v>
      </c>
      <c r="F38" s="232">
        <f>'6-x'!AO112</f>
        <v>0.29175784099197666</v>
      </c>
      <c r="G38" s="232">
        <f>'6-x'!AP112</f>
        <v>0.32858707557502742</v>
      </c>
      <c r="H38" s="273">
        <f>'6-x'!AQ112</f>
        <v>0.31873385864248593</v>
      </c>
      <c r="I38" s="56"/>
      <c r="J38" s="232" t="str">
        <f>'6-x'!AK128</f>
        <v/>
      </c>
      <c r="K38" s="232">
        <f>'6-x'!AL128</f>
        <v>0.49643956023841629</v>
      </c>
      <c r="L38" s="232">
        <f>'6-x'!AM128</f>
        <v>0.46779674898755175</v>
      </c>
      <c r="M38" s="232">
        <f>'6-x'!AN128</f>
        <v>0.80626560229342847</v>
      </c>
      <c r="N38" s="232">
        <f>'6-x'!AO128</f>
        <v>0.41718777160939491</v>
      </c>
      <c r="O38" s="232">
        <f>'6-x'!AP128</f>
        <v>0.4514187446541702</v>
      </c>
      <c r="P38" s="273">
        <f>'6-x'!AQ128</f>
        <v>0.45354771914976677</v>
      </c>
      <c r="R38" s="232" t="str">
        <f>'6-x'!AA164</f>
        <v/>
      </c>
      <c r="S38" s="232">
        <f>'6-x'!AB164</f>
        <v>0.99147832530566893</v>
      </c>
      <c r="T38" s="232">
        <f>'6-x'!AC164</f>
        <v>1</v>
      </c>
      <c r="U38" s="232">
        <f>'6-x'!AD164</f>
        <v>0.92532795156407666</v>
      </c>
      <c r="V38" s="232">
        <f>'6-x'!AE164</f>
        <v>0.83783204142283763</v>
      </c>
      <c r="W38" s="232">
        <f>'6-x'!AF164</f>
        <v>0.74999999999999989</v>
      </c>
      <c r="X38" s="273">
        <f>'6-x'!AG164</f>
        <v>0.87661750811321537</v>
      </c>
    </row>
    <row r="39" spans="1:24">
      <c r="A39" s="227" t="s">
        <v>353</v>
      </c>
      <c r="B39" s="232" t="str">
        <f>'6-x'!AK113</f>
        <v/>
      </c>
      <c r="C39" s="232">
        <f>'6-x'!AL113</f>
        <v>0.5638214565387627</v>
      </c>
      <c r="D39" s="232" t="str">
        <f>'6-x'!AM113</f>
        <v/>
      </c>
      <c r="E39" s="232" t="str">
        <f>'6-x'!AN113</f>
        <v/>
      </c>
      <c r="F39" s="232" t="str">
        <f>'6-x'!AO113</f>
        <v/>
      </c>
      <c r="G39" s="232" t="str">
        <f>'6-x'!AP113</f>
        <v/>
      </c>
      <c r="H39" s="273">
        <f>'6-x'!AQ113</f>
        <v>0.5638214565387627</v>
      </c>
      <c r="I39" s="56"/>
      <c r="J39" s="232" t="str">
        <f>'6-x'!AK129</f>
        <v/>
      </c>
      <c r="K39" s="232" t="str">
        <f>'6-x'!AL129</f>
        <v/>
      </c>
      <c r="L39" s="232" t="str">
        <f>'6-x'!AM129</f>
        <v/>
      </c>
      <c r="M39" s="232" t="str">
        <f>'6-x'!AN129</f>
        <v/>
      </c>
      <c r="N39" s="232" t="str">
        <f>'6-x'!AO129</f>
        <v/>
      </c>
      <c r="O39" s="232" t="str">
        <f>'6-x'!AP129</f>
        <v/>
      </c>
      <c r="P39" s="273" t="str">
        <f>'6-x'!AQ129</f>
        <v/>
      </c>
      <c r="R39" s="232" t="str">
        <f>'6-x'!AA165</f>
        <v/>
      </c>
      <c r="S39" s="232" t="str">
        <f>'6-x'!AB165</f>
        <v/>
      </c>
      <c r="T39" s="232" t="str">
        <f>'6-x'!AC165</f>
        <v/>
      </c>
      <c r="U39" s="232" t="str">
        <f>'6-x'!AD165</f>
        <v/>
      </c>
      <c r="V39" s="232" t="str">
        <f>'6-x'!AE165</f>
        <v/>
      </c>
      <c r="W39" s="232">
        <f>'6-x'!AF165</f>
        <v>0</v>
      </c>
      <c r="X39" s="273" t="str">
        <f>'6-x'!AG165</f>
        <v/>
      </c>
    </row>
    <row r="40" spans="1:24">
      <c r="A40" s="322" t="s">
        <v>9</v>
      </c>
      <c r="B40" s="323">
        <f>'6-x'!AK114</f>
        <v>0.36659877800407331</v>
      </c>
      <c r="C40" s="323">
        <f>'6-x'!AL114</f>
        <v>0.57315997174005562</v>
      </c>
      <c r="D40" s="323">
        <f>'6-x'!AM114</f>
        <v>0.42858017436521456</v>
      </c>
      <c r="E40" s="323">
        <f>'6-x'!AN114</f>
        <v>0.45128362715500031</v>
      </c>
      <c r="F40" s="323">
        <f>'6-x'!AO114</f>
        <v>0.37957541509161646</v>
      </c>
      <c r="G40" s="323">
        <f>'6-x'!AP114</f>
        <v>0.44156185221808164</v>
      </c>
      <c r="H40" s="323">
        <f>'6-x'!AQ114</f>
        <v>0.51219495463013021</v>
      </c>
      <c r="I40" s="56"/>
      <c r="J40" s="323">
        <f>'6-x'!AK130</f>
        <v>0.36659877800407331</v>
      </c>
      <c r="K40" s="323">
        <f>'6-x'!AL130</f>
        <v>0.62251928206178808</v>
      </c>
      <c r="L40" s="323">
        <f>'6-x'!AM130</f>
        <v>0.51337940751038191</v>
      </c>
      <c r="M40" s="323">
        <f>'6-x'!AN130</f>
        <v>0.63444198433075072</v>
      </c>
      <c r="N40" s="323">
        <f>'6-x'!AO130</f>
        <v>0.46167146992266483</v>
      </c>
      <c r="O40" s="323">
        <f>'6-x'!AP130</f>
        <v>0.51738183795319848</v>
      </c>
      <c r="P40" s="323">
        <f>'6-x'!AQ130</f>
        <v>0.56929020075568548</v>
      </c>
    </row>
    <row r="41" spans="1:24" ht="15.5">
      <c r="A41" s="47"/>
    </row>
    <row r="42" spans="1:24" ht="15.5">
      <c r="A42" s="47"/>
    </row>
    <row r="43" spans="1:24">
      <c r="B43" s="1104" t="s">
        <v>10</v>
      </c>
      <c r="C43" s="1104"/>
      <c r="D43" s="1104"/>
      <c r="E43" s="1104"/>
      <c r="F43" s="1104"/>
      <c r="G43" s="1104"/>
      <c r="H43" s="1104"/>
      <c r="J43" s="1104" t="s">
        <v>10</v>
      </c>
      <c r="K43" s="1104"/>
      <c r="L43" s="1104"/>
      <c r="M43" s="1104"/>
      <c r="N43" s="1104"/>
      <c r="O43" s="1104"/>
      <c r="P43" s="1104"/>
      <c r="R43" s="1104" t="s">
        <v>10</v>
      </c>
      <c r="S43" s="1104"/>
      <c r="T43" s="1104"/>
      <c r="U43" s="1104"/>
      <c r="V43" s="1104"/>
      <c r="W43" s="1104"/>
      <c r="X43" s="1104"/>
    </row>
    <row r="44" spans="1:24" ht="29">
      <c r="B44" s="251" t="s">
        <v>5</v>
      </c>
      <c r="C44" s="251" t="s">
        <v>63</v>
      </c>
      <c r="D44" s="251" t="s">
        <v>7</v>
      </c>
      <c r="E44" s="251" t="s">
        <v>8</v>
      </c>
      <c r="F44" s="251" t="s">
        <v>243</v>
      </c>
      <c r="G44" s="251" t="s">
        <v>244</v>
      </c>
      <c r="H44" s="251" t="s">
        <v>9</v>
      </c>
      <c r="J44" s="251" t="s">
        <v>5</v>
      </c>
      <c r="K44" s="251" t="s">
        <v>63</v>
      </c>
      <c r="L44" s="251" t="s">
        <v>7</v>
      </c>
      <c r="M44" s="251" t="s">
        <v>8</v>
      </c>
      <c r="N44" s="251" t="s">
        <v>243</v>
      </c>
      <c r="O44" s="251" t="s">
        <v>244</v>
      </c>
      <c r="P44" s="251" t="s">
        <v>9</v>
      </c>
      <c r="R44" s="251" t="s">
        <v>5</v>
      </c>
      <c r="S44" s="251" t="s">
        <v>63</v>
      </c>
      <c r="T44" s="251" t="s">
        <v>7</v>
      </c>
      <c r="U44" s="251" t="s">
        <v>8</v>
      </c>
      <c r="V44" s="251" t="s">
        <v>243</v>
      </c>
      <c r="W44" s="251" t="s">
        <v>244</v>
      </c>
      <c r="X44" s="251" t="s">
        <v>9</v>
      </c>
    </row>
    <row r="45" spans="1:24">
      <c r="A45" s="253">
        <v>2022</v>
      </c>
      <c r="B45" s="1106" t="s">
        <v>345</v>
      </c>
      <c r="C45" s="1107"/>
      <c r="D45" s="1107"/>
      <c r="E45" s="1107"/>
      <c r="F45" s="1107"/>
      <c r="G45" s="1107"/>
      <c r="H45" s="1108"/>
      <c r="J45" s="1106" t="s">
        <v>344</v>
      </c>
      <c r="K45" s="1107"/>
      <c r="L45" s="1107"/>
      <c r="M45" s="1107"/>
      <c r="N45" s="1107"/>
      <c r="O45" s="1107"/>
      <c r="P45" s="1108"/>
      <c r="R45" s="1106" t="s">
        <v>431</v>
      </c>
      <c r="S45" s="1107"/>
      <c r="T45" s="1107"/>
      <c r="U45" s="1107"/>
      <c r="V45" s="1107"/>
      <c r="W45" s="1107"/>
      <c r="X45" s="1108"/>
    </row>
    <row r="46" spans="1:24">
      <c r="A46" s="228" t="s">
        <v>262</v>
      </c>
      <c r="B46" s="273">
        <f>'6-x'!AK192</f>
        <v>0.36000000000000004</v>
      </c>
      <c r="C46" s="273">
        <f>'6-x'!AL192</f>
        <v>0.54396173098980605</v>
      </c>
      <c r="D46" s="273">
        <f>'6-x'!AM192</f>
        <v>0.40192028580998096</v>
      </c>
      <c r="E46" s="273">
        <f>'6-x'!AN192</f>
        <v>0.36583981788226738</v>
      </c>
      <c r="F46" s="273">
        <f>'6-x'!AO192</f>
        <v>0.31431716068592586</v>
      </c>
      <c r="G46" s="273">
        <f>'6-x'!AP192</f>
        <v>0.36240401395470223</v>
      </c>
      <c r="H46" s="273">
        <f>'6-x'!AQ192</f>
        <v>0.45144484593248257</v>
      </c>
      <c r="I46" s="56"/>
    </row>
    <row r="47" spans="1:24">
      <c r="A47" s="227" t="s">
        <v>17</v>
      </c>
      <c r="B47" s="232" t="str">
        <f>'6-x'!AK193</f>
        <v/>
      </c>
      <c r="C47" s="232">
        <f>'6-x'!AL193</f>
        <v>0.3712488398473755</v>
      </c>
      <c r="D47" s="232">
        <f>'6-x'!AM193</f>
        <v>0.40192028580998096</v>
      </c>
      <c r="E47" s="232">
        <f>'6-x'!AN193</f>
        <v>0.37962670041126223</v>
      </c>
      <c r="F47" s="232">
        <f>'6-x'!AO193</f>
        <v>0.410490307867731</v>
      </c>
      <c r="G47" s="232">
        <f>'6-x'!AP193</f>
        <v>0.36272040302267</v>
      </c>
      <c r="H47" s="273">
        <f>'6-x'!AQ193</f>
        <v>0.37560239618670854</v>
      </c>
      <c r="I47" s="56"/>
    </row>
    <row r="48" spans="1:24">
      <c r="A48" s="227" t="s">
        <v>18</v>
      </c>
      <c r="B48" s="232" t="str">
        <f>'6-x'!AK194</f>
        <v/>
      </c>
      <c r="C48" s="232">
        <f>'6-x'!AL194</f>
        <v>0.3331790837575197</v>
      </c>
      <c r="D48" s="232" t="str">
        <f>'6-x'!AM194</f>
        <v/>
      </c>
      <c r="E48" s="232">
        <f>'6-x'!AN194</f>
        <v>0.23608105449537675</v>
      </c>
      <c r="F48" s="232">
        <f>'6-x'!AO194</f>
        <v>0.26552588877415545</v>
      </c>
      <c r="G48" s="232">
        <f>'6-x'!AP194</f>
        <v>0.33091276771762113</v>
      </c>
      <c r="H48" s="273">
        <f>'6-x'!AQ194</f>
        <v>0.32464810913467274</v>
      </c>
      <c r="I48" s="56"/>
    </row>
    <row r="49" spans="1:24">
      <c r="A49" s="227" t="s">
        <v>19</v>
      </c>
      <c r="B49" s="232">
        <f>'6-x'!AK195</f>
        <v>0.36000000000000004</v>
      </c>
      <c r="C49" s="232">
        <f>'6-x'!AL195</f>
        <v>0.61120543293718177</v>
      </c>
      <c r="D49" s="232" t="str">
        <f>'6-x'!AM195</f>
        <v/>
      </c>
      <c r="E49" s="232">
        <f>'6-x'!AN195</f>
        <v>0.36525974025974028</v>
      </c>
      <c r="F49" s="232">
        <f>'6-x'!AO195</f>
        <v>0.26589851539995568</v>
      </c>
      <c r="G49" s="232">
        <f>'6-x'!AP195</f>
        <v>0.3964757709251101</v>
      </c>
      <c r="H49" s="273">
        <f>'6-x'!AQ195</f>
        <v>0.35929300484879523</v>
      </c>
      <c r="I49" s="56"/>
    </row>
    <row r="50" spans="1:24">
      <c r="A50" s="227" t="s">
        <v>20</v>
      </c>
      <c r="B50" s="232" t="str">
        <f>'6-x'!AK196</f>
        <v/>
      </c>
      <c r="C50" s="232">
        <f>'6-x'!AL196</f>
        <v>0.54216867469879526</v>
      </c>
      <c r="D50" s="232" t="str">
        <f>'6-x'!AM196</f>
        <v/>
      </c>
      <c r="E50" s="232">
        <f>'6-x'!AN196</f>
        <v>0.43300457060380082</v>
      </c>
      <c r="F50" s="232">
        <f>'6-x'!AO196</f>
        <v>0.46547711404189296</v>
      </c>
      <c r="G50" s="232">
        <f>'6-x'!AP196</f>
        <v>0.39991113085980889</v>
      </c>
      <c r="H50" s="273">
        <f>'6-x'!AQ196</f>
        <v>0.53954958274729758</v>
      </c>
      <c r="I50" s="56"/>
    </row>
    <row r="51" spans="1:24">
      <c r="A51" s="227" t="s">
        <v>22</v>
      </c>
      <c r="B51" s="232" t="str">
        <f>'6-x'!AK197</f>
        <v/>
      </c>
      <c r="C51" s="232" t="str">
        <f>'6-x'!AL197</f>
        <v/>
      </c>
      <c r="D51" s="232" t="str">
        <f>'6-x'!AM197</f>
        <v/>
      </c>
      <c r="E51" s="232" t="str">
        <f>'6-x'!AN197</f>
        <v/>
      </c>
      <c r="F51" s="232" t="str">
        <f>'6-x'!AO197</f>
        <v/>
      </c>
      <c r="G51" s="232" t="str">
        <f>'6-x'!AP197</f>
        <v/>
      </c>
      <c r="H51" s="273" t="str">
        <f>'6-x'!AQ197</f>
        <v/>
      </c>
      <c r="I51" s="56"/>
    </row>
    <row r="52" spans="1:24">
      <c r="A52" s="227" t="s">
        <v>350</v>
      </c>
      <c r="B52" s="232" t="str">
        <f>'6-x'!AK198</f>
        <v/>
      </c>
      <c r="C52" s="232" t="str">
        <f>'6-x'!AL198</f>
        <v/>
      </c>
      <c r="D52" s="232" t="str">
        <f>'6-x'!AM198</f>
        <v/>
      </c>
      <c r="E52" s="232" t="str">
        <f>'6-x'!AN198</f>
        <v/>
      </c>
      <c r="F52" s="232" t="str">
        <f>'6-x'!AO198</f>
        <v/>
      </c>
      <c r="G52" s="232" t="str">
        <f>'6-x'!AP198</f>
        <v/>
      </c>
      <c r="H52" s="273" t="str">
        <f>'6-x'!AQ198</f>
        <v/>
      </c>
      <c r="I52" s="56"/>
    </row>
    <row r="53" spans="1:24">
      <c r="A53" s="228" t="s">
        <v>263</v>
      </c>
      <c r="B53" s="273" t="str">
        <f>'6-x'!AK199</f>
        <v/>
      </c>
      <c r="C53" s="273">
        <f>'6-x'!AL199</f>
        <v>0.59706010497540918</v>
      </c>
      <c r="D53" s="273">
        <f>'6-x'!AM199</f>
        <v>0.39938899580536563</v>
      </c>
      <c r="E53" s="273">
        <f>'6-x'!AN199</f>
        <v>0.58989515986990326</v>
      </c>
      <c r="F53" s="273">
        <f>'6-x'!AO199</f>
        <v>0.44953972177837098</v>
      </c>
      <c r="G53" s="273">
        <f>'6-x'!AP199</f>
        <v>0.48518258187894681</v>
      </c>
      <c r="H53" s="273">
        <f>'6-x'!AQ199</f>
        <v>0.56283429930594187</v>
      </c>
      <c r="I53" s="56"/>
      <c r="J53" s="273" t="str">
        <f>'6-x'!AK215</f>
        <v/>
      </c>
      <c r="K53" s="273">
        <f>'6-x'!AL215</f>
        <v>0.6656452959782182</v>
      </c>
      <c r="L53" s="273">
        <f>'6-x'!AM215</f>
        <v>0.46914252887330665</v>
      </c>
      <c r="M53" s="273">
        <f>'6-x'!AN215</f>
        <v>0.77966794953803842</v>
      </c>
      <c r="N53" s="273">
        <f>'6-x'!AO215</f>
        <v>0.56672791983001525</v>
      </c>
      <c r="O53" s="273">
        <f>'6-x'!AP215</f>
        <v>0.58618759858091296</v>
      </c>
      <c r="P53" s="273">
        <f>'6-x'!AQ215</f>
        <v>0.64570310431363953</v>
      </c>
      <c r="R53" s="273" t="str">
        <f>'6-x'!AA251</f>
        <v/>
      </c>
      <c r="S53" s="273">
        <f>'6-x'!AB251</f>
        <v>0.8884872709251338</v>
      </c>
      <c r="T53" s="273">
        <f>'6-x'!AC251</f>
        <v>0.81813498196805767</v>
      </c>
      <c r="U53" s="273">
        <f>'6-x'!AD251</f>
        <v>0.89024779325747105</v>
      </c>
      <c r="V53" s="273">
        <f>'6-x'!AE251</f>
        <v>0.61527878854340079</v>
      </c>
      <c r="W53" s="273">
        <f>'6-x'!AF251</f>
        <v>0.45451510092578545</v>
      </c>
      <c r="X53" s="273">
        <f>'6-x'!AG251</f>
        <v>0.81436065006854608</v>
      </c>
    </row>
    <row r="54" spans="1:24">
      <c r="A54" s="227" t="s">
        <v>24</v>
      </c>
      <c r="B54" s="232" t="str">
        <f>'6-x'!AK200</f>
        <v/>
      </c>
      <c r="C54" s="232">
        <f>'6-x'!AL200</f>
        <v>0.63841106579180695</v>
      </c>
      <c r="D54" s="232">
        <f>'6-x'!AM200</f>
        <v>0.48767271742075319</v>
      </c>
      <c r="E54" s="232">
        <f>'6-x'!AN200</f>
        <v>0.60010001666944501</v>
      </c>
      <c r="F54" s="232">
        <f>'6-x'!AO200</f>
        <v>0.46088849059019338</v>
      </c>
      <c r="G54" s="232">
        <f>'6-x'!AP200</f>
        <v>0.48537144398004589</v>
      </c>
      <c r="H54" s="273">
        <f>'6-x'!AQ200</f>
        <v>0.57315467966133626</v>
      </c>
      <c r="I54" s="56"/>
      <c r="J54" s="232" t="str">
        <f>'6-x'!AK216</f>
        <v/>
      </c>
      <c r="K54" s="232">
        <f>'6-x'!AL216</f>
        <v>0.72767483728382854</v>
      </c>
      <c r="L54" s="232">
        <f>'6-x'!AM216</f>
        <v>0.58289177736779363</v>
      </c>
      <c r="M54" s="232">
        <f>'6-x'!AN216</f>
        <v>0.76239610211252495</v>
      </c>
      <c r="N54" s="232">
        <f>'6-x'!AO216</f>
        <v>0.66825946020275695</v>
      </c>
      <c r="O54" s="232">
        <f>'6-x'!AP216</f>
        <v>0.58630901397666046</v>
      </c>
      <c r="P54" s="273">
        <f>'6-x'!AQ216</f>
        <v>0.67812818107167072</v>
      </c>
      <c r="R54" s="232" t="str">
        <f>'6-x'!AA252</f>
        <v/>
      </c>
      <c r="S54" s="232">
        <f>'6-x'!AB252</f>
        <v>0.93260714762561747</v>
      </c>
      <c r="T54" s="232">
        <f>'6-x'!AC252</f>
        <v>1</v>
      </c>
      <c r="U54" s="232">
        <f>'6-x'!AD252</f>
        <v>0.49696969696969695</v>
      </c>
      <c r="V54" s="232">
        <f>'6-x'!AE252</f>
        <v>0.48419744318181823</v>
      </c>
      <c r="W54" s="232">
        <f>'6-x'!AF252</f>
        <v>0.45304188321614186</v>
      </c>
      <c r="X54" s="273">
        <f>'6-x'!AG252</f>
        <v>0.76697550631199918</v>
      </c>
    </row>
    <row r="55" spans="1:24">
      <c r="A55" s="227" t="s">
        <v>25</v>
      </c>
      <c r="B55" s="232" t="str">
        <f>'6-x'!AK201</f>
        <v/>
      </c>
      <c r="C55" s="232">
        <f>'6-x'!AL201</f>
        <v>0.66889632107023422</v>
      </c>
      <c r="D55" s="232" t="str">
        <f>'6-x'!AM201</f>
        <v/>
      </c>
      <c r="E55" s="232">
        <f>'6-x'!AN201</f>
        <v>0.69390902081727068</v>
      </c>
      <c r="F55" s="232">
        <f>'6-x'!AO201</f>
        <v>0.36072144288577157</v>
      </c>
      <c r="G55" s="232">
        <f>'6-x'!AP201</f>
        <v>0.57646116893514809</v>
      </c>
      <c r="H55" s="273">
        <f>'6-x'!AQ201</f>
        <v>0.66894945924335514</v>
      </c>
      <c r="I55" s="56"/>
      <c r="J55" s="232" t="str">
        <f>'6-x'!AK217</f>
        <v/>
      </c>
      <c r="K55" s="232">
        <f>'6-x'!AL217</f>
        <v>0.78701966893425324</v>
      </c>
      <c r="L55" s="232" t="str">
        <f>'6-x'!AM217</f>
        <v/>
      </c>
      <c r="M55" s="232">
        <f>'6-x'!AN217</f>
        <v>0.81723150033940517</v>
      </c>
      <c r="N55" s="232">
        <f>'6-x'!AO217</f>
        <v>0.64231173439725142</v>
      </c>
      <c r="O55" s="232">
        <f>'6-x'!AP217</f>
        <v>0.7416165090988821</v>
      </c>
      <c r="P55" s="273">
        <f>'6-x'!AQ217</f>
        <v>0.78858584806473442</v>
      </c>
      <c r="R55" s="232" t="str">
        <f>'6-x'!AA253</f>
        <v/>
      </c>
      <c r="S55" s="232">
        <f>'6-x'!AB253</f>
        <v>0.96358502120710399</v>
      </c>
      <c r="T55" s="232" t="str">
        <f>'6-x'!AC253</f>
        <v/>
      </c>
      <c r="U55" s="232">
        <f>'6-x'!AD253</f>
        <v>0.61706201467928945</v>
      </c>
      <c r="V55" s="232">
        <f>'6-x'!AE253</f>
        <v>0.44199706314243764</v>
      </c>
      <c r="W55" s="232">
        <f>'6-x'!AF253</f>
        <v>0.95</v>
      </c>
      <c r="X55" s="273">
        <f>'6-x'!AG253</f>
        <v>0.92682604272634794</v>
      </c>
    </row>
    <row r="56" spans="1:24">
      <c r="A56" s="227" t="s">
        <v>26</v>
      </c>
      <c r="B56" s="232" t="str">
        <f>'6-x'!AK202</f>
        <v/>
      </c>
      <c r="C56" s="232">
        <f>'6-x'!AL202</f>
        <v>0.58708414872798442</v>
      </c>
      <c r="D56" s="232">
        <f>'6-x'!AM202</f>
        <v>0.41972717733473242</v>
      </c>
      <c r="E56" s="232">
        <f>'6-x'!AN202</f>
        <v>0.55113288426209439</v>
      </c>
      <c r="F56" s="232">
        <f>'6-x'!AO202</f>
        <v>0.60718502276943831</v>
      </c>
      <c r="G56" s="232">
        <f>'6-x'!AP202</f>
        <v>0.46379799020870915</v>
      </c>
      <c r="H56" s="273">
        <f>'6-x'!AQ202</f>
        <v>0.58611137270854163</v>
      </c>
      <c r="I56" s="56"/>
      <c r="J56" s="232" t="str">
        <f>'6-x'!AK218</f>
        <v/>
      </c>
      <c r="K56" s="232">
        <f>'6-x'!AL218</f>
        <v>0.63312243125737921</v>
      </c>
      <c r="L56" s="232">
        <f>'6-x'!AM218</f>
        <v>0.51595632697540028</v>
      </c>
      <c r="M56" s="232">
        <f>'6-x'!AN218</f>
        <v>0.74704567137787847</v>
      </c>
      <c r="N56" s="232">
        <f>'6-x'!AO218</f>
        <v>0.66237053733998463</v>
      </c>
      <c r="O56" s="232">
        <f>'6-x'!AP218</f>
        <v>0.55144740616308163</v>
      </c>
      <c r="P56" s="273">
        <f>'6-x'!AQ218</f>
        <v>0.63893771636200569</v>
      </c>
      <c r="R56" s="232" t="str">
        <f>'6-x'!AA254</f>
        <v/>
      </c>
      <c r="S56" s="232">
        <f>'6-x'!AB254</f>
        <v>0.82185738502055872</v>
      </c>
      <c r="T56" s="232">
        <f>'6-x'!AC254</f>
        <v>0.82847013907826572</v>
      </c>
      <c r="U56" s="232">
        <f>'6-x'!AD254</f>
        <v>0.93035103635982963</v>
      </c>
      <c r="V56" s="232">
        <f>'6-x'!AE254</f>
        <v>0.56168508536842421</v>
      </c>
      <c r="W56" s="232">
        <f>'6-x'!AF254</f>
        <v>0.66878980891719753</v>
      </c>
      <c r="X56" s="273">
        <f>'6-x'!AG254</f>
        <v>0.79844015954068526</v>
      </c>
    </row>
    <row r="57" spans="1:24">
      <c r="A57" s="227" t="s">
        <v>27</v>
      </c>
      <c r="B57" s="232" t="str">
        <f>'6-x'!AK203</f>
        <v/>
      </c>
      <c r="C57" s="232">
        <f>'6-x'!AL203</f>
        <v>0.76013513513513531</v>
      </c>
      <c r="D57" s="232" t="str">
        <f>'6-x'!AM203</f>
        <v/>
      </c>
      <c r="E57" s="232">
        <f>'6-x'!AN203</f>
        <v>0.71216617210682509</v>
      </c>
      <c r="F57" s="232">
        <f>'6-x'!AO203</f>
        <v>0.6321334503950834</v>
      </c>
      <c r="G57" s="232" t="str">
        <f>'6-x'!AP203</f>
        <v/>
      </c>
      <c r="H57" s="273">
        <f>'6-x'!AQ203</f>
        <v>0.68270253504997991</v>
      </c>
      <c r="I57" s="56"/>
      <c r="J57" s="232" t="str">
        <f>'6-x'!AK219</f>
        <v/>
      </c>
      <c r="K57" s="232">
        <f>'6-x'!AL219</f>
        <v>0.8681964548976232</v>
      </c>
      <c r="L57" s="232" t="str">
        <f>'6-x'!AM219</f>
        <v/>
      </c>
      <c r="M57" s="232">
        <f>'6-x'!AN219</f>
        <v>0.83527822146556907</v>
      </c>
      <c r="N57" s="232">
        <f>'6-x'!AO219</f>
        <v>0.77974211278400252</v>
      </c>
      <c r="O57" s="232" t="str">
        <f>'6-x'!AP219</f>
        <v/>
      </c>
      <c r="P57" s="273">
        <f>'6-x'!AQ219</f>
        <v>0.8251296266574093</v>
      </c>
      <c r="R57" s="232" t="str">
        <f>'6-x'!AA255</f>
        <v/>
      </c>
      <c r="S57" s="232">
        <f>'6-x'!AB255</f>
        <v>0.94819006067216582</v>
      </c>
      <c r="T57" s="232" t="str">
        <f>'6-x'!AC255</f>
        <v/>
      </c>
      <c r="U57" s="232">
        <f>'6-x'!AD255</f>
        <v>0.99727255016559524</v>
      </c>
      <c r="V57" s="232">
        <f>'6-x'!AE255</f>
        <v>0.83521611001964635</v>
      </c>
      <c r="W57" s="232" t="str">
        <f>'6-x'!AF255</f>
        <v/>
      </c>
      <c r="X57" s="273">
        <f>'6-x'!AG255</f>
        <v>0.92460499044440259</v>
      </c>
    </row>
    <row r="58" spans="1:24">
      <c r="A58" s="227" t="s">
        <v>28</v>
      </c>
      <c r="B58" s="232" t="str">
        <f>'6-x'!AK204</f>
        <v/>
      </c>
      <c r="C58" s="232">
        <f>'6-x'!AL204</f>
        <v>0.40636640704368437</v>
      </c>
      <c r="D58" s="232">
        <f>'6-x'!AM204</f>
        <v>0.3692307692307692</v>
      </c>
      <c r="E58" s="232">
        <f>'6-x'!AN204</f>
        <v>0.56737588652482263</v>
      </c>
      <c r="F58" s="232">
        <f>'6-x'!AO204</f>
        <v>0.29356601157954826</v>
      </c>
      <c r="G58" s="232">
        <f>'6-x'!AP204</f>
        <v>0.31897926634768742</v>
      </c>
      <c r="H58" s="273">
        <f>'6-x'!AQ204</f>
        <v>0.32093163977101224</v>
      </c>
      <c r="I58" s="56"/>
      <c r="J58" s="232" t="str">
        <f>'6-x'!AK220</f>
        <v/>
      </c>
      <c r="K58" s="232">
        <f>'6-x'!AL220</f>
        <v>0.54097783649429465</v>
      </c>
      <c r="L58" s="232">
        <f>'6-x'!AM220</f>
        <v>0.40369779136780398</v>
      </c>
      <c r="M58" s="232">
        <f>'6-x'!AN220</f>
        <v>0.81315831911175551</v>
      </c>
      <c r="N58" s="232">
        <f>'6-x'!AO220</f>
        <v>0.42954254144095039</v>
      </c>
      <c r="O58" s="232">
        <f>'6-x'!AP220</f>
        <v>0.5636763161004299</v>
      </c>
      <c r="P58" s="273">
        <f>'6-x'!AQ220</f>
        <v>0.46046163893273462</v>
      </c>
      <c r="R58" s="232" t="str">
        <f>'6-x'!AA256</f>
        <v/>
      </c>
      <c r="S58" s="232">
        <f>'6-x'!AB256</f>
        <v>0.87586805555555547</v>
      </c>
      <c r="T58" s="232">
        <f>'6-x'!AC256</f>
        <v>0.6632732967893501</v>
      </c>
      <c r="U58" s="232">
        <f>'6-x'!AD256</f>
        <v>0.93882441977800202</v>
      </c>
      <c r="V58" s="232">
        <f>'6-x'!AE256</f>
        <v>0.653496662824671</v>
      </c>
      <c r="W58" s="232">
        <f>'6-x'!AF256</f>
        <v>0.31578947368421051</v>
      </c>
      <c r="X58" s="273">
        <f>'6-x'!AG256</f>
        <v>0.72774380195554245</v>
      </c>
    </row>
    <row r="59" spans="1:24">
      <c r="A59" s="227" t="s">
        <v>353</v>
      </c>
      <c r="B59" s="232" t="str">
        <f>'6-x'!AK205</f>
        <v/>
      </c>
      <c r="C59" s="232">
        <f>'6-x'!AL205</f>
        <v>0.50153246029534693</v>
      </c>
      <c r="D59" s="232" t="str">
        <f>'6-x'!AM205</f>
        <v/>
      </c>
      <c r="E59" s="232" t="str">
        <f>'6-x'!AN205</f>
        <v/>
      </c>
      <c r="F59" s="232" t="str">
        <f>'6-x'!AO205</f>
        <v/>
      </c>
      <c r="G59" s="232" t="str">
        <f>'6-x'!AP205</f>
        <v/>
      </c>
      <c r="H59" s="273">
        <f>'6-x'!AQ205</f>
        <v>0.55168570632488168</v>
      </c>
      <c r="I59" s="56"/>
      <c r="J59" s="232" t="str">
        <f>'6-x'!AK221</f>
        <v/>
      </c>
      <c r="K59" s="232">
        <f>'6-x'!AL221</f>
        <v>0.34393809117179708</v>
      </c>
      <c r="L59" s="232" t="str">
        <f>'6-x'!AM221</f>
        <v/>
      </c>
      <c r="M59" s="232" t="str">
        <f>'6-x'!AN221</f>
        <v/>
      </c>
      <c r="N59" s="232" t="str">
        <f>'6-x'!AO221</f>
        <v/>
      </c>
      <c r="O59" s="232" t="str">
        <f>'6-x'!AP221</f>
        <v/>
      </c>
      <c r="P59" s="273">
        <f>'6-x'!AQ221</f>
        <v>0.36113499572897678</v>
      </c>
      <c r="R59" s="232" t="str">
        <f>'6-x'!AA257</f>
        <v/>
      </c>
      <c r="S59" s="232">
        <f>'6-x'!AB257</f>
        <v>0</v>
      </c>
      <c r="T59" s="232" t="str">
        <f>'6-x'!AC257</f>
        <v/>
      </c>
      <c r="U59" s="232" t="str">
        <f>'6-x'!AD257</f>
        <v/>
      </c>
      <c r="V59" s="232" t="str">
        <f>'6-x'!AE257</f>
        <v/>
      </c>
      <c r="W59" s="232">
        <f>'6-x'!AF257</f>
        <v>0</v>
      </c>
      <c r="X59" s="273">
        <f>'6-x'!AG257</f>
        <v>0</v>
      </c>
    </row>
    <row r="60" spans="1:24">
      <c r="A60" s="322" t="s">
        <v>9</v>
      </c>
      <c r="B60" s="323">
        <f>'6-x'!AK206</f>
        <v>0.36000031848965136</v>
      </c>
      <c r="C60" s="323">
        <f>'6-x'!AL206</f>
        <v>0.57389550076530338</v>
      </c>
      <c r="D60" s="323">
        <f>'6-x'!AM206</f>
        <v>0.39941642396535659</v>
      </c>
      <c r="E60" s="323">
        <f>'6-x'!AN206</f>
        <v>0.44074750190526901</v>
      </c>
      <c r="F60" s="323">
        <f>'6-x'!AO206</f>
        <v>0.39220138871906757</v>
      </c>
      <c r="G60" s="323">
        <f>'6-x'!AP206</f>
        <v>0.43941896081648973</v>
      </c>
      <c r="H60" s="323">
        <f>'6-x'!AQ206</f>
        <v>0.50623998095702905</v>
      </c>
      <c r="I60" s="56"/>
      <c r="J60" s="323">
        <f>'6-x'!AK222</f>
        <v>0.36000031848965131</v>
      </c>
      <c r="K60" s="323">
        <f>'6-x'!AL222</f>
        <v>0.62020404239641014</v>
      </c>
      <c r="L60" s="323">
        <f>'6-x'!AM222</f>
        <v>0.46851463307140856</v>
      </c>
      <c r="M60" s="323">
        <f>'6-x'!AN222</f>
        <v>0.60336793564925095</v>
      </c>
      <c r="N60" s="323">
        <f>'6-x'!AO222</f>
        <v>0.4795494433048974</v>
      </c>
      <c r="O60" s="323">
        <f>'6-x'!AP222</f>
        <v>0.51698626536242032</v>
      </c>
      <c r="P60" s="323">
        <f>'6-x'!AQ222</f>
        <v>0.55963204457550375</v>
      </c>
    </row>
    <row r="61" spans="1:24" ht="15.5">
      <c r="A61" s="47"/>
    </row>
    <row r="62" spans="1:24" ht="15.5">
      <c r="A62" s="47"/>
    </row>
    <row r="63" spans="1:24">
      <c r="B63" s="1104" t="s">
        <v>10</v>
      </c>
      <c r="C63" s="1104"/>
      <c r="D63" s="1104"/>
      <c r="E63" s="1104"/>
      <c r="F63" s="1104"/>
      <c r="G63" s="1104"/>
      <c r="H63" s="1104"/>
      <c r="J63" s="1104" t="s">
        <v>10</v>
      </c>
      <c r="K63" s="1104"/>
      <c r="L63" s="1104"/>
      <c r="M63" s="1104"/>
      <c r="N63" s="1104"/>
      <c r="O63" s="1104"/>
      <c r="P63" s="1104"/>
      <c r="R63" s="1104" t="s">
        <v>10</v>
      </c>
      <c r="S63" s="1104"/>
      <c r="T63" s="1104"/>
      <c r="U63" s="1104"/>
      <c r="V63" s="1104"/>
      <c r="W63" s="1104"/>
      <c r="X63" s="1104"/>
    </row>
    <row r="64" spans="1:24" ht="29">
      <c r="B64" s="251" t="s">
        <v>5</v>
      </c>
      <c r="C64" s="251" t="s">
        <v>63</v>
      </c>
      <c r="D64" s="251" t="s">
        <v>7</v>
      </c>
      <c r="E64" s="251" t="s">
        <v>8</v>
      </c>
      <c r="F64" s="251" t="s">
        <v>243</v>
      </c>
      <c r="G64" s="251" t="s">
        <v>244</v>
      </c>
      <c r="H64" s="251" t="s">
        <v>9</v>
      </c>
      <c r="J64" s="251" t="s">
        <v>5</v>
      </c>
      <c r="K64" s="251" t="s">
        <v>63</v>
      </c>
      <c r="L64" s="251" t="s">
        <v>7</v>
      </c>
      <c r="M64" s="251" t="s">
        <v>8</v>
      </c>
      <c r="N64" s="251" t="s">
        <v>243</v>
      </c>
      <c r="O64" s="251" t="s">
        <v>244</v>
      </c>
      <c r="P64" s="251" t="s">
        <v>9</v>
      </c>
      <c r="R64" s="251" t="s">
        <v>5</v>
      </c>
      <c r="S64" s="251" t="s">
        <v>63</v>
      </c>
      <c r="T64" s="251" t="s">
        <v>7</v>
      </c>
      <c r="U64" s="251" t="s">
        <v>8</v>
      </c>
      <c r="V64" s="251" t="s">
        <v>243</v>
      </c>
      <c r="W64" s="251" t="s">
        <v>244</v>
      </c>
      <c r="X64" s="251" t="s">
        <v>9</v>
      </c>
    </row>
    <row r="65" spans="1:24">
      <c r="A65" s="253">
        <v>2021</v>
      </c>
      <c r="B65" s="1106" t="s">
        <v>345</v>
      </c>
      <c r="C65" s="1107"/>
      <c r="D65" s="1107"/>
      <c r="E65" s="1107"/>
      <c r="F65" s="1107"/>
      <c r="G65" s="1107"/>
      <c r="H65" s="1108"/>
      <c r="J65" s="1106" t="s">
        <v>344</v>
      </c>
      <c r="K65" s="1107"/>
      <c r="L65" s="1107"/>
      <c r="M65" s="1107"/>
      <c r="N65" s="1107"/>
      <c r="O65" s="1107"/>
      <c r="P65" s="1108"/>
      <c r="R65" s="1106" t="s">
        <v>431</v>
      </c>
      <c r="S65" s="1107"/>
      <c r="T65" s="1107"/>
      <c r="U65" s="1107"/>
      <c r="V65" s="1107"/>
      <c r="W65" s="1107"/>
      <c r="X65" s="1108"/>
    </row>
    <row r="66" spans="1:24">
      <c r="A66" s="228" t="s">
        <v>262</v>
      </c>
      <c r="B66" s="273">
        <f>'6-x'!AK284</f>
        <v>0.35845862790002986</v>
      </c>
      <c r="C66" s="273">
        <f>'6-x'!AL284</f>
        <v>0.53243309284392637</v>
      </c>
      <c r="D66" s="273">
        <f>'6-x'!AM284</f>
        <v>0.39880358923230314</v>
      </c>
      <c r="E66" s="273">
        <f>'6-x'!AN284</f>
        <v>0.34772091347543038</v>
      </c>
      <c r="F66" s="273">
        <f>'6-x'!AO284</f>
        <v>0.31813558860621399</v>
      </c>
      <c r="G66" s="273">
        <f>'6-x'!AP284</f>
        <v>0.3679290869610975</v>
      </c>
      <c r="H66" s="273">
        <f>'6-x'!AQ284</f>
        <v>0.45832040890771869</v>
      </c>
      <c r="I66" s="56"/>
    </row>
    <row r="67" spans="1:24">
      <c r="A67" s="227" t="s">
        <v>17</v>
      </c>
      <c r="B67" s="232" t="str">
        <f>'6-x'!AK285</f>
        <v/>
      </c>
      <c r="C67" s="232">
        <f>'6-x'!AL285</f>
        <v>0.37866834963710949</v>
      </c>
      <c r="D67" s="232">
        <f>'6-x'!AM285</f>
        <v>0.39880358923230314</v>
      </c>
      <c r="E67" s="232">
        <f>'6-x'!AN285</f>
        <v>0.3781909864481563</v>
      </c>
      <c r="F67" s="232">
        <f>'6-x'!AO285</f>
        <v>0.40974277259276121</v>
      </c>
      <c r="G67" s="232">
        <f>'6-x'!AP285</f>
        <v>0.36791006642820645</v>
      </c>
      <c r="H67" s="273">
        <f>'6-x'!AQ285</f>
        <v>0.38015624569921652</v>
      </c>
      <c r="I67" s="56"/>
    </row>
    <row r="68" spans="1:24">
      <c r="A68" s="227" t="s">
        <v>18</v>
      </c>
      <c r="B68" s="232" t="str">
        <f>'6-x'!AK286</f>
        <v/>
      </c>
      <c r="C68" s="232">
        <f>'6-x'!AL286</f>
        <v>0.36775973030953113</v>
      </c>
      <c r="D68" s="232" t="str">
        <f>'6-x'!AM286</f>
        <v/>
      </c>
      <c r="E68" s="232">
        <f>'6-x'!AN286</f>
        <v>0.24122219244170467</v>
      </c>
      <c r="F68" s="232">
        <f>'6-x'!AO286</f>
        <v>0.27212941265401774</v>
      </c>
      <c r="G68" s="232">
        <f>'6-x'!AP286</f>
        <v>0.34315127251930228</v>
      </c>
      <c r="H68" s="273">
        <f>'6-x'!AQ286</f>
        <v>0.36295142521323481</v>
      </c>
      <c r="I68" s="56"/>
    </row>
    <row r="69" spans="1:24">
      <c r="A69" s="227" t="s">
        <v>19</v>
      </c>
      <c r="B69" s="232">
        <f>'6-x'!AK287</f>
        <v>0.35845862790002986</v>
      </c>
      <c r="C69" s="232">
        <f>'6-x'!AL287</f>
        <v>0.3605408112168253</v>
      </c>
      <c r="D69" s="232" t="str">
        <f>'6-x'!AM287</f>
        <v/>
      </c>
      <c r="E69" s="232">
        <f>'6-x'!AN287</f>
        <v>0.34492670307559642</v>
      </c>
      <c r="F69" s="232">
        <f>'6-x'!AO287</f>
        <v>0.26564344746162932</v>
      </c>
      <c r="G69" s="232">
        <f>'6-x'!AP287</f>
        <v>0.39787798408488068</v>
      </c>
      <c r="H69" s="273">
        <f>'6-x'!AQ287</f>
        <v>0.33237339705728908</v>
      </c>
      <c r="I69" s="56"/>
    </row>
    <row r="70" spans="1:24">
      <c r="A70" s="227" t="s">
        <v>20</v>
      </c>
      <c r="B70" s="232" t="str">
        <f>'6-x'!AK288</f>
        <v/>
      </c>
      <c r="C70" s="232">
        <f>'6-x'!AL288</f>
        <v>0.5377950403346281</v>
      </c>
      <c r="D70" s="232" t="str">
        <f>'6-x'!AM288</f>
        <v/>
      </c>
      <c r="E70" s="232">
        <f>'6-x'!AN288</f>
        <v>0.44444444444444448</v>
      </c>
      <c r="F70" s="232">
        <f>'6-x'!AO288</f>
        <v>0.46505619429014344</v>
      </c>
      <c r="G70" s="232">
        <f>'6-x'!AP288</f>
        <v>0.39991113085980889</v>
      </c>
      <c r="H70" s="273">
        <f>'6-x'!AQ288</f>
        <v>0.53510128024053616</v>
      </c>
      <c r="I70" s="56"/>
    </row>
    <row r="71" spans="1:24">
      <c r="A71" s="227" t="s">
        <v>22</v>
      </c>
      <c r="B71" s="232" t="str">
        <f>'6-x'!AK289</f>
        <v/>
      </c>
      <c r="C71" s="232" t="str">
        <f>'6-x'!AL289</f>
        <v/>
      </c>
      <c r="D71" s="232" t="str">
        <f>'6-x'!AM289</f>
        <v/>
      </c>
      <c r="E71" s="232" t="str">
        <f>'6-x'!AN289</f>
        <v/>
      </c>
      <c r="F71" s="232" t="str">
        <f>'6-x'!AO289</f>
        <v/>
      </c>
      <c r="G71" s="232" t="str">
        <f>'6-x'!AP289</f>
        <v/>
      </c>
      <c r="H71" s="273" t="str">
        <f>'6-x'!AQ289</f>
        <v/>
      </c>
      <c r="I71" s="56"/>
    </row>
    <row r="72" spans="1:24">
      <c r="A72" s="227" t="s">
        <v>350</v>
      </c>
      <c r="B72" s="232" t="str">
        <f>'6-x'!AK290</f>
        <v/>
      </c>
      <c r="C72" s="232" t="str">
        <f>'6-x'!AL290</f>
        <v/>
      </c>
      <c r="D72" s="232" t="str">
        <f>'6-x'!AM290</f>
        <v/>
      </c>
      <c r="E72" s="232" t="str">
        <f>'6-x'!AN290</f>
        <v/>
      </c>
      <c r="F72" s="232" t="str">
        <f>'6-x'!AO290</f>
        <v/>
      </c>
      <c r="G72" s="232" t="str">
        <f>'6-x'!AP290</f>
        <v/>
      </c>
      <c r="H72" s="273" t="str">
        <f>'6-x'!AQ290</f>
        <v/>
      </c>
      <c r="I72" s="56"/>
    </row>
    <row r="73" spans="1:24">
      <c r="A73" s="228" t="s">
        <v>263</v>
      </c>
      <c r="B73" s="273" t="str">
        <f>'6-x'!AK291</f>
        <v/>
      </c>
      <c r="C73" s="273">
        <f>'6-x'!AL291</f>
        <v>0.59226704197894098</v>
      </c>
      <c r="D73" s="273">
        <f>'6-x'!AM291</f>
        <v>0.3787259117033932</v>
      </c>
      <c r="E73" s="273">
        <f>'6-x'!AN291</f>
        <v>0.57287262887197943</v>
      </c>
      <c r="F73" s="273">
        <f>'6-x'!AO291</f>
        <v>0.41843692954635786</v>
      </c>
      <c r="G73" s="273">
        <f>'6-x'!AP291</f>
        <v>0.48484782966914297</v>
      </c>
      <c r="H73" s="273">
        <f>'6-x'!AQ291</f>
        <v>0.5574784668330206</v>
      </c>
      <c r="I73" s="56"/>
      <c r="J73" s="273" t="str">
        <f>'6-x'!AK307</f>
        <v/>
      </c>
      <c r="K73" s="273">
        <f>'6-x'!AL307</f>
        <v>0.66686597453031327</v>
      </c>
      <c r="L73" s="273">
        <f>'6-x'!AM307</f>
        <v>0.42592183314531351</v>
      </c>
      <c r="M73" s="273">
        <f>'6-x'!AN307</f>
        <v>0.77599251462005037</v>
      </c>
      <c r="N73" s="273">
        <f>'6-x'!AO307</f>
        <v>0.55506189647711623</v>
      </c>
      <c r="O73" s="273">
        <f>'6-x'!AP307</f>
        <v>0.58558012473212329</v>
      </c>
      <c r="P73" s="273">
        <f>'6-x'!AQ307</f>
        <v>0.64533507935764411</v>
      </c>
      <c r="R73" s="273" t="str">
        <f>'6-x'!AA343</f>
        <v/>
      </c>
      <c r="S73" s="273">
        <f>'6-x'!AB343</f>
        <v>0.87410719026642003</v>
      </c>
      <c r="T73" s="273">
        <f>'6-x'!AC343</f>
        <v>0.99208095028596555</v>
      </c>
      <c r="U73" s="273">
        <f>'6-x'!AD343</f>
        <v>0.90919593250495256</v>
      </c>
      <c r="V73" s="273">
        <f>'6-x'!AE343</f>
        <v>0.66403699203611677</v>
      </c>
      <c r="W73" s="273">
        <f>'6-x'!AF343</f>
        <v>0.39282127031019198</v>
      </c>
      <c r="X73" s="273">
        <f>'6-x'!AG343</f>
        <v>0.81812432657809364</v>
      </c>
    </row>
    <row r="74" spans="1:24">
      <c r="A74" s="227" t="s">
        <v>24</v>
      </c>
      <c r="B74" s="232" t="str">
        <f>'6-x'!AK292</f>
        <v/>
      </c>
      <c r="C74" s="232">
        <f>'6-x'!AL292</f>
        <v>0.62663185378590081</v>
      </c>
      <c r="D74" s="232">
        <f>'6-x'!AM292</f>
        <v>0.49375942943354822</v>
      </c>
      <c r="E74" s="232">
        <f>'6-x'!AN292</f>
        <v>0.55197792088316466</v>
      </c>
      <c r="F74" s="232">
        <f>'6-x'!AO292</f>
        <v>0.48681541582150106</v>
      </c>
      <c r="G74" s="232">
        <f>'6-x'!AP292</f>
        <v>0.48491379310344829</v>
      </c>
      <c r="H74" s="273">
        <f>'6-x'!AQ292</f>
        <v>0.56587767407715739</v>
      </c>
      <c r="I74" s="56"/>
      <c r="J74" s="232" t="str">
        <f>'6-x'!AK308</f>
        <v/>
      </c>
      <c r="K74" s="232">
        <f>'6-x'!AL308</f>
        <v>0.72677879734600803</v>
      </c>
      <c r="L74" s="232">
        <f>'6-x'!AM308</f>
        <v>0.59145423191537827</v>
      </c>
      <c r="M74" s="232">
        <f>'6-x'!AN308</f>
        <v>0.70465365021216786</v>
      </c>
      <c r="N74" s="232">
        <f>'6-x'!AO308</f>
        <v>0.65951610819710804</v>
      </c>
      <c r="O74" s="232">
        <f>'6-x'!AP308</f>
        <v>0.58564614266575543</v>
      </c>
      <c r="P74" s="273">
        <f>'6-x'!AQ308</f>
        <v>0.67635162099675539</v>
      </c>
      <c r="R74" s="232" t="str">
        <f>'6-x'!AA344</f>
        <v/>
      </c>
      <c r="S74" s="232">
        <f>'6-x'!AB344</f>
        <v>0.88903621359017326</v>
      </c>
      <c r="T74" s="232">
        <f>'6-x'!AC344</f>
        <v>0.989667049368542</v>
      </c>
      <c r="U74" s="232">
        <f>'6-x'!AD344</f>
        <v>0.39572192513368987</v>
      </c>
      <c r="V74" s="232">
        <f>'6-x'!AE344</f>
        <v>0.46938978829389788</v>
      </c>
      <c r="W74" s="232">
        <f>'6-x'!AF344</f>
        <v>0.3907652970208717</v>
      </c>
      <c r="X74" s="273">
        <f>'6-x'!AG344</f>
        <v>0.72003676840600894</v>
      </c>
    </row>
    <row r="75" spans="1:24">
      <c r="A75" s="227" t="s">
        <v>25</v>
      </c>
      <c r="B75" s="232" t="str">
        <f>'6-x'!AK293</f>
        <v/>
      </c>
      <c r="C75" s="232">
        <f>'6-x'!AL293</f>
        <v>0.6574141709276845</v>
      </c>
      <c r="D75" s="232" t="str">
        <f>'6-x'!AM293</f>
        <v/>
      </c>
      <c r="E75" s="232">
        <f>'6-x'!AN293</f>
        <v>0.67911714770797971</v>
      </c>
      <c r="F75" s="232">
        <f>'6-x'!AO293</f>
        <v>0.38668098818474755</v>
      </c>
      <c r="G75" s="232">
        <f>'6-x'!AP293</f>
        <v>0.61027292761484997</v>
      </c>
      <c r="H75" s="273">
        <f>'6-x'!AQ293</f>
        <v>0.65685874030454561</v>
      </c>
      <c r="I75" s="56"/>
      <c r="J75" s="232" t="str">
        <f>'6-x'!AK309</f>
        <v/>
      </c>
      <c r="K75" s="232">
        <f>'6-x'!AL309</f>
        <v>0.76157962726102935</v>
      </c>
      <c r="L75" s="232" t="str">
        <f>'6-x'!AM309</f>
        <v/>
      </c>
      <c r="M75" s="232">
        <f>'6-x'!AN309</f>
        <v>0.82063448994948451</v>
      </c>
      <c r="N75" s="232">
        <f>'6-x'!AO309</f>
        <v>0.70987222309376041</v>
      </c>
      <c r="O75" s="232">
        <f>'6-x'!AP309</f>
        <v>0.72370306684476926</v>
      </c>
      <c r="P75" s="273">
        <f>'6-x'!AQ309</f>
        <v>0.76379541439078003</v>
      </c>
      <c r="R75" s="232" t="str">
        <f>'6-x'!AA345</f>
        <v/>
      </c>
      <c r="S75" s="232">
        <f>'6-x'!AB345</f>
        <v>0.94974019513896824</v>
      </c>
      <c r="T75" s="232" t="str">
        <f>'6-x'!AC345</f>
        <v/>
      </c>
      <c r="U75" s="232">
        <f>'6-x'!AD345</f>
        <v>0.57668285912560724</v>
      </c>
      <c r="V75" s="232">
        <f>'6-x'!AE345</f>
        <v>0.68335273573923161</v>
      </c>
      <c r="W75" s="232">
        <f>'6-x'!AF345</f>
        <v>0.88888888888888884</v>
      </c>
      <c r="X75" s="273">
        <f>'6-x'!AG345</f>
        <v>0.92530479395377074</v>
      </c>
    </row>
    <row r="76" spans="1:24">
      <c r="A76" s="227" t="s">
        <v>26</v>
      </c>
      <c r="B76" s="232" t="str">
        <f>'6-x'!AK294</f>
        <v/>
      </c>
      <c r="C76" s="232">
        <f>'6-x'!AL294</f>
        <v>0.5815831987075929</v>
      </c>
      <c r="D76" s="232">
        <f>'6-x'!AM294</f>
        <v>0.409183905433053</v>
      </c>
      <c r="E76" s="232">
        <f>'6-x'!AN294</f>
        <v>0.54143480222589868</v>
      </c>
      <c r="F76" s="232">
        <f>'6-x'!AO294</f>
        <v>0.63818471902145013</v>
      </c>
      <c r="G76" s="232">
        <f>'6-x'!AP294</f>
        <v>0.46475600309837334</v>
      </c>
      <c r="H76" s="273">
        <f>'6-x'!AQ294</f>
        <v>0.57997847978531702</v>
      </c>
      <c r="I76" s="56"/>
      <c r="J76" s="232" t="str">
        <f>'6-x'!AK310</f>
        <v/>
      </c>
      <c r="K76" s="232">
        <f>'6-x'!AL310</f>
        <v>0.63515371681536259</v>
      </c>
      <c r="L76" s="232">
        <f>'6-x'!AM310</f>
        <v>0.47748677177606841</v>
      </c>
      <c r="M76" s="232">
        <f>'6-x'!AN310</f>
        <v>0.72688309003528151</v>
      </c>
      <c r="N76" s="232">
        <f>'6-x'!AO310</f>
        <v>0.66939145103154707</v>
      </c>
      <c r="O76" s="232">
        <f>'6-x'!AP310</f>
        <v>0.54960377405177196</v>
      </c>
      <c r="P76" s="273">
        <f>'6-x'!AQ310</f>
        <v>0.63706432726513385</v>
      </c>
      <c r="R76" s="232" t="str">
        <f>'6-x'!AA346</f>
        <v/>
      </c>
      <c r="S76" s="232">
        <f>'6-x'!AB346</f>
        <v>0.81924061210633514</v>
      </c>
      <c r="T76" s="232">
        <f>'6-x'!AC346</f>
        <v>0.99194270367054593</v>
      </c>
      <c r="U76" s="232">
        <f>'6-x'!AD346</f>
        <v>0.93888595564941923</v>
      </c>
      <c r="V76" s="232">
        <f>'6-x'!AE346</f>
        <v>0.99117746861214795</v>
      </c>
      <c r="W76" s="232">
        <f>'6-x'!AF346</f>
        <v>0.68456375838926165</v>
      </c>
      <c r="X76" s="273">
        <f>'6-x'!AG346</f>
        <v>0.8442432873129031</v>
      </c>
    </row>
    <row r="77" spans="1:24">
      <c r="A77" s="227" t="s">
        <v>27</v>
      </c>
      <c r="B77" s="232" t="str">
        <f>'6-x'!AK295</f>
        <v/>
      </c>
      <c r="C77" s="232">
        <f>'6-x'!AL295</f>
        <v>0.70963926670609112</v>
      </c>
      <c r="D77" s="232" t="str">
        <f>'6-x'!AM295</f>
        <v/>
      </c>
      <c r="E77" s="232">
        <f>'6-x'!AN295</f>
        <v>0.75487523589851124</v>
      </c>
      <c r="F77" s="232">
        <f>'6-x'!AO295</f>
        <v>0.62948067844028677</v>
      </c>
      <c r="G77" s="232" t="str">
        <f>'6-x'!AP295</f>
        <v/>
      </c>
      <c r="H77" s="273">
        <f>'6-x'!AQ295</f>
        <v>0.67497351612754219</v>
      </c>
      <c r="I77" s="56"/>
      <c r="J77" s="232" t="str">
        <f>'6-x'!AK311</f>
        <v/>
      </c>
      <c r="K77" s="232">
        <f>'6-x'!AL311</f>
        <v>0.84427590027136512</v>
      </c>
      <c r="L77" s="232" t="str">
        <f>'6-x'!AM311</f>
        <v/>
      </c>
      <c r="M77" s="232">
        <f>'6-x'!AN311</f>
        <v>0.87515555229202679</v>
      </c>
      <c r="N77" s="232">
        <f>'6-x'!AO311</f>
        <v>0.78563889864830072</v>
      </c>
      <c r="O77" s="232" t="str">
        <f>'6-x'!AP311</f>
        <v/>
      </c>
      <c r="P77" s="273">
        <f>'6-x'!AQ311</f>
        <v>0.82854988486724068</v>
      </c>
      <c r="R77" s="232" t="str">
        <f>'6-x'!AA347</f>
        <v/>
      </c>
      <c r="S77" s="232">
        <f>'6-x'!AB347</f>
        <v>0.96233545380109597</v>
      </c>
      <c r="T77" s="232" t="str">
        <f>'6-x'!AC347</f>
        <v/>
      </c>
      <c r="U77" s="232">
        <f>'6-x'!AD347</f>
        <v>0.99456627207451975</v>
      </c>
      <c r="V77" s="232">
        <f>'6-x'!AE347</f>
        <v>0.83075958297405339</v>
      </c>
      <c r="W77" s="232" t="str">
        <f>'6-x'!AF347</f>
        <v/>
      </c>
      <c r="X77" s="273">
        <f>'6-x'!AG347</f>
        <v>0.9277609142270159</v>
      </c>
    </row>
    <row r="78" spans="1:24">
      <c r="A78" s="227" t="s">
        <v>28</v>
      </c>
      <c r="B78" s="232" t="str">
        <f>'6-x'!AK296</f>
        <v/>
      </c>
      <c r="C78" s="232">
        <f>'6-x'!AL296</f>
        <v>0.39982230119946693</v>
      </c>
      <c r="D78" s="232">
        <f>'6-x'!AM296</f>
        <v>0.33594624860022393</v>
      </c>
      <c r="E78" s="232">
        <f>'6-x'!AN296</f>
        <v>0.54545454545454541</v>
      </c>
      <c r="F78" s="232">
        <f>'6-x'!AO296</f>
        <v>0.29414167824168641</v>
      </c>
      <c r="G78" s="232">
        <f>'6-x'!AP296</f>
        <v>0.3553099091985788</v>
      </c>
      <c r="H78" s="273">
        <f>'6-x'!AQ296</f>
        <v>0.31670543864857015</v>
      </c>
      <c r="I78" s="56"/>
      <c r="J78" s="232" t="str">
        <f>'6-x'!AK312</f>
        <v/>
      </c>
      <c r="K78" s="232">
        <f>'6-x'!AL312</f>
        <v>0.55344533747176661</v>
      </c>
      <c r="L78" s="232">
        <f>'6-x'!AM312</f>
        <v>0.34403411853273103</v>
      </c>
      <c r="M78" s="232">
        <f>'6-x'!AN312</f>
        <v>0.81934073138418617</v>
      </c>
      <c r="N78" s="232">
        <f>'6-x'!AO312</f>
        <v>0.4411963313631308</v>
      </c>
      <c r="O78" s="232">
        <f>'6-x'!AP312</f>
        <v>0.63055316715769572</v>
      </c>
      <c r="P78" s="273">
        <f>'6-x'!AQ312</f>
        <v>0.466498939961426</v>
      </c>
      <c r="R78" s="232" t="str">
        <f>'6-x'!AA348</f>
        <v/>
      </c>
      <c r="S78" s="232">
        <f>'6-x'!AB348</f>
        <v>0.95319648093841647</v>
      </c>
      <c r="T78" s="232">
        <f>'6-x'!AC348</f>
        <v>1</v>
      </c>
      <c r="U78" s="232">
        <f>'6-x'!AD348</f>
        <v>0.96283730053543981</v>
      </c>
      <c r="V78" s="232">
        <f>'6-x'!AE348</f>
        <v>0.58445193797440342</v>
      </c>
      <c r="W78" s="232">
        <f>'6-x'!AF348</f>
        <v>0.30769230769230771</v>
      </c>
      <c r="X78" s="273">
        <f>'6-x'!AG348</f>
        <v>0.70515212445102926</v>
      </c>
    </row>
    <row r="79" spans="1:24">
      <c r="A79" s="227" t="s">
        <v>353</v>
      </c>
      <c r="B79" s="232" t="str">
        <f>'6-x'!AK297</f>
        <v/>
      </c>
      <c r="C79" s="232">
        <f>'6-x'!AL297</f>
        <v>0.49093140597299884</v>
      </c>
      <c r="D79" s="232" t="str">
        <f>'6-x'!AM297</f>
        <v/>
      </c>
      <c r="E79" s="232" t="str">
        <f>'6-x'!AN297</f>
        <v/>
      </c>
      <c r="F79" s="232" t="str">
        <f>'6-x'!AO297</f>
        <v/>
      </c>
      <c r="G79" s="232" t="str">
        <f>'6-x'!AP297</f>
        <v/>
      </c>
      <c r="H79" s="273">
        <f>'6-x'!AQ297</f>
        <v>0.50893222419200868</v>
      </c>
      <c r="I79" s="56"/>
      <c r="J79" s="232" t="str">
        <f>'6-x'!AK313</f>
        <v/>
      </c>
      <c r="K79" s="232">
        <f>'6-x'!AL313</f>
        <v>0.4299226139576956</v>
      </c>
      <c r="L79" s="232" t="str">
        <f>'6-x'!AM313</f>
        <v/>
      </c>
      <c r="M79" s="232" t="str">
        <f>'6-x'!AN313</f>
        <v/>
      </c>
      <c r="N79" s="232" t="str">
        <f>'6-x'!AO313</f>
        <v/>
      </c>
      <c r="O79" s="232" t="str">
        <f>'6-x'!AP313</f>
        <v/>
      </c>
      <c r="P79" s="273">
        <f>'6-x'!AQ313</f>
        <v>0.43938091146414449</v>
      </c>
      <c r="R79" s="232" t="str">
        <f>'6-x'!AA349</f>
        <v/>
      </c>
      <c r="S79" s="232">
        <f>'6-x'!AB349</f>
        <v>0</v>
      </c>
      <c r="T79" s="232" t="str">
        <f>'6-x'!AC349</f>
        <v/>
      </c>
      <c r="U79" s="232" t="str">
        <f>'6-x'!AD349</f>
        <v/>
      </c>
      <c r="V79" s="232" t="str">
        <f>'6-x'!AE349</f>
        <v/>
      </c>
      <c r="W79" s="232">
        <f>'6-x'!AF349</f>
        <v>0</v>
      </c>
      <c r="X79" s="273">
        <f>'6-x'!AG349</f>
        <v>0</v>
      </c>
    </row>
    <row r="80" spans="1:24">
      <c r="A80" s="322" t="s">
        <v>9</v>
      </c>
      <c r="B80" s="323">
        <f>'6-x'!AK298</f>
        <v>0.35845913918398986</v>
      </c>
      <c r="C80" s="323">
        <f>'6-x'!AL298</f>
        <v>0.56522031612165824</v>
      </c>
      <c r="D80" s="323">
        <f>'6-x'!AM298</f>
        <v>0.3789738507908858</v>
      </c>
      <c r="E80" s="323">
        <f>'6-x'!AN298</f>
        <v>0.42898257623080316</v>
      </c>
      <c r="F80" s="323">
        <f>'6-x'!AO298</f>
        <v>0.36689924370564569</v>
      </c>
      <c r="G80" s="323">
        <f>'6-x'!AP298</f>
        <v>0.4411167240349626</v>
      </c>
      <c r="H80" s="323">
        <f>'6-x'!AQ298</f>
        <v>0.50828422055253608</v>
      </c>
      <c r="I80" s="56"/>
      <c r="J80" s="323">
        <f>'6-x'!AK314</f>
        <v>0.35845913918398981</v>
      </c>
      <c r="K80" s="323">
        <f>'6-x'!AL314</f>
        <v>0.61518943206973475</v>
      </c>
      <c r="L80" s="323">
        <f>'6-x'!AM314</f>
        <v>0.42561692926916211</v>
      </c>
      <c r="M80" s="323">
        <f>'6-x'!AN314</f>
        <v>0.60520542936673882</v>
      </c>
      <c r="N80" s="323">
        <f>'6-x'!AO314</f>
        <v>0.45489720624694224</v>
      </c>
      <c r="O80" s="323">
        <f>'6-x'!AP314</f>
        <v>0.51795845297599208</v>
      </c>
      <c r="P80" s="323">
        <f>'6-x'!AQ314</f>
        <v>0.5650663728970059</v>
      </c>
    </row>
    <row r="81" spans="1:20" ht="15.5">
      <c r="A81" s="47"/>
    </row>
    <row r="82" spans="1:20" ht="15.5">
      <c r="A82" s="47"/>
    </row>
    <row r="83" spans="1:20">
      <c r="B83" s="1104" t="s">
        <v>10</v>
      </c>
      <c r="C83" s="1104"/>
      <c r="D83" s="1104"/>
      <c r="E83" s="1104"/>
      <c r="F83" s="1104"/>
      <c r="G83" s="1104"/>
      <c r="H83" s="1104"/>
      <c r="J83" s="1104" t="s">
        <v>10</v>
      </c>
      <c r="K83" s="1104"/>
      <c r="L83" s="1104"/>
      <c r="M83" s="1104"/>
      <c r="N83" s="1104"/>
      <c r="O83" s="1104"/>
      <c r="P83" s="1104"/>
    </row>
    <row r="84" spans="1:20" ht="29">
      <c r="B84" s="251" t="s">
        <v>5</v>
      </c>
      <c r="C84" s="251" t="s">
        <v>63</v>
      </c>
      <c r="D84" s="251" t="s">
        <v>7</v>
      </c>
      <c r="E84" s="251" t="s">
        <v>8</v>
      </c>
      <c r="F84" s="251" t="s">
        <v>243</v>
      </c>
      <c r="G84" s="251" t="s">
        <v>244</v>
      </c>
      <c r="H84" s="251" t="s">
        <v>9</v>
      </c>
      <c r="J84" s="251" t="s">
        <v>5</v>
      </c>
      <c r="K84" s="251" t="s">
        <v>63</v>
      </c>
      <c r="L84" s="251" t="s">
        <v>7</v>
      </c>
      <c r="M84" s="251" t="s">
        <v>8</v>
      </c>
      <c r="N84" s="251" t="s">
        <v>243</v>
      </c>
      <c r="O84" s="251" t="s">
        <v>244</v>
      </c>
      <c r="P84" s="251" t="s">
        <v>9</v>
      </c>
    </row>
    <row r="85" spans="1:20">
      <c r="A85" s="253">
        <v>2020</v>
      </c>
      <c r="B85" s="1106" t="s">
        <v>345</v>
      </c>
      <c r="C85" s="1107"/>
      <c r="D85" s="1107"/>
      <c r="E85" s="1107"/>
      <c r="F85" s="1107"/>
      <c r="G85" s="1107"/>
      <c r="H85" s="1108"/>
      <c r="J85" s="1106" t="s">
        <v>344</v>
      </c>
      <c r="K85" s="1107"/>
      <c r="L85" s="1107"/>
      <c r="M85" s="1107"/>
      <c r="N85" s="1107"/>
      <c r="O85" s="1107"/>
      <c r="P85" s="1108"/>
    </row>
    <row r="86" spans="1:20">
      <c r="A86" s="228" t="s">
        <v>262</v>
      </c>
      <c r="B86" s="273">
        <f>'6-x'!AK376</f>
        <v>0.3638936621853836</v>
      </c>
      <c r="C86" s="273">
        <f>'6-x'!AL376</f>
        <v>0.52807104995971044</v>
      </c>
      <c r="D86" s="273">
        <f>'6-x'!AM376</f>
        <v>0.37946663855802676</v>
      </c>
      <c r="E86" s="273">
        <f>'6-x'!AN376</f>
        <v>0.33449637008434002</v>
      </c>
      <c r="F86" s="273">
        <f>'6-x'!AO376</f>
        <v>0.32057548701714178</v>
      </c>
      <c r="G86" s="273">
        <f>'6-x'!AP376</f>
        <v>0.36854913567623421</v>
      </c>
      <c r="H86" s="273">
        <f>'6-x'!AQ376</f>
        <v>0.45676580397457756</v>
      </c>
      <c r="I86" s="56"/>
      <c r="T86" s="545"/>
    </row>
    <row r="87" spans="1:20">
      <c r="A87" s="227" t="s">
        <v>17</v>
      </c>
      <c r="B87" s="232" t="str">
        <f>'6-x'!AK377</f>
        <v/>
      </c>
      <c r="C87" s="232">
        <f>'6-x'!AL377</f>
        <v>0.35022862146123168</v>
      </c>
      <c r="D87" s="232">
        <f>'6-x'!AM377</f>
        <v>0.37946663855802676</v>
      </c>
      <c r="E87" s="232">
        <f>'6-x'!AN377</f>
        <v>0.37894736842105264</v>
      </c>
      <c r="F87" s="232">
        <f>'6-x'!AO377</f>
        <v>0.41488993891898124</v>
      </c>
      <c r="G87" s="232">
        <f>'6-x'!AP377</f>
        <v>0.36836181315870259</v>
      </c>
      <c r="H87" s="273">
        <f>'6-x'!AQ377</f>
        <v>0.38082108460351299</v>
      </c>
      <c r="I87" s="56"/>
    </row>
    <row r="88" spans="1:20">
      <c r="A88" s="227" t="s">
        <v>18</v>
      </c>
      <c r="B88" s="232" t="str">
        <f>'6-x'!AK378</f>
        <v/>
      </c>
      <c r="C88" s="232">
        <f>'6-x'!AL378</f>
        <v>0.48886474741988062</v>
      </c>
      <c r="D88" s="232" t="str">
        <f>'6-x'!AM378</f>
        <v/>
      </c>
      <c r="E88" s="232">
        <f>'6-x'!AN378</f>
        <v>0.23311532733277213</v>
      </c>
      <c r="F88" s="232">
        <f>'6-x'!AO378</f>
        <v>0.268897520167314</v>
      </c>
      <c r="G88" s="232">
        <f>'6-x'!AP378</f>
        <v>0.31985784095957354</v>
      </c>
      <c r="H88" s="273">
        <f>'6-x'!AQ378</f>
        <v>0.48261138138219112</v>
      </c>
      <c r="I88" s="56"/>
    </row>
    <row r="89" spans="1:20">
      <c r="A89" s="227" t="s">
        <v>19</v>
      </c>
      <c r="B89" s="232">
        <f>'6-x'!AK379</f>
        <v>0.3638936621853836</v>
      </c>
      <c r="C89" s="232">
        <f>'6-x'!AL379</f>
        <v>0.36337942868678713</v>
      </c>
      <c r="D89" s="232" t="str">
        <f>'6-x'!AM379</f>
        <v/>
      </c>
      <c r="E89" s="232">
        <f>'6-x'!AN379</f>
        <v>0.32688640697357663</v>
      </c>
      <c r="F89" s="232">
        <f>'6-x'!AO379</f>
        <v>0.26686434395848779</v>
      </c>
      <c r="G89" s="232">
        <f>'6-x'!AP379</f>
        <v>0.39805395842547542</v>
      </c>
      <c r="H89" s="273">
        <f>'6-x'!AQ379</f>
        <v>0.33497450251424421</v>
      </c>
      <c r="I89" s="56"/>
    </row>
    <row r="90" spans="1:20">
      <c r="A90" s="227" t="s">
        <v>20</v>
      </c>
      <c r="B90" s="232" t="str">
        <f>'6-x'!AK380</f>
        <v/>
      </c>
      <c r="C90" s="232">
        <f>'6-x'!AL380</f>
        <v>0.53215077605321504</v>
      </c>
      <c r="D90" s="232" t="str">
        <f>'6-x'!AM380</f>
        <v/>
      </c>
      <c r="E90" s="232">
        <f>'6-x'!AN380</f>
        <v>0.44015160777601176</v>
      </c>
      <c r="F90" s="232">
        <f>'6-x'!AO380</f>
        <v>0.46978989951716033</v>
      </c>
      <c r="G90" s="232">
        <f>'6-x'!AP380</f>
        <v>0.40017785682525564</v>
      </c>
      <c r="H90" s="273">
        <f>'6-x'!AQ380</f>
        <v>0.53000236657134003</v>
      </c>
      <c r="I90" s="56"/>
    </row>
    <row r="91" spans="1:20">
      <c r="A91" s="227" t="s">
        <v>22</v>
      </c>
      <c r="B91" s="232" t="str">
        <f>'6-x'!AK381</f>
        <v/>
      </c>
      <c r="C91" s="232" t="str">
        <f>'6-x'!AL381</f>
        <v/>
      </c>
      <c r="D91" s="232" t="str">
        <f>'6-x'!AM381</f>
        <v/>
      </c>
      <c r="E91" s="232" t="str">
        <f>'6-x'!AN381</f>
        <v/>
      </c>
      <c r="F91" s="232" t="str">
        <f>'6-x'!AO381</f>
        <v/>
      </c>
      <c r="G91" s="232" t="str">
        <f>'6-x'!AP381</f>
        <v/>
      </c>
      <c r="H91" s="273" t="str">
        <f>'6-x'!AQ381</f>
        <v/>
      </c>
      <c r="I91" s="56"/>
    </row>
    <row r="92" spans="1:20">
      <c r="A92" s="227" t="s">
        <v>350</v>
      </c>
      <c r="B92" s="232" t="str">
        <f>'6-x'!AK382</f>
        <v/>
      </c>
      <c r="C92" s="232" t="str">
        <f>'6-x'!AL382</f>
        <v/>
      </c>
      <c r="D92" s="232" t="str">
        <f>'6-x'!AM382</f>
        <v/>
      </c>
      <c r="E92" s="232" t="str">
        <f>'6-x'!AN382</f>
        <v/>
      </c>
      <c r="F92" s="232" t="str">
        <f>'6-x'!AO382</f>
        <v/>
      </c>
      <c r="G92" s="232" t="str">
        <f>'6-x'!AP382</f>
        <v/>
      </c>
      <c r="H92" s="273" t="str">
        <f>'6-x'!AQ382</f>
        <v/>
      </c>
      <c r="I92" s="56"/>
    </row>
    <row r="93" spans="1:20">
      <c r="A93" s="228" t="s">
        <v>263</v>
      </c>
      <c r="B93" s="273">
        <f>'6-x'!AK383</f>
        <v>0.81903563258745982</v>
      </c>
      <c r="C93" s="273">
        <f>'6-x'!AL383</f>
        <v>0.58696905306942204</v>
      </c>
      <c r="D93" s="273">
        <f>'6-x'!AM383</f>
        <v>0.42508528480136704</v>
      </c>
      <c r="E93" s="273">
        <f>'6-x'!AN383</f>
        <v>0.60159460396568898</v>
      </c>
      <c r="F93" s="273">
        <f>'6-x'!AO383</f>
        <v>0.44142449569344594</v>
      </c>
      <c r="G93" s="273">
        <f>'6-x'!AP383</f>
        <v>0.48948237510109993</v>
      </c>
      <c r="H93" s="273">
        <f>'6-x'!AQ383</f>
        <v>0.55364569944741859</v>
      </c>
      <c r="I93" s="56"/>
      <c r="J93" s="273">
        <f>'6-x'!AK399</f>
        <v>0.87991160371620925</v>
      </c>
      <c r="K93" s="273">
        <f>'6-x'!AL399</f>
        <v>0.66113864450125281</v>
      </c>
      <c r="L93" s="273">
        <f>'6-x'!AM399</f>
        <v>0.51521711453109542</v>
      </c>
      <c r="M93" s="273">
        <f>'6-x'!AN399</f>
        <v>0.78484319920089973</v>
      </c>
      <c r="N93" s="273">
        <f>'6-x'!AO399</f>
        <v>0.57745003865470146</v>
      </c>
      <c r="O93" s="273">
        <f>'6-x'!AP399</f>
        <v>0.58718597550375307</v>
      </c>
      <c r="P93" s="273">
        <f>'6-x'!AQ399</f>
        <v>0.64389183397955718</v>
      </c>
      <c r="R93" s="545"/>
      <c r="T93" s="545"/>
    </row>
    <row r="94" spans="1:20">
      <c r="A94" s="227" t="s">
        <v>24</v>
      </c>
      <c r="B94" s="232" t="str">
        <f>'6-x'!AK384</f>
        <v/>
      </c>
      <c r="C94" s="232">
        <f>'6-x'!AL384</f>
        <v>0.61276595744680851</v>
      </c>
      <c r="D94" s="232">
        <f>'6-x'!AM384</f>
        <v>0.53819703991628054</v>
      </c>
      <c r="E94" s="232">
        <f>'6-x'!AN384</f>
        <v>0.58148925860119527</v>
      </c>
      <c r="F94" s="232">
        <f>'6-x'!AO384</f>
        <v>0.48205677557579008</v>
      </c>
      <c r="G94" s="232">
        <f>'6-x'!AP384</f>
        <v>0.48959608323133413</v>
      </c>
      <c r="H94" s="273">
        <f>'6-x'!AQ384</f>
        <v>0.55403563615582563</v>
      </c>
      <c r="I94" s="56"/>
      <c r="J94" s="232" t="str">
        <f>'6-x'!AK400</f>
        <v/>
      </c>
      <c r="K94" s="232">
        <f>'6-x'!AL400</f>
        <v>0.70713197560190011</v>
      </c>
      <c r="L94" s="232">
        <f>'6-x'!AM400</f>
        <v>0.64545809385889485</v>
      </c>
      <c r="M94" s="232">
        <f>'6-x'!AN400</f>
        <v>0.73574897363544989</v>
      </c>
      <c r="N94" s="232">
        <f>'6-x'!AO400</f>
        <v>0.6377265253202542</v>
      </c>
      <c r="O94" s="232">
        <f>'6-x'!AP400</f>
        <v>0.58730573855057555</v>
      </c>
      <c r="P94" s="273">
        <f>'6-x'!AQ400</f>
        <v>0.66042129920170833</v>
      </c>
      <c r="R94" s="545"/>
    </row>
    <row r="95" spans="1:20">
      <c r="A95" s="227" t="s">
        <v>25</v>
      </c>
      <c r="B95" s="232" t="str">
        <f>'6-x'!AK385</f>
        <v/>
      </c>
      <c r="C95" s="232">
        <f>'6-x'!AL385</f>
        <v>0.60504201680672265</v>
      </c>
      <c r="D95" s="232" t="str">
        <f>'6-x'!AM385</f>
        <v/>
      </c>
      <c r="E95" s="232">
        <f>'6-x'!AN385</f>
        <v>0.6953834266949972</v>
      </c>
      <c r="F95" s="232">
        <f>'6-x'!AO385</f>
        <v>0.38801465833153698</v>
      </c>
      <c r="G95" s="232">
        <f>'6-x'!AP385</f>
        <v>0.53105177754831101</v>
      </c>
      <c r="H95" s="273">
        <f>'6-x'!AQ385</f>
        <v>0.61059467979972815</v>
      </c>
      <c r="I95" s="56"/>
      <c r="J95" s="232" t="str">
        <f>'6-x'!AK401</f>
        <v/>
      </c>
      <c r="K95" s="232">
        <f>'6-x'!AL401</f>
        <v>0.74784464817561536</v>
      </c>
      <c r="L95" s="232" t="str">
        <f>'6-x'!AM401</f>
        <v/>
      </c>
      <c r="M95" s="232">
        <f>'6-x'!AN401</f>
        <v>0.81934425003784417</v>
      </c>
      <c r="N95" s="232">
        <f>'6-x'!AO401</f>
        <v>0.72052105450950799</v>
      </c>
      <c r="O95" s="232">
        <f>'6-x'!AP401</f>
        <v>0.61845801089137276</v>
      </c>
      <c r="P95" s="273">
        <f>'6-x'!AQ401</f>
        <v>0.7545839220549474</v>
      </c>
      <c r="R95" s="545"/>
    </row>
    <row r="96" spans="1:20">
      <c r="A96" s="227" t="s">
        <v>26</v>
      </c>
      <c r="B96" s="232" t="str">
        <f>'6-x'!AK386</f>
        <v/>
      </c>
      <c r="C96" s="232">
        <f>'6-x'!AL386</f>
        <v>0.5844155844155845</v>
      </c>
      <c r="D96" s="232">
        <f>'6-x'!AM386</f>
        <v>0.44198895027624313</v>
      </c>
      <c r="E96" s="232">
        <f>'6-x'!AN386</f>
        <v>0.55529847292919943</v>
      </c>
      <c r="F96" s="232">
        <f>'6-x'!AO386</f>
        <v>0.59751037344398339</v>
      </c>
      <c r="G96" s="232">
        <f>'6-x'!AP386</f>
        <v>0.46674445740956833</v>
      </c>
      <c r="H96" s="273">
        <f>'6-x'!AQ386</f>
        <v>0.58251144479484218</v>
      </c>
      <c r="I96" s="56"/>
      <c r="J96" s="232" t="str">
        <f>'6-x'!AK402</f>
        <v/>
      </c>
      <c r="K96" s="232">
        <f>'6-x'!AL402</f>
        <v>0.64075455083463773</v>
      </c>
      <c r="L96" s="232">
        <f>'6-x'!AM402</f>
        <v>0.53025568220556729</v>
      </c>
      <c r="M96" s="232">
        <f>'6-x'!AN402</f>
        <v>0.74325013871699497</v>
      </c>
      <c r="N96" s="232">
        <f>'6-x'!AO402</f>
        <v>0.64143723578770362</v>
      </c>
      <c r="O96" s="232">
        <f>'6-x'!AP402</f>
        <v>0.56106287964940504</v>
      </c>
      <c r="P96" s="273">
        <f>'6-x'!AQ402</f>
        <v>0.64247638845091237</v>
      </c>
      <c r="R96" s="545"/>
    </row>
    <row r="97" spans="1:20">
      <c r="A97" s="227" t="s">
        <v>27</v>
      </c>
      <c r="B97" s="232" t="str">
        <f>'6-x'!AK387</f>
        <v/>
      </c>
      <c r="C97" s="232">
        <f>'6-x'!AL387</f>
        <v>0.73007503548975861</v>
      </c>
      <c r="D97" s="232" t="str">
        <f>'6-x'!AM387</f>
        <v/>
      </c>
      <c r="E97" s="232">
        <f>'6-x'!AN387</f>
        <v>0.68899521531100483</v>
      </c>
      <c r="F97" s="232">
        <f>'6-x'!AO387</f>
        <v>0.60483870967741937</v>
      </c>
      <c r="G97" s="232" t="str">
        <f>'6-x'!AP387</f>
        <v/>
      </c>
      <c r="H97" s="273">
        <f>'6-x'!AQ387</f>
        <v>0.66050210300908729</v>
      </c>
      <c r="I97" s="56"/>
      <c r="J97" s="232" t="str">
        <f>'6-x'!AK403</f>
        <v/>
      </c>
      <c r="K97" s="232">
        <f>'6-x'!AL403</f>
        <v>0.85153725359738275</v>
      </c>
      <c r="L97" s="232" t="str">
        <f>'6-x'!AM403</f>
        <v/>
      </c>
      <c r="M97" s="232">
        <f>'6-x'!AN403</f>
        <v>0.84771197543544408</v>
      </c>
      <c r="N97" s="232">
        <f>'6-x'!AO403</f>
        <v>0.76991767135122324</v>
      </c>
      <c r="O97" s="232">
        <f>'6-x'!AP403</f>
        <v>0.18598452278589853</v>
      </c>
      <c r="P97" s="273">
        <f>'6-x'!AQ403</f>
        <v>0.81774970158679017</v>
      </c>
      <c r="R97" s="545"/>
    </row>
    <row r="98" spans="1:20">
      <c r="A98" s="227" t="s">
        <v>28</v>
      </c>
      <c r="B98" s="232">
        <f>'6-x'!AK388</f>
        <v>0.81892629663330307</v>
      </c>
      <c r="C98" s="232">
        <f>'6-x'!AL388</f>
        <v>0.4062746868299289</v>
      </c>
      <c r="D98" s="232">
        <f>'6-x'!AM388</f>
        <v>0.38572806171648988</v>
      </c>
      <c r="E98" s="232">
        <f>'6-x'!AN388</f>
        <v>0.73364581210515589</v>
      </c>
      <c r="F98" s="232">
        <f>'6-x'!AO388</f>
        <v>0.29313573813207394</v>
      </c>
      <c r="G98" s="232">
        <f>'6-x'!AP388</f>
        <v>0.30753459764223479</v>
      </c>
      <c r="H98" s="273">
        <f>'6-x'!AQ388</f>
        <v>0.32434142812629291</v>
      </c>
      <c r="I98" s="56"/>
      <c r="J98" s="232">
        <f>'6-x'!AK404</f>
        <v>0.87988538892267698</v>
      </c>
      <c r="K98" s="232">
        <f>'6-x'!AL404</f>
        <v>0.55581433476404962</v>
      </c>
      <c r="L98" s="232">
        <f>'6-x'!AM404</f>
        <v>0.47126580017529213</v>
      </c>
      <c r="M98" s="232">
        <f>'6-x'!AN404</f>
        <v>0.86982133271259798</v>
      </c>
      <c r="N98" s="232">
        <f>'6-x'!AO404</f>
        <v>0.49024760441148574</v>
      </c>
      <c r="O98" s="232">
        <f>'6-x'!AP404</f>
        <v>0.48645743766122101</v>
      </c>
      <c r="P98" s="273">
        <f>'6-x'!AQ404</f>
        <v>0.51966295686348529</v>
      </c>
      <c r="R98" s="545"/>
    </row>
    <row r="99" spans="1:20">
      <c r="A99" s="227" t="s">
        <v>353</v>
      </c>
      <c r="B99" s="232" t="str">
        <f>'6-x'!AK389</f>
        <v/>
      </c>
      <c r="C99" s="232" t="str">
        <f>'6-x'!AL389</f>
        <v/>
      </c>
      <c r="D99" s="232" t="str">
        <f>'6-x'!AM389</f>
        <v/>
      </c>
      <c r="E99" s="232" t="str">
        <f>'6-x'!AN389</f>
        <v/>
      </c>
      <c r="F99" s="232" t="str">
        <f>'6-x'!AO389</f>
        <v/>
      </c>
      <c r="G99" s="232" t="str">
        <f>'6-x'!AP389</f>
        <v/>
      </c>
      <c r="H99" s="273" t="str">
        <f>'6-x'!AQ389</f>
        <v/>
      </c>
      <c r="I99" s="56"/>
      <c r="J99" s="232" t="str">
        <f>'6-x'!AK405</f>
        <v/>
      </c>
      <c r="K99" s="232">
        <f>'6-x'!AL405</f>
        <v>0.25795356835769556</v>
      </c>
      <c r="L99" s="232" t="str">
        <f>'6-x'!AM405</f>
        <v/>
      </c>
      <c r="M99" s="232" t="str">
        <f>'6-x'!AN405</f>
        <v/>
      </c>
      <c r="N99" s="232" t="str">
        <f>'6-x'!AO405</f>
        <v/>
      </c>
      <c r="O99" s="232" t="str">
        <f>'6-x'!AP405</f>
        <v/>
      </c>
      <c r="P99" s="273">
        <f>'6-x'!AQ405</f>
        <v>0.34393809114359414</v>
      </c>
      <c r="R99" s="545"/>
    </row>
    <row r="100" spans="1:20">
      <c r="A100" s="322" t="s">
        <v>9</v>
      </c>
      <c r="B100" s="323">
        <f>'6-x'!AK390</f>
        <v>0.36502938278123259</v>
      </c>
      <c r="C100" s="323">
        <f>'6-x'!AL390</f>
        <v>0.56081755607601236</v>
      </c>
      <c r="D100" s="323">
        <f>'6-x'!AM390</f>
        <v>0.42424957491064463</v>
      </c>
      <c r="E100" s="323">
        <f>'6-x'!AN390</f>
        <v>0.47580123746107061</v>
      </c>
      <c r="F100" s="323">
        <f>'6-x'!AO390</f>
        <v>0.3895786303186537</v>
      </c>
      <c r="G100" s="323">
        <f>'6-x'!AP390</f>
        <v>0.44046136499920246</v>
      </c>
      <c r="H100" s="323">
        <f>'6-x'!AQ390</f>
        <v>0.50735763905773312</v>
      </c>
      <c r="I100" s="56"/>
      <c r="J100" s="323">
        <f>'6-x'!AK406</f>
        <v>0.36922189671573852</v>
      </c>
      <c r="K100" s="323">
        <f>'6-x'!AL406</f>
        <v>0.61095232135927002</v>
      </c>
      <c r="L100" s="323">
        <f>'6-x'!AM406</f>
        <v>0.51319552395034929</v>
      </c>
      <c r="M100" s="323">
        <f>'6-x'!AN406</f>
        <v>0.66977016056838745</v>
      </c>
      <c r="N100" s="323">
        <f>'6-x'!AO406</f>
        <v>0.49029691183370061</v>
      </c>
      <c r="O100" s="323">
        <f>'6-x'!AP406</f>
        <v>0.51274731792560246</v>
      </c>
      <c r="P100" s="323">
        <f>'6-x'!AQ406</f>
        <v>0.5674396838936645</v>
      </c>
      <c r="R100" s="545"/>
      <c r="T100" s="545"/>
    </row>
    <row r="101" spans="1:20" ht="15.5">
      <c r="A101" s="47"/>
    </row>
    <row r="102" spans="1:20" ht="15.5">
      <c r="A102" s="47"/>
    </row>
    <row r="103" spans="1:20">
      <c r="B103" s="1104" t="s">
        <v>10</v>
      </c>
      <c r="C103" s="1104"/>
      <c r="D103" s="1104"/>
      <c r="E103" s="1104"/>
      <c r="F103" s="1104"/>
      <c r="G103" s="1104"/>
      <c r="H103" s="1104"/>
      <c r="J103" s="1104" t="s">
        <v>10</v>
      </c>
      <c r="K103" s="1104"/>
      <c r="L103" s="1104"/>
      <c r="M103" s="1104"/>
      <c r="N103" s="1104"/>
      <c r="O103" s="1104"/>
      <c r="P103" s="1104"/>
    </row>
    <row r="104" spans="1:20" ht="29">
      <c r="B104" s="251" t="s">
        <v>5</v>
      </c>
      <c r="C104" s="251" t="s">
        <v>63</v>
      </c>
      <c r="D104" s="251" t="s">
        <v>7</v>
      </c>
      <c r="E104" s="251" t="s">
        <v>8</v>
      </c>
      <c r="F104" s="251" t="s">
        <v>243</v>
      </c>
      <c r="G104" s="251" t="s">
        <v>244</v>
      </c>
      <c r="H104" s="251" t="s">
        <v>9</v>
      </c>
      <c r="J104" s="251" t="s">
        <v>5</v>
      </c>
      <c r="K104" s="251" t="s">
        <v>63</v>
      </c>
      <c r="L104" s="251" t="s">
        <v>7</v>
      </c>
      <c r="M104" s="251" t="s">
        <v>8</v>
      </c>
      <c r="N104" s="251" t="s">
        <v>243</v>
      </c>
      <c r="O104" s="251" t="s">
        <v>244</v>
      </c>
      <c r="P104" s="251" t="s">
        <v>9</v>
      </c>
    </row>
    <row r="105" spans="1:20">
      <c r="A105" s="253">
        <v>2019</v>
      </c>
      <c r="B105" s="1106" t="s">
        <v>345</v>
      </c>
      <c r="C105" s="1107"/>
      <c r="D105" s="1107"/>
      <c r="E105" s="1107"/>
      <c r="F105" s="1107"/>
      <c r="G105" s="1107"/>
      <c r="H105" s="1108"/>
      <c r="J105" s="1106" t="s">
        <v>344</v>
      </c>
      <c r="K105" s="1107"/>
      <c r="L105" s="1107"/>
      <c r="M105" s="1107"/>
      <c r="N105" s="1107"/>
      <c r="O105" s="1107"/>
      <c r="P105" s="1108"/>
    </row>
    <row r="106" spans="1:20">
      <c r="A106" s="228" t="s">
        <v>262</v>
      </c>
      <c r="B106" s="273">
        <f>'6-x'!AK468</f>
        <v>0.37590059517594238</v>
      </c>
      <c r="C106" s="273">
        <f>'6-x'!AL468</f>
        <v>0.53150074367206124</v>
      </c>
      <c r="D106" s="273">
        <f>'6-x'!AM468</f>
        <v>0.4005786135529098</v>
      </c>
      <c r="E106" s="273">
        <f>'6-x'!AN468</f>
        <v>0.33656086253415235</v>
      </c>
      <c r="F106" s="273">
        <f>'6-x'!AO468</f>
        <v>0.31567771404166367</v>
      </c>
      <c r="G106" s="273">
        <f>'6-x'!AP468</f>
        <v>0.36341288029775237</v>
      </c>
      <c r="H106" s="273">
        <f>'6-x'!AQ468</f>
        <v>0.4548843193502361</v>
      </c>
      <c r="I106" s="56"/>
      <c r="Q106" s="56"/>
      <c r="T106" s="545"/>
    </row>
    <row r="107" spans="1:20">
      <c r="A107" s="227" t="s">
        <v>17</v>
      </c>
      <c r="B107" s="232" t="str">
        <f>'6-x'!AK469</f>
        <v/>
      </c>
      <c r="C107" s="232">
        <f>'6-x'!AL469</f>
        <v>0.35566093657379971</v>
      </c>
      <c r="D107" s="232">
        <f>'6-x'!AM469</f>
        <v>0.4005786135529098</v>
      </c>
      <c r="E107" s="232">
        <f>'6-x'!AN469</f>
        <v>0.37990713381173491</v>
      </c>
      <c r="F107" s="232">
        <f>'6-x'!AO469</f>
        <v>0.41570438799076215</v>
      </c>
      <c r="G107" s="232">
        <f>'6-x'!AP469</f>
        <v>0.36389366218538355</v>
      </c>
      <c r="H107" s="273">
        <f>'6-x'!AQ469</f>
        <v>0.37827943441877249</v>
      </c>
      <c r="I107" s="56"/>
      <c r="Q107" s="56"/>
    </row>
    <row r="108" spans="1:20">
      <c r="A108" s="227" t="s">
        <v>18</v>
      </c>
      <c r="B108" s="232" t="str">
        <f>'6-x'!AK470</f>
        <v/>
      </c>
      <c r="C108" s="232">
        <f>'6-x'!AL470</f>
        <v>0.48966267682263337</v>
      </c>
      <c r="D108" s="232" t="str">
        <f>'6-x'!AM470</f>
        <v/>
      </c>
      <c r="E108" s="232">
        <f>'6-x'!AN470</f>
        <v>0.22771838825985202</v>
      </c>
      <c r="F108" s="232">
        <f>'6-x'!AO470</f>
        <v>0.27451578465761778</v>
      </c>
      <c r="G108" s="232">
        <f>'6-x'!AP470</f>
        <v>0.31816173221387545</v>
      </c>
      <c r="H108" s="273">
        <f>'6-x'!AQ470</f>
        <v>0.47482662939353737</v>
      </c>
      <c r="I108" s="56"/>
      <c r="Q108" s="56"/>
    </row>
    <row r="109" spans="1:20">
      <c r="A109" s="227" t="s">
        <v>19</v>
      </c>
      <c r="B109" s="232">
        <f>'6-x'!AK471</f>
        <v>0.37590059517594238</v>
      </c>
      <c r="C109" s="232">
        <f>'6-x'!AL471</f>
        <v>0.38030847242763577</v>
      </c>
      <c r="D109" s="232" t="str">
        <f>'6-x'!AM471</f>
        <v/>
      </c>
      <c r="E109" s="232">
        <f>'6-x'!AN471</f>
        <v>0.33060887133804762</v>
      </c>
      <c r="F109" s="232">
        <f>'6-x'!AO471</f>
        <v>0.26083176351253445</v>
      </c>
      <c r="G109" s="232">
        <f>'6-x'!AP471</f>
        <v>0.3974826101358066</v>
      </c>
      <c r="H109" s="273">
        <f>'6-x'!AQ471</f>
        <v>0.34742862861427704</v>
      </c>
      <c r="I109" s="56"/>
      <c r="Q109" s="56"/>
    </row>
    <row r="110" spans="1:20">
      <c r="A110" s="227" t="s">
        <v>20</v>
      </c>
      <c r="B110" s="232" t="str">
        <f>'6-x'!AK472</f>
        <v/>
      </c>
      <c r="C110" s="232">
        <f>'6-x'!AL472</f>
        <v>0.53460053460053458</v>
      </c>
      <c r="D110" s="232" t="str">
        <f>'6-x'!AM472</f>
        <v/>
      </c>
      <c r="E110" s="232">
        <f>'6-x'!AN472</f>
        <v>0.43966780654616511</v>
      </c>
      <c r="F110" s="232">
        <f>'6-x'!AO472</f>
        <v>0.46662346079066758</v>
      </c>
      <c r="G110" s="232">
        <f>'6-x'!AP472</f>
        <v>0.40022234574763765</v>
      </c>
      <c r="H110" s="273">
        <f>'6-x'!AQ472</f>
        <v>0.53230552880865201</v>
      </c>
      <c r="I110" s="56"/>
      <c r="Q110" s="56"/>
    </row>
    <row r="111" spans="1:20">
      <c r="A111" s="227" t="s">
        <v>22</v>
      </c>
      <c r="B111" s="232" t="str">
        <f>'6-x'!AK473</f>
        <v/>
      </c>
      <c r="C111" s="232" t="str">
        <f>'6-x'!AL473</f>
        <v/>
      </c>
      <c r="D111" s="232" t="str">
        <f>'6-x'!AM473</f>
        <v/>
      </c>
      <c r="E111" s="232" t="str">
        <f>'6-x'!AN473</f>
        <v/>
      </c>
      <c r="F111" s="232" t="str">
        <f>'6-x'!AO473</f>
        <v/>
      </c>
      <c r="G111" s="232" t="str">
        <f>'6-x'!AP473</f>
        <v/>
      </c>
      <c r="H111" s="273" t="str">
        <f>'6-x'!AQ473</f>
        <v/>
      </c>
      <c r="I111" s="56"/>
      <c r="Q111" s="56"/>
    </row>
    <row r="112" spans="1:20">
      <c r="A112" s="227" t="s">
        <v>350</v>
      </c>
      <c r="B112" s="232" t="str">
        <f>'6-x'!AK474</f>
        <v/>
      </c>
      <c r="C112" s="232" t="str">
        <f>'6-x'!AL474</f>
        <v/>
      </c>
      <c r="D112" s="232" t="str">
        <f>'6-x'!AM474</f>
        <v/>
      </c>
      <c r="E112" s="232" t="str">
        <f>'6-x'!AN474</f>
        <v/>
      </c>
      <c r="F112" s="232" t="str">
        <f>'6-x'!AO474</f>
        <v/>
      </c>
      <c r="G112" s="232" t="str">
        <f>'6-x'!AP474</f>
        <v/>
      </c>
      <c r="H112" s="273" t="str">
        <f>'6-x'!AQ474</f>
        <v/>
      </c>
      <c r="I112" s="56"/>
      <c r="Q112" s="56"/>
    </row>
    <row r="113" spans="1:20">
      <c r="A113" s="228" t="s">
        <v>263</v>
      </c>
      <c r="B113" s="273">
        <f>'6-x'!AK475</f>
        <v>0.81020360768923683</v>
      </c>
      <c r="C113" s="273">
        <f>'6-x'!AL475</f>
        <v>0.58627504174390355</v>
      </c>
      <c r="D113" s="273">
        <f>'6-x'!AM475</f>
        <v>0.43075032690925946</v>
      </c>
      <c r="E113" s="273">
        <f>'6-x'!AN475</f>
        <v>0.57784829675368732</v>
      </c>
      <c r="F113" s="273">
        <f>'6-x'!AO475</f>
        <v>0.43654604525157109</v>
      </c>
      <c r="G113" s="273">
        <f>'6-x'!AP475</f>
        <v>0.48988695579779284</v>
      </c>
      <c r="H113" s="273">
        <f>'6-x'!AQ475</f>
        <v>0.55326575775783293</v>
      </c>
      <c r="I113" s="56"/>
      <c r="J113" s="273">
        <f>'6-x'!AK491</f>
        <v>0.8716265470997564</v>
      </c>
      <c r="K113" s="273">
        <f>'6-x'!AL491</f>
        <v>0.65715776132749315</v>
      </c>
      <c r="L113" s="273">
        <f>'6-x'!AM491</f>
        <v>0.5263431614567442</v>
      </c>
      <c r="M113" s="273">
        <f>'6-x'!AN491</f>
        <v>0.76721876955955426</v>
      </c>
      <c r="N113" s="273">
        <f>'6-x'!AO491</f>
        <v>0.57223150615105289</v>
      </c>
      <c r="O113" s="273">
        <f>'6-x'!AP491</f>
        <v>0.58785730065437569</v>
      </c>
      <c r="P113" s="273">
        <f>'6-x'!AQ491</f>
        <v>0.64025422556058487</v>
      </c>
      <c r="Q113" s="56"/>
      <c r="T113" s="545"/>
    </row>
    <row r="114" spans="1:20">
      <c r="A114" s="227" t="s">
        <v>24</v>
      </c>
      <c r="B114" s="232" t="str">
        <f>'6-x'!AK476</f>
        <v/>
      </c>
      <c r="C114" s="232">
        <f>'6-x'!AL476</f>
        <v>0.62948067844028677</v>
      </c>
      <c r="D114" s="232">
        <f>'6-x'!AM476</f>
        <v>0.54265902924329212</v>
      </c>
      <c r="E114" s="232">
        <f>'6-x'!AN476</f>
        <v>0.53691275167785235</v>
      </c>
      <c r="F114" s="232">
        <f>'6-x'!AO476</f>
        <v>0.48160535117056863</v>
      </c>
      <c r="G114" s="232">
        <f>'6-x'!AP476</f>
        <v>0.48999591670069415</v>
      </c>
      <c r="H114" s="273">
        <f>'6-x'!AQ476</f>
        <v>0.56092436509767418</v>
      </c>
      <c r="I114" s="56"/>
      <c r="J114" s="232" t="str">
        <f>'6-x'!AK492</f>
        <v/>
      </c>
      <c r="K114" s="232">
        <f>'6-x'!AL492</f>
        <v>0.7239432786266955</v>
      </c>
      <c r="L114" s="232">
        <f>'6-x'!AM492</f>
        <v>0.65126192058156807</v>
      </c>
      <c r="M114" s="232">
        <f>'6-x'!AN492</f>
        <v>0.65469342278953169</v>
      </c>
      <c r="N114" s="232">
        <f>'6-x'!AO492</f>
        <v>0.63558088115567779</v>
      </c>
      <c r="O114" s="232">
        <f>'6-x'!AP492</f>
        <v>0.58779312250144378</v>
      </c>
      <c r="P114" s="273">
        <f>'6-x'!AQ492</f>
        <v>0.66863493535284724</v>
      </c>
      <c r="Q114" s="56"/>
    </row>
    <row r="115" spans="1:20">
      <c r="A115" s="227" t="s">
        <v>25</v>
      </c>
      <c r="B115" s="232" t="str">
        <f>'6-x'!AK477</f>
        <v/>
      </c>
      <c r="C115" s="232">
        <f>'6-x'!AL477</f>
        <v>0.61120543293718177</v>
      </c>
      <c r="D115" s="232" t="str">
        <f>'6-x'!AM477</f>
        <v/>
      </c>
      <c r="E115" s="232">
        <f>'6-x'!AN477</f>
        <v>0.65005417118093167</v>
      </c>
      <c r="F115" s="232">
        <f>'6-x'!AO477</f>
        <v>0.38893690579083839</v>
      </c>
      <c r="G115" s="232">
        <f>'6-x'!AP477</f>
        <v>0.56523787093735278</v>
      </c>
      <c r="H115" s="273">
        <f>'6-x'!AQ477</f>
        <v>0.61267699402670861</v>
      </c>
      <c r="I115" s="56"/>
      <c r="J115" s="232" t="str">
        <f>'6-x'!AK493</f>
        <v/>
      </c>
      <c r="K115" s="232">
        <f>'6-x'!AL493</f>
        <v>0.74475185462858717</v>
      </c>
      <c r="L115" s="232" t="str">
        <f>'6-x'!AM493</f>
        <v/>
      </c>
      <c r="M115" s="232">
        <f>'6-x'!AN493</f>
        <v>0.78564265747211215</v>
      </c>
      <c r="N115" s="232">
        <f>'6-x'!AO493</f>
        <v>0.73595042547513867</v>
      </c>
      <c r="O115" s="232">
        <f>'6-x'!AP493</f>
        <v>0.68443680137575236</v>
      </c>
      <c r="P115" s="273">
        <f>'6-x'!AQ493</f>
        <v>0.74802928000218782</v>
      </c>
      <c r="Q115" s="56"/>
    </row>
    <row r="116" spans="1:20">
      <c r="A116" s="227" t="s">
        <v>26</v>
      </c>
      <c r="B116" s="232" t="str">
        <f>'6-x'!AK478</f>
        <v/>
      </c>
      <c r="C116" s="232">
        <f>'6-x'!AL478</f>
        <v>0.58064516129032262</v>
      </c>
      <c r="D116" s="232">
        <f>'6-x'!AM478</f>
        <v>0.44171779141104295</v>
      </c>
      <c r="E116" s="232">
        <f>'6-x'!AN478</f>
        <v>0.55487053020961785</v>
      </c>
      <c r="F116" s="232">
        <f>'6-x'!AO478</f>
        <v>0.57215511760966309</v>
      </c>
      <c r="G116" s="232">
        <f>'6-x'!AP478</f>
        <v>0.47751691205730201</v>
      </c>
      <c r="H116" s="273">
        <f>'6-x'!AQ478</f>
        <v>0.57582803775659264</v>
      </c>
      <c r="I116" s="56"/>
      <c r="J116" s="232" t="str">
        <f>'6-x'!AK494</f>
        <v/>
      </c>
      <c r="K116" s="232">
        <f>'6-x'!AL494</f>
        <v>0.6333856353423033</v>
      </c>
      <c r="L116" s="232">
        <f>'6-x'!AM494</f>
        <v>0.54347524119387314</v>
      </c>
      <c r="M116" s="232">
        <f>'6-x'!AN494</f>
        <v>0.73921012665132635</v>
      </c>
      <c r="N116" s="232">
        <f>'6-x'!AO494</f>
        <v>0.60439620645804426</v>
      </c>
      <c r="O116" s="232">
        <f>'6-x'!AP494</f>
        <v>0.57580506476576143</v>
      </c>
      <c r="P116" s="273">
        <f>'6-x'!AQ494</f>
        <v>0.63223061146043902</v>
      </c>
      <c r="Q116" s="56"/>
    </row>
    <row r="117" spans="1:20">
      <c r="A117" s="227" t="s">
        <v>27</v>
      </c>
      <c r="B117" s="232">
        <f>'6-x'!AK479</f>
        <v>0.71656050955414019</v>
      </c>
      <c r="C117" s="232">
        <f>'6-x'!AL479</f>
        <v>0.7256601491634751</v>
      </c>
      <c r="D117" s="232" t="str">
        <f>'6-x'!AM479</f>
        <v/>
      </c>
      <c r="E117" s="232">
        <f>'6-x'!AN479</f>
        <v>0.74875207986688863</v>
      </c>
      <c r="F117" s="232">
        <f>'6-x'!AO479</f>
        <v>0.59741121805509456</v>
      </c>
      <c r="G117" s="232" t="str">
        <f>'6-x'!AP479</f>
        <v/>
      </c>
      <c r="H117" s="273">
        <f>'6-x'!AQ479</f>
        <v>0.66627754380985127</v>
      </c>
      <c r="I117" s="56"/>
      <c r="J117" s="232">
        <f>'6-x'!AK495</f>
        <v>0.82964519216729671</v>
      </c>
      <c r="K117" s="232">
        <f>'6-x'!AL495</f>
        <v>0.85122977388054022</v>
      </c>
      <c r="L117" s="232" t="str">
        <f>'6-x'!AM495</f>
        <v/>
      </c>
      <c r="M117" s="232">
        <f>'6-x'!AN495</f>
        <v>0.8695663971806572</v>
      </c>
      <c r="N117" s="232">
        <f>'6-x'!AO495</f>
        <v>0.76972272402362818</v>
      </c>
      <c r="O117" s="232" t="str">
        <f>'6-x'!AP495</f>
        <v/>
      </c>
      <c r="P117" s="273">
        <f>'6-x'!AQ495</f>
        <v>0.82403012852423407</v>
      </c>
      <c r="Q117" s="56"/>
    </row>
    <row r="118" spans="1:20">
      <c r="A118" s="227" t="s">
        <v>28</v>
      </c>
      <c r="B118" s="232">
        <f>'6-x'!AK480</f>
        <v>0.81892629663330307</v>
      </c>
      <c r="C118" s="232">
        <f>'6-x'!AL480</f>
        <v>0.39651944046701176</v>
      </c>
      <c r="D118" s="232">
        <f>'6-x'!AM480</f>
        <v>0.39482342618995392</v>
      </c>
      <c r="E118" s="232">
        <f>'6-x'!AN480</f>
        <v>0.50132293552430018</v>
      </c>
      <c r="F118" s="232">
        <f>'6-x'!AO480</f>
        <v>0.29505778214900419</v>
      </c>
      <c r="G118" s="232">
        <f>'6-x'!AP480</f>
        <v>0.35492457852706299</v>
      </c>
      <c r="H118" s="273">
        <f>'6-x'!AQ480</f>
        <v>0.32601785127824284</v>
      </c>
      <c r="I118" s="56"/>
      <c r="J118" s="232">
        <f>'6-x'!AK496</f>
        <v>0.87970281501779757</v>
      </c>
      <c r="K118" s="232">
        <f>'6-x'!AL496</f>
        <v>0.53831680851623709</v>
      </c>
      <c r="L118" s="232">
        <f>'6-x'!AM496</f>
        <v>0.47056177731950743</v>
      </c>
      <c r="M118" s="232">
        <f>'6-x'!AN496</f>
        <v>0.78412343158688813</v>
      </c>
      <c r="N118" s="232">
        <f>'6-x'!AO496</f>
        <v>0.5035532782290526</v>
      </c>
      <c r="O118" s="232">
        <f>'6-x'!AP496</f>
        <v>0.61641349001624146</v>
      </c>
      <c r="P118" s="273">
        <f>'6-x'!AQ496</f>
        <v>0.52481581183121828</v>
      </c>
      <c r="Q118" s="56"/>
    </row>
    <row r="119" spans="1:20">
      <c r="A119" s="227" t="s">
        <v>353</v>
      </c>
      <c r="B119" s="232" t="str">
        <f>'6-x'!AK481</f>
        <v/>
      </c>
      <c r="C119" s="232" t="str">
        <f>'6-x'!AL481</f>
        <v/>
      </c>
      <c r="D119" s="232" t="str">
        <f>'6-x'!AM481</f>
        <v/>
      </c>
      <c r="E119" s="232" t="str">
        <f>'6-x'!AN481</f>
        <v/>
      </c>
      <c r="F119" s="232" t="str">
        <f>'6-x'!AO481</f>
        <v/>
      </c>
      <c r="G119" s="232" t="str">
        <f>'6-x'!AP481</f>
        <v/>
      </c>
      <c r="H119" s="273" t="str">
        <f>'6-x'!AQ481</f>
        <v/>
      </c>
      <c r="I119" s="56"/>
      <c r="J119" s="232" t="str">
        <f>'6-x'!AK497</f>
        <v/>
      </c>
      <c r="K119" s="232">
        <f>'6-x'!AL497</f>
        <v>0.34393809114359414</v>
      </c>
      <c r="L119" s="232" t="str">
        <f>'6-x'!AM497</f>
        <v/>
      </c>
      <c r="M119" s="232" t="str">
        <f>'6-x'!AN497</f>
        <v/>
      </c>
      <c r="N119" s="232" t="str">
        <f>'6-x'!AO497</f>
        <v/>
      </c>
      <c r="O119" s="232">
        <f>'6-x'!AP497</f>
        <v>0.34393809114359414</v>
      </c>
      <c r="P119" s="273">
        <f>'6-x'!AQ497</f>
        <v>0.34393809114359414</v>
      </c>
      <c r="Q119" s="56"/>
    </row>
    <row r="120" spans="1:20">
      <c r="A120" s="322" t="s">
        <v>9</v>
      </c>
      <c r="B120" s="323">
        <f>'6-x'!AK482</f>
        <v>0.3773824045425504</v>
      </c>
      <c r="C120" s="323">
        <f>'6-x'!AL482</f>
        <v>0.56267871020328741</v>
      </c>
      <c r="D120" s="323">
        <f>'6-x'!AM482</f>
        <v>0.43036296940307606</v>
      </c>
      <c r="E120" s="323">
        <f>'6-x'!AN482</f>
        <v>0.46077804396970418</v>
      </c>
      <c r="F120" s="323">
        <f>'6-x'!AO482</f>
        <v>0.38384242063038293</v>
      </c>
      <c r="G120" s="323">
        <f>'6-x'!AP482</f>
        <v>0.43652943719332088</v>
      </c>
      <c r="H120" s="323">
        <f>'6-x'!AQ482</f>
        <v>0.50585640784007724</v>
      </c>
      <c r="I120" s="56"/>
      <c r="J120" s="323">
        <f>'6-x'!AK498</f>
        <v>0.38339895535801788</v>
      </c>
      <c r="K120" s="323">
        <f>'6-x'!AL498</f>
        <v>0.61094816436827581</v>
      </c>
      <c r="L120" s="323">
        <f>'6-x'!AM498</f>
        <v>0.52505470917505914</v>
      </c>
      <c r="M120" s="323">
        <f>'6-x'!AN498</f>
        <v>0.64665903959440574</v>
      </c>
      <c r="N120" s="323">
        <f>'6-x'!AO498</f>
        <v>0.48308024669884042</v>
      </c>
      <c r="O120" s="323">
        <f>'6-x'!AP498</f>
        <v>0.50809992080802613</v>
      </c>
      <c r="P120" s="323">
        <f>'6-x'!AQ498</f>
        <v>0.56297340862571754</v>
      </c>
      <c r="Q120" s="56"/>
      <c r="R120" s="545"/>
      <c r="T120" s="545"/>
    </row>
    <row r="121" spans="1:20" ht="15.5">
      <c r="A121" s="47"/>
    </row>
    <row r="122" spans="1:20" ht="15.5">
      <c r="A122" s="47"/>
    </row>
    <row r="123" spans="1:20">
      <c r="B123" s="1104" t="s">
        <v>10</v>
      </c>
      <c r="C123" s="1104"/>
      <c r="D123" s="1104"/>
      <c r="E123" s="1104"/>
      <c r="F123" s="1104"/>
      <c r="G123" s="1104"/>
      <c r="H123" s="1104"/>
      <c r="J123" s="1104" t="s">
        <v>10</v>
      </c>
      <c r="K123" s="1104"/>
      <c r="L123" s="1104"/>
      <c r="M123" s="1104"/>
      <c r="N123" s="1104"/>
      <c r="O123" s="1104"/>
      <c r="P123" s="1104"/>
    </row>
    <row r="124" spans="1:20" ht="29">
      <c r="B124" s="251" t="s">
        <v>5</v>
      </c>
      <c r="C124" s="251" t="s">
        <v>63</v>
      </c>
      <c r="D124" s="251" t="s">
        <v>7</v>
      </c>
      <c r="E124" s="251" t="s">
        <v>8</v>
      </c>
      <c r="F124" s="251" t="s">
        <v>243</v>
      </c>
      <c r="G124" s="251" t="s">
        <v>244</v>
      </c>
      <c r="H124" s="251" t="s">
        <v>9</v>
      </c>
      <c r="J124" s="251" t="s">
        <v>5</v>
      </c>
      <c r="K124" s="251" t="s">
        <v>63</v>
      </c>
      <c r="L124" s="251" t="s">
        <v>7</v>
      </c>
      <c r="M124" s="251" t="s">
        <v>8</v>
      </c>
      <c r="N124" s="251" t="s">
        <v>243</v>
      </c>
      <c r="O124" s="251" t="s">
        <v>244</v>
      </c>
      <c r="P124" s="251" t="s">
        <v>9</v>
      </c>
    </row>
    <row r="125" spans="1:20">
      <c r="A125" s="253">
        <v>2018</v>
      </c>
      <c r="B125" s="1106" t="s">
        <v>345</v>
      </c>
      <c r="C125" s="1107"/>
      <c r="D125" s="1107"/>
      <c r="E125" s="1107"/>
      <c r="F125" s="1107"/>
      <c r="G125" s="1107"/>
      <c r="H125" s="1108"/>
      <c r="J125" s="1106" t="s">
        <v>344</v>
      </c>
      <c r="K125" s="1107"/>
      <c r="L125" s="1107"/>
      <c r="M125" s="1107"/>
      <c r="N125" s="1107"/>
      <c r="O125" s="1107"/>
      <c r="P125" s="1108"/>
    </row>
    <row r="126" spans="1:20">
      <c r="A126" s="228" t="s">
        <v>262</v>
      </c>
      <c r="B126" s="273">
        <f>'6-x'!AK560</f>
        <v>0.3830194701563997</v>
      </c>
      <c r="C126" s="273">
        <f>'6-x'!AL560</f>
        <v>0.52905031259262292</v>
      </c>
      <c r="D126" s="273">
        <f>'6-x'!AM560</f>
        <v>0.3930131004366812</v>
      </c>
      <c r="E126" s="273">
        <f>'6-x'!AN560</f>
        <v>0.3361639686160463</v>
      </c>
      <c r="F126" s="273">
        <f>'6-x'!AO560</f>
        <v>0.31890282931871144</v>
      </c>
      <c r="G126" s="273">
        <f>'6-x'!AP560</f>
        <v>0.36789712092894955</v>
      </c>
      <c r="H126" s="273">
        <f>'6-x'!AQ560</f>
        <v>0.4402408997796286</v>
      </c>
      <c r="I126" s="56"/>
    </row>
    <row r="127" spans="1:20">
      <c r="A127" s="227" t="s">
        <v>17</v>
      </c>
      <c r="B127" s="232" t="str">
        <f>'6-x'!AK561</f>
        <v/>
      </c>
      <c r="C127" s="232">
        <f>'6-x'!AL561</f>
        <v>0.3667855323484463</v>
      </c>
      <c r="D127" s="232">
        <f>'6-x'!AM561</f>
        <v>0.3930131004366812</v>
      </c>
      <c r="E127" s="232">
        <f>'6-x'!AN561</f>
        <v>0.37457080428675477</v>
      </c>
      <c r="F127" s="232">
        <f>'6-x'!AO561</f>
        <v>0.41412630852409987</v>
      </c>
      <c r="G127" s="232">
        <f>'6-x'!AP561</f>
        <v>0.36828644501278768</v>
      </c>
      <c r="H127" s="273">
        <f>'6-x'!AQ561</f>
        <v>0.38052508322198558</v>
      </c>
      <c r="I127" s="56"/>
    </row>
    <row r="128" spans="1:20">
      <c r="A128" s="227" t="s">
        <v>18</v>
      </c>
      <c r="B128" s="232" t="str">
        <f>'6-x'!AK562</f>
        <v/>
      </c>
      <c r="C128" s="232">
        <f>'6-x'!AL562</f>
        <v>0.32097004279600572</v>
      </c>
      <c r="D128" s="232" t="str">
        <f>'6-x'!AM562</f>
        <v/>
      </c>
      <c r="E128" s="232">
        <f>'6-x'!AN562</f>
        <v>0.23279875840662184</v>
      </c>
      <c r="F128" s="232">
        <f>'6-x'!AO562</f>
        <v>0.26857654431512978</v>
      </c>
      <c r="G128" s="232">
        <f>'6-x'!AP562</f>
        <v>0.31804929764113438</v>
      </c>
      <c r="H128" s="273">
        <f>'6-x'!AQ562</f>
        <v>0.31489451199737262</v>
      </c>
      <c r="I128" s="56"/>
    </row>
    <row r="129" spans="1:20">
      <c r="A129" s="227" t="s">
        <v>19</v>
      </c>
      <c r="B129" s="232">
        <f>'6-x'!AK563</f>
        <v>0.3830194701563997</v>
      </c>
      <c r="C129" s="232">
        <f>'6-x'!AL563</f>
        <v>0.40174087713424839</v>
      </c>
      <c r="D129" s="232" t="str">
        <f>'6-x'!AM563</f>
        <v/>
      </c>
      <c r="E129" s="232">
        <f>'6-x'!AN563</f>
        <v>0.33057851239669422</v>
      </c>
      <c r="F129" s="232">
        <f>'6-x'!AO563</f>
        <v>0.2682763246143528</v>
      </c>
      <c r="G129" s="232">
        <f>'6-x'!AP563</f>
        <v>0.39569136073862388</v>
      </c>
      <c r="H129" s="273">
        <f>'6-x'!AQ563</f>
        <v>0.36170445834430787</v>
      </c>
      <c r="I129" s="56"/>
    </row>
    <row r="130" spans="1:20">
      <c r="A130" s="227" t="s">
        <v>20</v>
      </c>
      <c r="B130" s="232" t="str">
        <f>'6-x'!AK564</f>
        <v/>
      </c>
      <c r="C130" s="232">
        <f>'6-x'!AL564</f>
        <v>0.5330174711282204</v>
      </c>
      <c r="D130" s="232" t="str">
        <f>'6-x'!AM564</f>
        <v/>
      </c>
      <c r="E130" s="232">
        <f>'6-x'!AN564</f>
        <v>0.4391314954867041</v>
      </c>
      <c r="F130" s="232">
        <f>'6-x'!AO564</f>
        <v>0.46583850931677018</v>
      </c>
      <c r="G130" s="232">
        <f>'6-x'!AP564</f>
        <v>0.4001778568252557</v>
      </c>
      <c r="H130" s="273">
        <f>'6-x'!AQ564</f>
        <v>0.53040469611726682</v>
      </c>
      <c r="I130" s="56"/>
    </row>
    <row r="131" spans="1:20">
      <c r="A131" s="227" t="s">
        <v>22</v>
      </c>
      <c r="B131" s="232" t="str">
        <f>'6-x'!AK565</f>
        <v/>
      </c>
      <c r="C131" s="232" t="str">
        <f>'6-x'!AL565</f>
        <v/>
      </c>
      <c r="D131" s="232" t="str">
        <f>'6-x'!AM565</f>
        <v/>
      </c>
      <c r="E131" s="232" t="str">
        <f>'6-x'!AN565</f>
        <v/>
      </c>
      <c r="F131" s="232" t="str">
        <f>'6-x'!AO565</f>
        <v/>
      </c>
      <c r="G131" s="232" t="str">
        <f>'6-x'!AP565</f>
        <v/>
      </c>
      <c r="H131" s="273" t="str">
        <f>'6-x'!AQ565</f>
        <v/>
      </c>
      <c r="I131" s="56"/>
    </row>
    <row r="132" spans="1:20">
      <c r="A132" s="227" t="s">
        <v>350</v>
      </c>
      <c r="B132" s="232" t="str">
        <f>'6-x'!AK566</f>
        <v/>
      </c>
      <c r="C132" s="232" t="str">
        <f>'6-x'!AL566</f>
        <v/>
      </c>
      <c r="D132" s="232" t="str">
        <f>'6-x'!AM566</f>
        <v/>
      </c>
      <c r="E132" s="232" t="str">
        <f>'6-x'!AN566</f>
        <v/>
      </c>
      <c r="F132" s="232" t="str">
        <f>'6-x'!AO566</f>
        <v/>
      </c>
      <c r="G132" s="232" t="str">
        <f>'6-x'!AP566</f>
        <v/>
      </c>
      <c r="H132" s="273" t="str">
        <f>'6-x'!AQ566</f>
        <v/>
      </c>
      <c r="I132" s="56"/>
    </row>
    <row r="133" spans="1:20">
      <c r="A133" s="228" t="s">
        <v>263</v>
      </c>
      <c r="B133" s="273">
        <f>'6-x'!AK567</f>
        <v>0.80861057727977359</v>
      </c>
      <c r="C133" s="273">
        <f>'6-x'!AL567</f>
        <v>0.58604936860343371</v>
      </c>
      <c r="D133" s="273">
        <f>'6-x'!AM567</f>
        <v>0.38961189866726992</v>
      </c>
      <c r="E133" s="273">
        <f>'6-x'!AN567</f>
        <v>0.58075531623902177</v>
      </c>
      <c r="F133" s="273">
        <f>'6-x'!AO567</f>
        <v>0.44811047589798375</v>
      </c>
      <c r="G133" s="273">
        <f>'6-x'!AP567</f>
        <v>0.51065335617645435</v>
      </c>
      <c r="H133" s="273">
        <f>'6-x'!AQ567</f>
        <v>0.55320590343918397</v>
      </c>
      <c r="I133" s="56"/>
      <c r="J133" s="273">
        <f>'6-x'!AK583</f>
        <v>0.87205580356855106</v>
      </c>
      <c r="K133" s="273">
        <f>'6-x'!AL583</f>
        <v>0.65860959392184415</v>
      </c>
      <c r="L133" s="273">
        <f>'6-x'!AM583</f>
        <v>0.44360248441475486</v>
      </c>
      <c r="M133" s="273">
        <f>'6-x'!AN583</f>
        <v>0.7732525904934342</v>
      </c>
      <c r="N133" s="273">
        <f>'6-x'!AO583</f>
        <v>0.58534041748093124</v>
      </c>
      <c r="O133" s="273">
        <f>'6-x'!AP583</f>
        <v>0.58904053772096987</v>
      </c>
      <c r="P133" s="273">
        <f>'6-x'!AQ583</f>
        <v>0.64090408491407458</v>
      </c>
      <c r="S133" s="426"/>
      <c r="T133" s="427"/>
    </row>
    <row r="134" spans="1:20">
      <c r="A134" s="227" t="s">
        <v>24</v>
      </c>
      <c r="B134" s="232" t="str">
        <f>'6-x'!AK568</f>
        <v/>
      </c>
      <c r="C134" s="232">
        <f>'6-x'!AL568</f>
        <v>0.634920634920635</v>
      </c>
      <c r="D134" s="232">
        <f>'6-x'!AM568</f>
        <v>0.51071073911193077</v>
      </c>
      <c r="E134" s="232">
        <f>'6-x'!AN568</f>
        <v>0.55581287633163501</v>
      </c>
      <c r="F134" s="232">
        <f>'6-x'!AO568</f>
        <v>0.48309178743961351</v>
      </c>
      <c r="G134" s="232">
        <f>'6-x'!AP568</f>
        <v>0.51100070972320799</v>
      </c>
      <c r="H134" s="273">
        <f>'6-x'!AQ568</f>
        <v>0.57063024347946756</v>
      </c>
      <c r="I134" s="56"/>
      <c r="J134" s="232" t="str">
        <f>'6-x'!AK584</f>
        <v/>
      </c>
      <c r="K134" s="232">
        <f>'6-x'!AL584</f>
        <v>0.72981142039219671</v>
      </c>
      <c r="L134" s="232">
        <f>'6-x'!AM584</f>
        <v>0.61275026226390994</v>
      </c>
      <c r="M134" s="232">
        <f>'6-x'!AN584</f>
        <v>0.69061111168664335</v>
      </c>
      <c r="N134" s="232">
        <f>'6-x'!AO584</f>
        <v>0.65584430859968879</v>
      </c>
      <c r="O134" s="232">
        <f>'6-x'!AP584</f>
        <v>0.58867737811218113</v>
      </c>
      <c r="P134" s="273">
        <f>'6-x'!AQ584</f>
        <v>0.67540867172773611</v>
      </c>
      <c r="S134" s="426"/>
      <c r="T134" s="427"/>
    </row>
    <row r="135" spans="1:20">
      <c r="A135" s="227" t="s">
        <v>25</v>
      </c>
      <c r="B135" s="232" t="str">
        <f>'6-x'!AK569</f>
        <v/>
      </c>
      <c r="C135" s="232">
        <f>'6-x'!AL569</f>
        <v>0.59356966199505357</v>
      </c>
      <c r="D135" s="232" t="str">
        <f>'6-x'!AM569</f>
        <v/>
      </c>
      <c r="E135" s="232">
        <f>'6-x'!AN569</f>
        <v>0.72420036210018113</v>
      </c>
      <c r="F135" s="232">
        <f>'6-x'!AO569</f>
        <v>0.38643194504079009</v>
      </c>
      <c r="G135" s="232">
        <f>'6-x'!AP569</f>
        <v>0.55469953775038527</v>
      </c>
      <c r="H135" s="273">
        <f>'6-x'!AQ569</f>
        <v>0.59972823195790737</v>
      </c>
      <c r="I135" s="56"/>
      <c r="J135" s="232" t="str">
        <f>'6-x'!AK585</f>
        <v/>
      </c>
      <c r="K135" s="232">
        <f>'6-x'!AL585</f>
        <v>0.73539197727017835</v>
      </c>
      <c r="L135" s="232" t="str">
        <f>'6-x'!AM585</f>
        <v/>
      </c>
      <c r="M135" s="232">
        <f>'6-x'!AN585</f>
        <v>0.82358247567839526</v>
      </c>
      <c r="N135" s="232">
        <f>'6-x'!AO585</f>
        <v>0.74219383368136593</v>
      </c>
      <c r="O135" s="232">
        <f>'6-x'!AP585</f>
        <v>0.7104471195184866</v>
      </c>
      <c r="P135" s="273">
        <f>'6-x'!AQ585</f>
        <v>0.74140907629090191</v>
      </c>
      <c r="S135" s="426"/>
      <c r="T135" s="427"/>
    </row>
    <row r="136" spans="1:20">
      <c r="A136" s="227" t="s">
        <v>26</v>
      </c>
      <c r="B136" s="232">
        <f>'6-x'!AK570</f>
        <v>0.81892629663330296</v>
      </c>
      <c r="C136" s="232">
        <f>'6-x'!AL570</f>
        <v>0.58111380145278457</v>
      </c>
      <c r="D136" s="232">
        <f>'6-x'!AM570</f>
        <v>0.4044943820224719</v>
      </c>
      <c r="E136" s="232">
        <f>'6-x'!AN570</f>
        <v>0.55274067250115155</v>
      </c>
      <c r="F136" s="232">
        <f>'6-x'!AO570</f>
        <v>0.5761843790012805</v>
      </c>
      <c r="G136" s="232">
        <f>'6-x'!AP570</f>
        <v>0.48497911895460055</v>
      </c>
      <c r="H136" s="273">
        <f>'6-x'!AQ570</f>
        <v>0.57567780127558177</v>
      </c>
      <c r="I136" s="56"/>
      <c r="J136" s="232">
        <f>'6-x'!AK586</f>
        <v>0.87962324002886061</v>
      </c>
      <c r="K136" s="232">
        <f>'6-x'!AL586</f>
        <v>0.63606393377766646</v>
      </c>
      <c r="L136" s="232">
        <f>'6-x'!AM586</f>
        <v>0.47405769501905365</v>
      </c>
      <c r="M136" s="232">
        <f>'6-x'!AN586</f>
        <v>0.74222324890309133</v>
      </c>
      <c r="N136" s="232">
        <f>'6-x'!AO586</f>
        <v>0.6099306321782817</v>
      </c>
      <c r="O136" s="232">
        <f>'6-x'!AP586</f>
        <v>0.58417611814000459</v>
      </c>
      <c r="P136" s="273">
        <f>'6-x'!AQ586</f>
        <v>0.63418459133939808</v>
      </c>
      <c r="S136" s="426"/>
      <c r="T136" s="427"/>
    </row>
    <row r="137" spans="1:20">
      <c r="A137" s="227" t="s">
        <v>27</v>
      </c>
      <c r="B137" s="232">
        <f>'6-x'!AK571</f>
        <v>0.71656050955414019</v>
      </c>
      <c r="C137" s="232">
        <f>'6-x'!AL571</f>
        <v>0.72202166064981954</v>
      </c>
      <c r="D137" s="232" t="str">
        <f>'6-x'!AM571</f>
        <v/>
      </c>
      <c r="E137" s="232">
        <f>'6-x'!AN571</f>
        <v>0.7569386038687973</v>
      </c>
      <c r="F137" s="232">
        <f>'6-x'!AO571</f>
        <v>0.59026069847515983</v>
      </c>
      <c r="G137" s="232" t="str">
        <f>'6-x'!AP571</f>
        <v/>
      </c>
      <c r="H137" s="273">
        <f>'6-x'!AQ571</f>
        <v>0.65991950925639475</v>
      </c>
      <c r="I137" s="56"/>
      <c r="J137" s="232">
        <f>'6-x'!AK587</f>
        <v>0.83756090570363995</v>
      </c>
      <c r="K137" s="232">
        <f>'6-x'!AL587</f>
        <v>0.85143302252170139</v>
      </c>
      <c r="L137" s="232" t="str">
        <f>'6-x'!AM587</f>
        <v/>
      </c>
      <c r="M137" s="232">
        <f>'6-x'!AN587</f>
        <v>0.87496649816405703</v>
      </c>
      <c r="N137" s="232">
        <f>'6-x'!AO587</f>
        <v>0.75738441359880482</v>
      </c>
      <c r="O137" s="232" t="str">
        <f>'6-x'!AP587</f>
        <v/>
      </c>
      <c r="P137" s="273">
        <f>'6-x'!AQ587</f>
        <v>0.8227060315484348</v>
      </c>
      <c r="S137" s="426"/>
      <c r="T137" s="427"/>
    </row>
    <row r="138" spans="1:20">
      <c r="A138" s="227" t="s">
        <v>28</v>
      </c>
      <c r="B138" s="232" t="str">
        <f>'6-x'!AK572</f>
        <v/>
      </c>
      <c r="C138" s="232">
        <f>'6-x'!AL572</f>
        <v>0.37878787878787878</v>
      </c>
      <c r="D138" s="232">
        <f>'6-x'!AM572</f>
        <v>0.3563298030288034</v>
      </c>
      <c r="E138" s="232">
        <f>'6-x'!AN572</f>
        <v>0.5022321428571429</v>
      </c>
      <c r="F138" s="232">
        <f>'6-x'!AO572</f>
        <v>0.29685825018553641</v>
      </c>
      <c r="G138" s="232">
        <f>'6-x'!AP572</f>
        <v>0.36930652441526468</v>
      </c>
      <c r="H138" s="273">
        <f>'6-x'!AQ572</f>
        <v>0.31883049543096498</v>
      </c>
      <c r="I138" s="56"/>
      <c r="J138" s="232" t="str">
        <f>'6-x'!AK588</f>
        <v/>
      </c>
      <c r="K138" s="232">
        <f>'6-x'!AL588</f>
        <v>0.51003865113246472</v>
      </c>
      <c r="L138" s="232">
        <f>'6-x'!AM588</f>
        <v>0.37335582159313879</v>
      </c>
      <c r="M138" s="232">
        <f>'6-x'!AN588</f>
        <v>0.77958704084848429</v>
      </c>
      <c r="N138" s="232">
        <f>'6-x'!AO588</f>
        <v>0.52296108195851843</v>
      </c>
      <c r="O138" s="232">
        <f>'6-x'!AP588</f>
        <v>0.67014477934512329</v>
      </c>
      <c r="P138" s="273">
        <f>'6-x'!AQ588</f>
        <v>0.51918447857185523</v>
      </c>
      <c r="S138" s="426"/>
      <c r="T138" s="427"/>
    </row>
    <row r="139" spans="1:20">
      <c r="A139" s="227" t="s">
        <v>353</v>
      </c>
      <c r="B139" s="232" t="str">
        <f>'6-x'!AK573</f>
        <v/>
      </c>
      <c r="C139" s="232" t="str">
        <f>'6-x'!AL573</f>
        <v/>
      </c>
      <c r="D139" s="232" t="str">
        <f>'6-x'!AM573</f>
        <v/>
      </c>
      <c r="E139" s="232" t="str">
        <f>'6-x'!AN573</f>
        <v/>
      </c>
      <c r="F139" s="232" t="str">
        <f>'6-x'!AO573</f>
        <v/>
      </c>
      <c r="G139" s="232" t="str">
        <f>'6-x'!AP573</f>
        <v/>
      </c>
      <c r="H139" s="273" t="str">
        <f>'6-x'!AQ573</f>
        <v/>
      </c>
      <c r="I139" s="56"/>
      <c r="J139" s="232" t="str">
        <f>'6-x'!AK589</f>
        <v/>
      </c>
      <c r="K139" s="232" t="str">
        <f>'6-x'!AL589</f>
        <v/>
      </c>
      <c r="L139" s="232" t="str">
        <f>'6-x'!AM589</f>
        <v/>
      </c>
      <c r="M139" s="232" t="str">
        <f>'6-x'!AN589</f>
        <v/>
      </c>
      <c r="N139" s="232" t="str">
        <f>'6-x'!AO589</f>
        <v/>
      </c>
      <c r="O139" s="232" t="str">
        <f>'6-x'!AP589</f>
        <v/>
      </c>
      <c r="P139" s="273" t="str">
        <f>'6-x'!AQ589</f>
        <v/>
      </c>
    </row>
    <row r="140" spans="1:20">
      <c r="A140" s="322" t="s">
        <v>9</v>
      </c>
      <c r="B140" s="323">
        <f>'6-x'!AK574</f>
        <v>0.38399087836400086</v>
      </c>
      <c r="C140" s="323">
        <f>'6-x'!AL574</f>
        <v>0.56364885423252753</v>
      </c>
      <c r="D140" s="323">
        <f>'6-x'!AM574</f>
        <v>0.38964906913018099</v>
      </c>
      <c r="E140" s="323">
        <f>'6-x'!AN574</f>
        <v>0.46272690442866105</v>
      </c>
      <c r="F140" s="323">
        <f>'6-x'!AO574</f>
        <v>0.39252910966064464</v>
      </c>
      <c r="G140" s="323">
        <f>'6-x'!AP574</f>
        <v>0.44901503801731968</v>
      </c>
      <c r="H140" s="323">
        <f>'6-x'!AQ574</f>
        <v>0.49704553631623677</v>
      </c>
      <c r="I140" s="56"/>
      <c r="J140" s="323">
        <f>'6-x'!AK590</f>
        <v>0.38809456440291612</v>
      </c>
      <c r="K140" s="323">
        <f>'6-x'!AL590</f>
        <v>0.61572367041554166</v>
      </c>
      <c r="L140" s="323">
        <f>'6-x'!AM590</f>
        <v>0.443107590545399</v>
      </c>
      <c r="M140" s="323">
        <f>'6-x'!AN590</f>
        <v>0.65493272317354401</v>
      </c>
      <c r="N140" s="323">
        <f>'6-x'!AO590</f>
        <v>0.49541365752719674</v>
      </c>
      <c r="O140" s="323">
        <f>'6-x'!AP590</f>
        <v>0.50605708309727992</v>
      </c>
      <c r="P140" s="323">
        <f>'6-x'!AQ590</f>
        <v>0.55483106274903971</v>
      </c>
      <c r="S140" s="426"/>
      <c r="T140" s="427"/>
    </row>
    <row r="141" spans="1:20" ht="15.5">
      <c r="A141" s="47"/>
    </row>
    <row r="142" spans="1:20" ht="15.5">
      <c r="A142" s="47"/>
    </row>
    <row r="143" spans="1:20">
      <c r="B143" s="1104" t="s">
        <v>10</v>
      </c>
      <c r="C143" s="1104"/>
      <c r="D143" s="1104"/>
      <c r="E143" s="1104"/>
      <c r="F143" s="1104"/>
      <c r="G143" s="1104"/>
      <c r="H143" s="1104"/>
      <c r="J143" s="1104" t="s">
        <v>10</v>
      </c>
      <c r="K143" s="1104"/>
      <c r="L143" s="1104"/>
      <c r="M143" s="1104"/>
      <c r="N143" s="1104"/>
      <c r="O143" s="1104"/>
      <c r="P143" s="1104"/>
    </row>
    <row r="144" spans="1:20" ht="29">
      <c r="B144" s="251" t="s">
        <v>5</v>
      </c>
      <c r="C144" s="251" t="s">
        <v>63</v>
      </c>
      <c r="D144" s="251" t="s">
        <v>7</v>
      </c>
      <c r="E144" s="251" t="s">
        <v>8</v>
      </c>
      <c r="F144" s="251" t="s">
        <v>243</v>
      </c>
      <c r="G144" s="251" t="s">
        <v>244</v>
      </c>
      <c r="H144" s="251" t="s">
        <v>9</v>
      </c>
      <c r="J144" s="251" t="s">
        <v>5</v>
      </c>
      <c r="K144" s="251" t="s">
        <v>63</v>
      </c>
      <c r="L144" s="251" t="s">
        <v>7</v>
      </c>
      <c r="M144" s="251" t="s">
        <v>8</v>
      </c>
      <c r="N144" s="251" t="s">
        <v>243</v>
      </c>
      <c r="O144" s="251" t="s">
        <v>244</v>
      </c>
      <c r="P144" s="251" t="s">
        <v>9</v>
      </c>
    </row>
    <row r="145" spans="1:19">
      <c r="A145" s="253">
        <v>2017</v>
      </c>
      <c r="B145" s="1106" t="s">
        <v>345</v>
      </c>
      <c r="C145" s="1107"/>
      <c r="D145" s="1107"/>
      <c r="E145" s="1107"/>
      <c r="F145" s="1107"/>
      <c r="G145" s="1107"/>
      <c r="H145" s="1108"/>
      <c r="J145" s="1106" t="s">
        <v>344</v>
      </c>
      <c r="K145" s="1107"/>
      <c r="L145" s="1107"/>
      <c r="M145" s="1107"/>
      <c r="N145" s="1107"/>
      <c r="O145" s="1107"/>
      <c r="P145" s="1108"/>
    </row>
    <row r="146" spans="1:19">
      <c r="A146" s="228" t="s">
        <v>262</v>
      </c>
      <c r="B146" s="273">
        <f>'6-x'!AK652</f>
        <v>0.38762611307915107</v>
      </c>
      <c r="C146" s="273">
        <f>'6-x'!AL652</f>
        <v>0.53045547436097129</v>
      </c>
      <c r="D146" s="273">
        <f>'6-x'!AM652</f>
        <v>0.38560411311053983</v>
      </c>
      <c r="E146" s="273">
        <f>'6-x'!AN652</f>
        <v>0.34970777601018127</v>
      </c>
      <c r="F146" s="273">
        <f>'6-x'!AO652</f>
        <v>0.32296851350984079</v>
      </c>
      <c r="G146" s="273">
        <f>'6-x'!AP652</f>
        <v>0.36575563084504203</v>
      </c>
      <c r="H146" s="273">
        <f>'6-x'!AQ652</f>
        <v>0.44384809724387331</v>
      </c>
      <c r="I146" s="56"/>
      <c r="R146" s="56"/>
    </row>
    <row r="147" spans="1:19">
      <c r="A147" s="227" t="s">
        <v>17</v>
      </c>
      <c r="B147" s="232" t="str">
        <f>'6-x'!AK653</f>
        <v/>
      </c>
      <c r="C147" s="232">
        <f>'6-x'!AL653</f>
        <v>0.36836181315870253</v>
      </c>
      <c r="D147" s="232">
        <f>'6-x'!AM653</f>
        <v>0.38560411311053983</v>
      </c>
      <c r="E147" s="232">
        <f>'6-x'!AN653</f>
        <v>0.37578288100208768</v>
      </c>
      <c r="F147" s="232">
        <f>'6-x'!AO653</f>
        <v>0.40807073226025847</v>
      </c>
      <c r="G147" s="232">
        <f>'6-x'!AP653</f>
        <v>0.36622583926754837</v>
      </c>
      <c r="H147" s="273">
        <f>'6-x'!AQ653</f>
        <v>0.37710654081628192</v>
      </c>
      <c r="I147" s="56"/>
    </row>
    <row r="148" spans="1:19">
      <c r="A148" s="227" t="s">
        <v>18</v>
      </c>
      <c r="B148" s="232" t="str">
        <f>'6-x'!AK654</f>
        <v/>
      </c>
      <c r="C148" s="232">
        <f>'6-x'!AL654</f>
        <v>0.30328559393428817</v>
      </c>
      <c r="D148" s="232" t="str">
        <f>'6-x'!AM654</f>
        <v/>
      </c>
      <c r="E148" s="232">
        <f>'6-x'!AN654</f>
        <v>0.23307005049851093</v>
      </c>
      <c r="F148" s="232">
        <f>'6-x'!AO654</f>
        <v>0.26779736665922788</v>
      </c>
      <c r="G148" s="232">
        <f>'6-x'!AP654</f>
        <v>0.3183868400106129</v>
      </c>
      <c r="H148" s="273">
        <f>'6-x'!AQ654</f>
        <v>0.30209033194429119</v>
      </c>
      <c r="I148" s="56"/>
    </row>
    <row r="149" spans="1:19">
      <c r="A149" s="227" t="s">
        <v>19</v>
      </c>
      <c r="B149" s="232">
        <f>'6-x'!AK655</f>
        <v>0.38762611307915107</v>
      </c>
      <c r="C149" s="232">
        <f>'6-x'!AL655</f>
        <v>0.38560411311053983</v>
      </c>
      <c r="D149" s="232" t="str">
        <f>'6-x'!AM655</f>
        <v/>
      </c>
      <c r="E149" s="232">
        <f>'6-x'!AN655</f>
        <v>0.3472557152503134</v>
      </c>
      <c r="F149" s="232">
        <f>'6-x'!AO655</f>
        <v>0.26934011671405056</v>
      </c>
      <c r="G149" s="232">
        <f>'6-x'!AP655</f>
        <v>0.38818201423334059</v>
      </c>
      <c r="H149" s="273">
        <f>'6-x'!AQ655</f>
        <v>0.36747636980332687</v>
      </c>
      <c r="I149" s="56"/>
    </row>
    <row r="150" spans="1:19">
      <c r="A150" s="227" t="s">
        <v>20</v>
      </c>
      <c r="B150" s="232" t="str">
        <f>'6-x'!AK656</f>
        <v/>
      </c>
      <c r="C150" s="232">
        <f>'6-x'!AL656</f>
        <v>0.5372532925418797</v>
      </c>
      <c r="D150" s="232" t="str">
        <f>'6-x'!AM656</f>
        <v/>
      </c>
      <c r="E150" s="232">
        <f>'6-x'!AN656</f>
        <v>0.40830214358625383</v>
      </c>
      <c r="F150" s="232">
        <f>'6-x'!AO656</f>
        <v>0.47058823529411764</v>
      </c>
      <c r="G150" s="232">
        <f>'6-x'!AP656</f>
        <v>0.38634900193174504</v>
      </c>
      <c r="H150" s="273">
        <f>'6-x'!AQ656</f>
        <v>0.53445208379817011</v>
      </c>
      <c r="I150" s="56"/>
    </row>
    <row r="151" spans="1:19">
      <c r="A151" s="227" t="s">
        <v>22</v>
      </c>
      <c r="B151" s="232" t="str">
        <f>'6-x'!AK657</f>
        <v/>
      </c>
      <c r="C151" s="232" t="str">
        <f>'6-x'!AL657</f>
        <v/>
      </c>
      <c r="D151" s="232" t="str">
        <f>'6-x'!AM657</f>
        <v/>
      </c>
      <c r="E151" s="232" t="str">
        <f>'6-x'!AN657</f>
        <v/>
      </c>
      <c r="F151" s="232" t="str">
        <f>'6-x'!AO657</f>
        <v/>
      </c>
      <c r="G151" s="232" t="str">
        <f>'6-x'!AP657</f>
        <v/>
      </c>
      <c r="H151" s="273" t="str">
        <f>'6-x'!AQ657</f>
        <v/>
      </c>
      <c r="I151" s="56"/>
    </row>
    <row r="152" spans="1:19">
      <c r="A152" s="228" t="s">
        <v>263</v>
      </c>
      <c r="B152" s="273">
        <f>'6-x'!AK658</f>
        <v>0.80825516093452854</v>
      </c>
      <c r="C152" s="273">
        <f>'6-x'!AL658</f>
        <v>0.58539223377480842</v>
      </c>
      <c r="D152" s="273">
        <f>'6-x'!AM658</f>
        <v>0.42393776156024493</v>
      </c>
      <c r="E152" s="273">
        <f>'6-x'!AN658</f>
        <v>0.57490969168793682</v>
      </c>
      <c r="F152" s="273">
        <f>'6-x'!AO658</f>
        <v>0.44921732411086407</v>
      </c>
      <c r="G152" s="273">
        <f>'6-x'!AP658</f>
        <v>0.51083861447235146</v>
      </c>
      <c r="H152" s="273">
        <f>'6-x'!AQ658</f>
        <v>0.5564353680372448</v>
      </c>
      <c r="I152" s="56"/>
      <c r="J152" s="273">
        <f>'6-x'!AK675</f>
        <v>0.87212133141335757</v>
      </c>
      <c r="K152" s="273">
        <f>'6-x'!AL675</f>
        <v>0.65521506637731119</v>
      </c>
      <c r="L152" s="273">
        <f>'6-x'!AM675</f>
        <v>0.51245113706396572</v>
      </c>
      <c r="M152" s="273">
        <f>'6-x'!AN675</f>
        <v>0.77266115254102308</v>
      </c>
      <c r="N152" s="273">
        <f>'6-x'!AO675</f>
        <v>0.58849215960367185</v>
      </c>
      <c r="O152" s="273">
        <f>'6-x'!AP675</f>
        <v>0.59375475273571565</v>
      </c>
      <c r="P152" s="273">
        <f>'6-x'!AQ675</f>
        <v>0.64218209566148465</v>
      </c>
      <c r="R152" s="56"/>
      <c r="S152" s="56"/>
    </row>
    <row r="153" spans="1:19">
      <c r="A153" s="227" t="s">
        <v>24</v>
      </c>
      <c r="B153" s="232" t="str">
        <f>'6-x'!AK659</f>
        <v/>
      </c>
      <c r="C153" s="232">
        <f>'6-x'!AL659</f>
        <v>0.63536886692552053</v>
      </c>
      <c r="D153" s="232">
        <f>'6-x'!AM659</f>
        <v>0.53723324876884049</v>
      </c>
      <c r="E153" s="232">
        <f>'6-x'!AN659</f>
        <v>0.52348407735931368</v>
      </c>
      <c r="F153" s="232">
        <f>'6-x'!AO659</f>
        <v>0.47713717693836982</v>
      </c>
      <c r="G153" s="232">
        <f>'6-x'!AP659</f>
        <v>0.51121840386253914</v>
      </c>
      <c r="H153" s="273">
        <f>'6-x'!AQ659</f>
        <v>0.56895021577251936</v>
      </c>
      <c r="I153" s="56"/>
      <c r="J153" s="232" t="str">
        <f>'6-x'!AK676</f>
        <v/>
      </c>
      <c r="K153" s="232">
        <f>'6-x'!AL676</f>
        <v>0.72975406347549432</v>
      </c>
      <c r="L153" s="232">
        <f>'6-x'!AM676</f>
        <v>0.64065471472463942</v>
      </c>
      <c r="M153" s="232">
        <f>'6-x'!AN676</f>
        <v>0.64268545298209945</v>
      </c>
      <c r="N153" s="232">
        <f>'6-x'!AO676</f>
        <v>0.65172504854170754</v>
      </c>
      <c r="O153" s="232">
        <f>'6-x'!AP676</f>
        <v>0.59359028288555138</v>
      </c>
      <c r="P153" s="273">
        <f>'6-x'!AQ676</f>
        <v>0.67443766355758017</v>
      </c>
      <c r="S153" s="56"/>
    </row>
    <row r="154" spans="1:19">
      <c r="A154" s="227" t="s">
        <v>25</v>
      </c>
      <c r="B154" s="232" t="str">
        <f>'6-x'!AK660</f>
        <v/>
      </c>
      <c r="C154" s="232">
        <f>'6-x'!AL660</f>
        <v>0.59200789343857918</v>
      </c>
      <c r="D154" s="232" t="str">
        <f>'6-x'!AM660</f>
        <v/>
      </c>
      <c r="E154" s="232">
        <f>'6-x'!AN660</f>
        <v>0.71656050955414019</v>
      </c>
      <c r="F154" s="232">
        <f>'6-x'!AO660</f>
        <v>0.40026684456304207</v>
      </c>
      <c r="G154" s="232">
        <f>'6-x'!AP660</f>
        <v>0.49281314168377827</v>
      </c>
      <c r="H154" s="273">
        <f>'6-x'!AQ660</f>
        <v>0.60000849744866303</v>
      </c>
      <c r="I154" s="56"/>
      <c r="J154" s="232" t="str">
        <f>'6-x'!AK677</f>
        <v/>
      </c>
      <c r="K154" s="232">
        <f>'6-x'!AL677</f>
        <v>0.73372442054736065</v>
      </c>
      <c r="L154" s="232" t="str">
        <f>'6-x'!AM677</f>
        <v/>
      </c>
      <c r="M154" s="232">
        <f>'6-x'!AN677</f>
        <v>0.8271984164461551</v>
      </c>
      <c r="N154" s="232">
        <f>'6-x'!AO677</f>
        <v>0.70838440570059102</v>
      </c>
      <c r="O154" s="232">
        <f>'6-x'!AP677</f>
        <v>0.67630735558508559</v>
      </c>
      <c r="P154" s="273">
        <f>'6-x'!AQ677</f>
        <v>0.74230845641189425</v>
      </c>
      <c r="S154" s="56"/>
    </row>
    <row r="155" spans="1:19">
      <c r="A155" s="227" t="s">
        <v>26</v>
      </c>
      <c r="B155" s="232">
        <f>'6-x'!AK661</f>
        <v>0.81892629663330319</v>
      </c>
      <c r="C155" s="232">
        <f>'6-x'!AL661</f>
        <v>0.58113256279460201</v>
      </c>
      <c r="D155" s="232">
        <f>'6-x'!AM661</f>
        <v>0.44384169646159533</v>
      </c>
      <c r="E155" s="232">
        <f>'6-x'!AN661</f>
        <v>0.55546983490202129</v>
      </c>
      <c r="F155" s="232">
        <f>'6-x'!AO661</f>
        <v>0.5865102639296188</v>
      </c>
      <c r="G155" s="232">
        <f>'6-x'!AP661</f>
        <v>0.482573726541555</v>
      </c>
      <c r="H155" s="273">
        <f>'6-x'!AQ661</f>
        <v>0.57846122881918682</v>
      </c>
      <c r="I155" s="56"/>
      <c r="J155" s="232">
        <f>'6-x'!AK678</f>
        <v>0.88022609804773877</v>
      </c>
      <c r="K155" s="232">
        <f>'6-x'!AL678</f>
        <v>0.63385682815721711</v>
      </c>
      <c r="L155" s="232">
        <f>'6-x'!AM678</f>
        <v>0.55620841034537527</v>
      </c>
      <c r="M155" s="232">
        <f>'6-x'!AN678</f>
        <v>0.7396397406492069</v>
      </c>
      <c r="N155" s="232">
        <f>'6-x'!AO678</f>
        <v>0.62552503846132224</v>
      </c>
      <c r="O155" s="232">
        <f>'6-x'!AP678</f>
        <v>0.57881018916595006</v>
      </c>
      <c r="P155" s="273">
        <f>'6-x'!AQ678</f>
        <v>0.63544857750889228</v>
      </c>
      <c r="S155" s="56"/>
    </row>
    <row r="156" spans="1:19">
      <c r="A156" s="227" t="s">
        <v>27</v>
      </c>
      <c r="B156" s="232">
        <f>'6-x'!AK662</f>
        <v>0.71656050955414008</v>
      </c>
      <c r="C156" s="232">
        <f>'6-x'!AL662</f>
        <v>0.72683222289521499</v>
      </c>
      <c r="D156" s="232" t="str">
        <f>'6-x'!AM662</f>
        <v/>
      </c>
      <c r="E156" s="232">
        <f>'6-x'!AN662</f>
        <v>0.74766355140186902</v>
      </c>
      <c r="F156" s="232">
        <f>'6-x'!AO662</f>
        <v>0.61527943941206631</v>
      </c>
      <c r="G156" s="232" t="str">
        <f>'6-x'!AP662</f>
        <v/>
      </c>
      <c r="H156" s="273">
        <f>'6-x'!AQ662</f>
        <v>0.67439524389770522</v>
      </c>
      <c r="I156" s="56"/>
      <c r="J156" s="232">
        <f>'6-x'!AK679</f>
        <v>0.83611490915241815</v>
      </c>
      <c r="K156" s="232">
        <f>'6-x'!AL679</f>
        <v>0.85252093374465077</v>
      </c>
      <c r="L156" s="232" t="str">
        <f>'6-x'!AM679</f>
        <v/>
      </c>
      <c r="M156" s="232">
        <f>'6-x'!AN679</f>
        <v>0.87864747696200018</v>
      </c>
      <c r="N156" s="232">
        <f>'6-x'!AO679</f>
        <v>0.77486317084209599</v>
      </c>
      <c r="O156" s="232" t="str">
        <f>'6-x'!AP679</f>
        <v/>
      </c>
      <c r="P156" s="273">
        <f>'6-x'!AQ679</f>
        <v>0.829764013999575</v>
      </c>
      <c r="S156" s="56"/>
    </row>
    <row r="157" spans="1:19">
      <c r="A157" s="227" t="s">
        <v>28</v>
      </c>
      <c r="B157" s="232" t="str">
        <f>'6-x'!AK663</f>
        <v/>
      </c>
      <c r="C157" s="232">
        <f>'6-x'!AL663</f>
        <v>0.40413111809609342</v>
      </c>
      <c r="D157" s="232">
        <f>'6-x'!AM663</f>
        <v>0.38986354775828458</v>
      </c>
      <c r="E157" s="232">
        <f>'6-x'!AN663</f>
        <v>0.45813184016289132</v>
      </c>
      <c r="F157" s="232">
        <f>'6-x'!AO663</f>
        <v>0.29597961029351311</v>
      </c>
      <c r="G157" s="232">
        <f>'6-x'!AP663</f>
        <v>0.35946080878681974</v>
      </c>
      <c r="H157" s="273">
        <f>'6-x'!AQ663</f>
        <v>0.32680585946523932</v>
      </c>
      <c r="I157" s="56"/>
      <c r="J157" s="232" t="str">
        <f>'6-x'!AK680</f>
        <v/>
      </c>
      <c r="K157" s="232">
        <f>'6-x'!AL680</f>
        <v>0.55792058058480298</v>
      </c>
      <c r="L157" s="232">
        <f>'6-x'!AM680</f>
        <v>0.43516802221501766</v>
      </c>
      <c r="M157" s="232">
        <f>'6-x'!AN680</f>
        <v>0.76500746173808076</v>
      </c>
      <c r="N157" s="232">
        <f>'6-x'!AO680</f>
        <v>0.51909526543101903</v>
      </c>
      <c r="O157" s="232">
        <f>'6-x'!AP680</f>
        <v>0.66275641813045083</v>
      </c>
      <c r="P157" s="273">
        <f>'6-x'!AQ680</f>
        <v>0.5296534010398648</v>
      </c>
      <c r="S157" s="56"/>
    </row>
    <row r="158" spans="1:19">
      <c r="A158" s="322" t="s">
        <v>9</v>
      </c>
      <c r="B158" s="323">
        <f>'6-x'!AK664</f>
        <v>0.38848431913394182</v>
      </c>
      <c r="C158" s="323">
        <f>'6-x'!AL664</f>
        <v>0.56313217324516673</v>
      </c>
      <c r="D158" s="323">
        <f>'6-x'!AM664</f>
        <v>0.42341776524048841</v>
      </c>
      <c r="E158" s="323">
        <f>'6-x'!AN664</f>
        <v>0.44148361851354934</v>
      </c>
      <c r="F158" s="323">
        <f>'6-x'!AO664</f>
        <v>0.39289589491983606</v>
      </c>
      <c r="G158" s="323">
        <f>'6-x'!AP664</f>
        <v>0.44671199153562824</v>
      </c>
      <c r="H158" s="323">
        <f>'6-x'!AQ664</f>
        <v>0.49844013564304873</v>
      </c>
      <c r="I158" s="56"/>
      <c r="J158" s="323">
        <f>'6-x'!AK681</f>
        <v>0.39204926897185316</v>
      </c>
      <c r="K158" s="323">
        <f>'6-x'!AL681</f>
        <v>0.61217311073180647</v>
      </c>
      <c r="L158" s="323">
        <f>'6-x'!AM681</f>
        <v>0.51104730534580445</v>
      </c>
      <c r="M158" s="323">
        <f>'6-x'!AN681</f>
        <v>0.6194268339655884</v>
      </c>
      <c r="N158" s="323">
        <f>'6-x'!AO681</f>
        <v>0.49533079126723389</v>
      </c>
      <c r="O158" s="323">
        <f>'6-x'!AP681</f>
        <v>0.50673100075082855</v>
      </c>
      <c r="P158" s="323">
        <f>'6-x'!AQ681</f>
        <v>0.55333955918675493</v>
      </c>
      <c r="R158" s="56"/>
      <c r="S158" s="56"/>
    </row>
    <row r="159" spans="1:19" ht="15.5">
      <c r="A159" s="47"/>
    </row>
    <row r="160" spans="1:19" ht="15.5">
      <c r="A160" s="47"/>
    </row>
    <row r="161" spans="1:19">
      <c r="B161" s="1104" t="s">
        <v>10</v>
      </c>
      <c r="C161" s="1104"/>
      <c r="D161" s="1104"/>
      <c r="E161" s="1104"/>
      <c r="F161" s="1104"/>
      <c r="G161" s="1104"/>
      <c r="H161" s="1104"/>
    </row>
    <row r="162" spans="1:19" ht="29">
      <c r="B162" s="251" t="s">
        <v>5</v>
      </c>
      <c r="C162" s="251" t="s">
        <v>63</v>
      </c>
      <c r="D162" s="251" t="s">
        <v>7</v>
      </c>
      <c r="E162" s="251" t="s">
        <v>8</v>
      </c>
      <c r="F162" s="251" t="s">
        <v>243</v>
      </c>
      <c r="G162" s="251" t="s">
        <v>244</v>
      </c>
      <c r="H162" s="251" t="s">
        <v>9</v>
      </c>
    </row>
    <row r="163" spans="1:19" ht="14.75" customHeight="1">
      <c r="A163" s="253">
        <v>2016</v>
      </c>
      <c r="B163" s="1106" t="s">
        <v>345</v>
      </c>
      <c r="C163" s="1107"/>
      <c r="D163" s="1107"/>
      <c r="E163" s="1107"/>
      <c r="F163" s="1107"/>
      <c r="G163" s="1107"/>
      <c r="H163" s="1108"/>
    </row>
    <row r="164" spans="1:19">
      <c r="A164" s="228" t="s">
        <v>262</v>
      </c>
      <c r="B164" s="273">
        <f>'6-x'!AK737</f>
        <v>0.38154185302159954</v>
      </c>
      <c r="C164" s="273">
        <f>'6-x'!AL737</f>
        <v>0.52767694076486116</v>
      </c>
      <c r="D164" s="273">
        <f>'6-x'!AM737</f>
        <v>0.40336134453781514</v>
      </c>
      <c r="E164" s="273">
        <f>'6-x'!AN737</f>
        <v>0.3490246641844173</v>
      </c>
      <c r="F164" s="273">
        <f>'6-x'!AO737</f>
        <v>0.31640108174984594</v>
      </c>
      <c r="G164" s="273">
        <f>'6-x'!AP737</f>
        <v>0.36513987228126421</v>
      </c>
      <c r="H164" s="273">
        <f>'6-x'!AQ737</f>
        <v>0.42972653996244708</v>
      </c>
      <c r="I164" s="56"/>
      <c r="R164" s="56"/>
    </row>
    <row r="165" spans="1:19">
      <c r="A165" s="227" t="s">
        <v>17</v>
      </c>
      <c r="B165" s="232" t="str">
        <f>'6-x'!AK738</f>
        <v/>
      </c>
      <c r="C165" s="232">
        <f>'6-x'!AL738</f>
        <v>0.3624647603705195</v>
      </c>
      <c r="D165" s="232">
        <f>'6-x'!AM738</f>
        <v>0.40336134453781514</v>
      </c>
      <c r="E165" s="232">
        <f>'6-x'!AN738</f>
        <v>0.37340524841821388</v>
      </c>
      <c r="F165" s="232">
        <f>'6-x'!AO738</f>
        <v>0.40331615505265522</v>
      </c>
      <c r="G165" s="232">
        <f>'6-x'!AP738</f>
        <v>0.36563071297989036</v>
      </c>
      <c r="H165" s="273">
        <f>'6-x'!AQ738</f>
        <v>0.3753085525040285</v>
      </c>
      <c r="I165" s="56"/>
    </row>
    <row r="166" spans="1:19">
      <c r="A166" s="227" t="s">
        <v>18</v>
      </c>
      <c r="B166" s="232" t="str">
        <f>'6-x'!AK739</f>
        <v/>
      </c>
      <c r="C166" s="232">
        <f>'6-x'!AL739</f>
        <v>0.31457532331352672</v>
      </c>
      <c r="D166" s="232" t="str">
        <f>'6-x'!AM739</f>
        <v/>
      </c>
      <c r="E166" s="232">
        <f>'6-x'!AN739</f>
        <v>0.23774930656452253</v>
      </c>
      <c r="F166" s="232">
        <f>'6-x'!AO739</f>
        <v>0.2665679378008145</v>
      </c>
      <c r="G166" s="232">
        <f>'6-x'!AP739</f>
        <v>0.31676198856137261</v>
      </c>
      <c r="H166" s="273">
        <f>'6-x'!AQ739</f>
        <v>0.31158482190251491</v>
      </c>
      <c r="I166" s="56"/>
    </row>
    <row r="167" spans="1:19">
      <c r="A167" s="227" t="s">
        <v>19</v>
      </c>
      <c r="B167" s="232">
        <f>'6-x'!AK740</f>
        <v>0.38154185302159954</v>
      </c>
      <c r="C167" s="232">
        <f>'6-x'!AL740</f>
        <v>0.37771482530689326</v>
      </c>
      <c r="D167" s="232" t="str">
        <f>'6-x'!AM740</f>
        <v/>
      </c>
      <c r="E167" s="232">
        <f>'6-x'!AN740</f>
        <v>0.34575489819439109</v>
      </c>
      <c r="F167" s="232">
        <f>'6-x'!AO740</f>
        <v>0.25951557093425603</v>
      </c>
      <c r="G167" s="232">
        <f>'6-x'!AP740</f>
        <v>0.39867109634551501</v>
      </c>
      <c r="H167" s="273">
        <f>'6-x'!AQ740</f>
        <v>0.36165460088833196</v>
      </c>
      <c r="I167" s="56"/>
    </row>
    <row r="168" spans="1:19">
      <c r="A168" s="227" t="s">
        <v>20</v>
      </c>
      <c r="B168" s="232" t="str">
        <f>'6-x'!AK741</f>
        <v/>
      </c>
      <c r="C168" s="232">
        <f>'6-x'!AL741</f>
        <v>0.53369229081485925</v>
      </c>
      <c r="D168" s="232" t="str">
        <f>'6-x'!AM741</f>
        <v/>
      </c>
      <c r="E168" s="232">
        <f>'6-x'!AN741</f>
        <v>0.44887780548628431</v>
      </c>
      <c r="F168" s="232">
        <f>'6-x'!AO741</f>
        <v>0.47443331576172909</v>
      </c>
      <c r="G168" s="232">
        <f>'6-x'!AP741</f>
        <v>0.39867109634551501</v>
      </c>
      <c r="H168" s="273">
        <f>'6-x'!AQ741</f>
        <v>0.53053424848013619</v>
      </c>
      <c r="I168" s="56"/>
    </row>
    <row r="169" spans="1:19">
      <c r="A169" s="227" t="s">
        <v>22</v>
      </c>
      <c r="B169" s="232" t="str">
        <f>'6-x'!AK742</f>
        <v/>
      </c>
      <c r="C169" s="232" t="str">
        <f>'6-x'!AL742</f>
        <v/>
      </c>
      <c r="D169" s="232" t="str">
        <f>'6-x'!AM742</f>
        <v/>
      </c>
      <c r="E169" s="232" t="str">
        <f>'6-x'!AN742</f>
        <v/>
      </c>
      <c r="F169" s="232" t="str">
        <f>'6-x'!AO742</f>
        <v/>
      </c>
      <c r="G169" s="232" t="str">
        <f>'6-x'!AP742</f>
        <v/>
      </c>
      <c r="H169" s="273" t="str">
        <f>'6-x'!AQ742</f>
        <v/>
      </c>
      <c r="I169" s="56"/>
    </row>
    <row r="170" spans="1:19">
      <c r="A170" s="228" t="s">
        <v>263</v>
      </c>
      <c r="B170" s="273">
        <f>'6-x'!AK743</f>
        <v>0.80957381929844741</v>
      </c>
      <c r="C170" s="273">
        <f>'6-x'!AL743</f>
        <v>0.58832531075882899</v>
      </c>
      <c r="D170" s="273">
        <f>'6-x'!AM743</f>
        <v>0.42062998820750619</v>
      </c>
      <c r="E170" s="273">
        <f>'6-x'!AN743</f>
        <v>0.576621414215298</v>
      </c>
      <c r="F170" s="273">
        <f>'6-x'!AO743</f>
        <v>0.44983746368544653</v>
      </c>
      <c r="G170" s="273">
        <f>'6-x'!AP743</f>
        <v>0.51133952442076369</v>
      </c>
      <c r="H170" s="273">
        <f>'6-x'!AQ743</f>
        <v>0.55607243051807154</v>
      </c>
      <c r="I170" s="56"/>
      <c r="J170" s="273">
        <f>'6-x'!AK760</f>
        <v>0.87302996027330704</v>
      </c>
      <c r="K170" s="273">
        <f>'6-x'!AL760</f>
        <v>0.66083188389927594</v>
      </c>
      <c r="L170" s="273">
        <f>'6-x'!AM760</f>
        <v>0.51675267523434143</v>
      </c>
      <c r="M170" s="273">
        <f>'6-x'!AN760</f>
        <v>0.77481900816686866</v>
      </c>
      <c r="N170" s="273">
        <f>'6-x'!AO760</f>
        <v>0.58877864554212644</v>
      </c>
      <c r="O170" s="273">
        <f>'6-x'!AP760</f>
        <v>0.58049400495077441</v>
      </c>
      <c r="P170" s="273">
        <f>'6-x'!AQ760</f>
        <v>0.64466742449574543</v>
      </c>
      <c r="Q170" s="56"/>
      <c r="R170" s="56"/>
    </row>
    <row r="171" spans="1:19">
      <c r="A171" s="227" t="s">
        <v>24</v>
      </c>
      <c r="B171" s="232" t="str">
        <f>'6-x'!AK744</f>
        <v/>
      </c>
      <c r="C171" s="232">
        <f>'6-x'!AL744</f>
        <v>0.64400715563506261</v>
      </c>
      <c r="D171" s="232">
        <f>'6-x'!AM744</f>
        <v>0.46463603510583373</v>
      </c>
      <c r="E171" s="232">
        <f>'6-x'!AN744</f>
        <v>0.53317535545023698</v>
      </c>
      <c r="F171" s="232">
        <f>'6-x'!AO744</f>
        <v>0.47600158667195558</v>
      </c>
      <c r="G171" s="232">
        <f>'6-x'!AP744</f>
        <v>0.51179982940005686</v>
      </c>
      <c r="H171" s="273">
        <f>'6-x'!AQ744</f>
        <v>0.56886385315689703</v>
      </c>
      <c r="I171" s="56"/>
      <c r="J171" s="232" t="str">
        <f>'6-x'!AK761</f>
        <v/>
      </c>
      <c r="K171" s="232">
        <f>'6-x'!AL761</f>
        <v>0.73746314815561276</v>
      </c>
      <c r="L171" s="232">
        <f>'6-x'!AM761</f>
        <v>0.56810736092819736</v>
      </c>
      <c r="M171" s="232">
        <f>'6-x'!AN761</f>
        <v>0.63827386070507308</v>
      </c>
      <c r="N171" s="232">
        <f>'6-x'!AO761</f>
        <v>0.66622327711449958</v>
      </c>
      <c r="O171" s="232">
        <f>'6-x'!AP761</f>
        <v>0.58040115688267013</v>
      </c>
      <c r="P171" s="273">
        <f>'6-x'!AQ761</f>
        <v>0.67365580131595615</v>
      </c>
      <c r="Q171" s="56"/>
    </row>
    <row r="172" spans="1:19">
      <c r="A172" s="227" t="s">
        <v>25</v>
      </c>
      <c r="B172" s="232" t="str">
        <f>'6-x'!AK745</f>
        <v/>
      </c>
      <c r="C172" s="232">
        <f>'6-x'!AL745</f>
        <v>0.59494298463063955</v>
      </c>
      <c r="D172" s="232">
        <f>'6-x'!AM745</f>
        <v>0.73876462138313148</v>
      </c>
      <c r="E172" s="232">
        <f>'6-x'!AN745</f>
        <v>0.71756029499701024</v>
      </c>
      <c r="F172" s="232">
        <f>'6-x'!AO745</f>
        <v>0.41171088746569079</v>
      </c>
      <c r="G172" s="232">
        <f>'6-x'!AP745</f>
        <v>0.42933810375670844</v>
      </c>
      <c r="H172" s="273">
        <f>'6-x'!AQ745</f>
        <v>0.6026639988379755</v>
      </c>
      <c r="I172" s="56"/>
      <c r="J172" s="232" t="str">
        <f>'6-x'!AK762</f>
        <v/>
      </c>
      <c r="K172" s="232">
        <f>'6-x'!AL762</f>
        <v>0.73818018568805077</v>
      </c>
      <c r="L172" s="232" t="str">
        <f>'6-x'!AM762</f>
        <v/>
      </c>
      <c r="M172" s="232">
        <f>'6-x'!AN762</f>
        <v>0.82452386343531836</v>
      </c>
      <c r="N172" s="232">
        <f>'6-x'!AO762</f>
        <v>0.7216827800264245</v>
      </c>
      <c r="O172" s="232">
        <f>'6-x'!AP762</f>
        <v>0.57887426417091081</v>
      </c>
      <c r="P172" s="273">
        <f>'6-x'!AQ762</f>
        <v>0.74548154801674538</v>
      </c>
      <c r="Q172" s="56"/>
    </row>
    <row r="173" spans="1:19">
      <c r="A173" s="227" t="s">
        <v>26</v>
      </c>
      <c r="B173" s="232">
        <f>'6-x'!AK746</f>
        <v>0.81892629663330307</v>
      </c>
      <c r="C173" s="232">
        <f>'6-x'!AL746</f>
        <v>0.58302994182656798</v>
      </c>
      <c r="D173" s="232">
        <f>'6-x'!AM746</f>
        <v>0.44096031357177862</v>
      </c>
      <c r="E173" s="232">
        <f>'6-x'!AN746</f>
        <v>0.55393137405754733</v>
      </c>
      <c r="F173" s="232">
        <f>'6-x'!AO746</f>
        <v>0.58092625463934155</v>
      </c>
      <c r="G173" s="232">
        <f>'6-x'!AP746</f>
        <v>0.46966731898238745</v>
      </c>
      <c r="H173" s="273">
        <f>'6-x'!AQ746</f>
        <v>0.57912812448925544</v>
      </c>
      <c r="I173" s="56"/>
      <c r="J173" s="232">
        <f>'6-x'!AK763</f>
        <v>0.88017970293683512</v>
      </c>
      <c r="K173" s="232">
        <f>'6-x'!AL763</f>
        <v>0.63825801662794479</v>
      </c>
      <c r="L173" s="232">
        <f>'6-x'!AM763</f>
        <v>0.56511401797555383</v>
      </c>
      <c r="M173" s="232">
        <f>'6-x'!AN763</f>
        <v>0.73885352715285879</v>
      </c>
      <c r="N173" s="232">
        <f>'6-x'!AO763</f>
        <v>0.61762590449610733</v>
      </c>
      <c r="O173" s="232">
        <f>'6-x'!AP763</f>
        <v>0.56530046813795742</v>
      </c>
      <c r="P173" s="273">
        <f>'6-x'!AQ763</f>
        <v>0.63880654488871969</v>
      </c>
      <c r="Q173" s="56"/>
      <c r="S173" s="56"/>
    </row>
    <row r="174" spans="1:19">
      <c r="A174" s="227" t="s">
        <v>27</v>
      </c>
      <c r="B174" s="232">
        <f>'6-x'!AK747</f>
        <v>0.71656050955414019</v>
      </c>
      <c r="C174" s="232">
        <f>'6-x'!AL747</f>
        <v>0.72786089769510709</v>
      </c>
      <c r="D174" s="232" t="str">
        <f>'6-x'!AM747</f>
        <v/>
      </c>
      <c r="E174" s="232">
        <f>'6-x'!AN747</f>
        <v>0.69431051108968178</v>
      </c>
      <c r="F174" s="232">
        <f>'6-x'!AO747</f>
        <v>0.61707233459033262</v>
      </c>
      <c r="G174" s="232">
        <f>'6-x'!AP747</f>
        <v>0.72318200080353556</v>
      </c>
      <c r="H174" s="273">
        <f>'6-x'!AQ747</f>
        <v>0.67346883069327435</v>
      </c>
      <c r="I174" s="56"/>
      <c r="J174" s="232">
        <f>'6-x'!AK764</f>
        <v>0.83613459011340241</v>
      </c>
      <c r="K174" s="232">
        <f>'6-x'!AL764</f>
        <v>0.85203644557407443</v>
      </c>
      <c r="L174" s="232" t="str">
        <f>'6-x'!AM764</f>
        <v/>
      </c>
      <c r="M174" s="232">
        <f>'6-x'!AN764</f>
        <v>0.87345500130614218</v>
      </c>
      <c r="N174" s="232">
        <f>'6-x'!AO764</f>
        <v>0.77450887084599573</v>
      </c>
      <c r="O174" s="232">
        <f>'6-x'!AP764</f>
        <v>0.6859845227858985</v>
      </c>
      <c r="P174" s="273">
        <f>'6-x'!AQ764</f>
        <v>0.83073109585372651</v>
      </c>
      <c r="Q174" s="56"/>
    </row>
    <row r="175" spans="1:19">
      <c r="A175" s="227" t="s">
        <v>28</v>
      </c>
      <c r="B175" s="232" t="str">
        <f>'6-x'!AK748</f>
        <v/>
      </c>
      <c r="C175" s="232">
        <f>'6-x'!AL748</f>
        <v>0.41303350160624142</v>
      </c>
      <c r="D175" s="232">
        <f>'6-x'!AM748</f>
        <v>0.39686914342409885</v>
      </c>
      <c r="E175" s="232">
        <f>'6-x'!AN748</f>
        <v>0.47151277013752463</v>
      </c>
      <c r="F175" s="232">
        <f>'6-x'!AO748</f>
        <v>0.28753993610223638</v>
      </c>
      <c r="G175" s="232">
        <f>'6-x'!AP748</f>
        <v>0.35070628348757915</v>
      </c>
      <c r="H175" s="273">
        <f>'6-x'!AQ748</f>
        <v>0.32285792293946475</v>
      </c>
      <c r="I175" s="56"/>
      <c r="J175" s="232" t="str">
        <f>'6-x'!AK765</f>
        <v/>
      </c>
      <c r="K175" s="232">
        <f>'6-x'!AL765</f>
        <v>0.5859611229388304</v>
      </c>
      <c r="L175" s="232">
        <f>'6-x'!AM765</f>
        <v>0.45388855975786496</v>
      </c>
      <c r="M175" s="232">
        <f>'6-x'!AN765</f>
        <v>0.79190312410432795</v>
      </c>
      <c r="N175" s="232">
        <f>'6-x'!AO765</f>
        <v>0.51875220551346746</v>
      </c>
      <c r="O175" s="232">
        <f>'6-x'!AP765</f>
        <v>0.68018283024845005</v>
      </c>
      <c r="P175" s="273">
        <f>'6-x'!AQ765</f>
        <v>0.52962680280302576</v>
      </c>
      <c r="Q175" s="56"/>
    </row>
    <row r="176" spans="1:19">
      <c r="A176" s="322" t="s">
        <v>9</v>
      </c>
      <c r="B176" s="323">
        <f>'6-x'!AK749</f>
        <v>0.38232810513275212</v>
      </c>
      <c r="C176" s="323">
        <f>'6-x'!AL749</f>
        <v>0.56515959015870942</v>
      </c>
      <c r="D176" s="323">
        <f>'6-x'!AM749</f>
        <v>0.42040690699429761</v>
      </c>
      <c r="E176" s="323">
        <f>'6-x'!AN749</f>
        <v>0.44285310628389596</v>
      </c>
      <c r="F176" s="323">
        <f>'6-x'!AO749</f>
        <v>0.3890529129771787</v>
      </c>
      <c r="G176" s="323">
        <f>'6-x'!AP749</f>
        <v>0.44424507186248469</v>
      </c>
      <c r="H176" s="323">
        <f>'6-x'!AQ749</f>
        <v>0.49025315648227308</v>
      </c>
      <c r="I176" s="56"/>
      <c r="J176" s="323">
        <f>'6-x'!AK766</f>
        <v>0.38552442140619009</v>
      </c>
      <c r="K176" s="323">
        <f>'6-x'!AL766</f>
        <v>0.61820995445408622</v>
      </c>
      <c r="L176" s="323">
        <f>'6-x'!AM766</f>
        <v>0.51557868203741675</v>
      </c>
      <c r="M176" s="323">
        <f>'6-x'!AN766</f>
        <v>0.62348600559074885</v>
      </c>
      <c r="N176" s="323">
        <f>'6-x'!AO766</f>
        <v>0.49034101547085313</v>
      </c>
      <c r="O176" s="323">
        <f>'6-x'!AP766</f>
        <v>0.49423784620954292</v>
      </c>
      <c r="P176" s="323">
        <f>'6-x'!AQ766</f>
        <v>0.54779182316370467</v>
      </c>
      <c r="Q176" s="56"/>
      <c r="R176" s="56"/>
      <c r="S176" s="56"/>
    </row>
    <row r="179" spans="1:18" ht="14.75" customHeight="1">
      <c r="A179" s="253">
        <v>2015</v>
      </c>
      <c r="B179" s="1106" t="s">
        <v>345</v>
      </c>
      <c r="C179" s="1107"/>
      <c r="D179" s="1107"/>
      <c r="E179" s="1107"/>
      <c r="F179" s="1107"/>
      <c r="G179" s="1107"/>
      <c r="H179" s="1108"/>
    </row>
    <row r="180" spans="1:18">
      <c r="A180" s="228" t="s">
        <v>262</v>
      </c>
      <c r="B180" s="273">
        <f>'6-x'!AK822</f>
        <v>0.3780272897900499</v>
      </c>
      <c r="C180" s="273">
        <f>'6-x'!AL822</f>
        <v>0.52606504804522303</v>
      </c>
      <c r="D180" s="273">
        <f>'6-x'!AM822</f>
        <v>0.402189699474919</v>
      </c>
      <c r="E180" s="273">
        <f>'6-x'!AN822</f>
        <v>0.35329421856504789</v>
      </c>
      <c r="F180" s="273">
        <f>'6-x'!AO822</f>
        <v>0.32128140197369714</v>
      </c>
      <c r="G180" s="273">
        <f>'6-x'!AP822</f>
        <v>0.36883600444390668</v>
      </c>
      <c r="H180" s="273">
        <f>'6-x'!AQ822</f>
        <v>0.41743143589913523</v>
      </c>
      <c r="I180" s="256"/>
      <c r="R180" s="168"/>
    </row>
    <row r="181" spans="1:18">
      <c r="A181" s="227" t="s">
        <v>17</v>
      </c>
      <c r="B181" s="232" t="str">
        <f>'6-x'!AK823</f>
        <v/>
      </c>
      <c r="C181" s="232">
        <f>'6-x'!AL823</f>
        <v>0.34897246994959286</v>
      </c>
      <c r="D181" s="232">
        <f>'6-x'!AM823</f>
        <v>0.402189699474919</v>
      </c>
      <c r="E181" s="232">
        <f>'6-x'!AN823</f>
        <v>0.373676562175628</v>
      </c>
      <c r="F181" s="232">
        <f>'6-x'!AO823</f>
        <v>0.40899795501022501</v>
      </c>
      <c r="G181" s="232">
        <f>'6-x'!AP823</f>
        <v>0.36949604844503747</v>
      </c>
      <c r="H181" s="273">
        <f>'6-x'!AQ823</f>
        <v>0.37851402728111827</v>
      </c>
      <c r="I181" s="256"/>
      <c r="R181" s="168"/>
    </row>
    <row r="182" spans="1:18">
      <c r="A182" s="227" t="s">
        <v>18</v>
      </c>
      <c r="B182" s="232" t="str">
        <f>'6-x'!AK824</f>
        <v/>
      </c>
      <c r="C182" s="232">
        <f>'6-x'!AL824</f>
        <v>0.50625791027984812</v>
      </c>
      <c r="D182" s="232" t="str">
        <f>'6-x'!AM824</f>
        <v/>
      </c>
      <c r="E182" s="232">
        <f>'6-x'!AN824</f>
        <v>0.24363833243096911</v>
      </c>
      <c r="F182" s="232">
        <f>'6-x'!AO824</f>
        <v>0.2554278416347382</v>
      </c>
      <c r="G182" s="232">
        <f>'6-x'!AP824</f>
        <v>0.31821797931583135</v>
      </c>
      <c r="H182" s="273">
        <f>'6-x'!AQ824</f>
        <v>0.50009633627451744</v>
      </c>
      <c r="I182" s="256"/>
      <c r="R182" s="168"/>
    </row>
    <row r="183" spans="1:18">
      <c r="A183" s="227" t="s">
        <v>19</v>
      </c>
      <c r="B183" s="232">
        <f>'6-x'!AK825</f>
        <v>0.3780272897900499</v>
      </c>
      <c r="C183" s="232">
        <f>'6-x'!AL825</f>
        <v>0.39713182570325434</v>
      </c>
      <c r="D183" s="232" t="str">
        <f>'6-x'!AM825</f>
        <v/>
      </c>
      <c r="E183" s="232">
        <f>'6-x'!AN825</f>
        <v>0.3515625</v>
      </c>
      <c r="F183" s="232">
        <f>'6-x'!AO825</f>
        <v>0.26214228500691761</v>
      </c>
      <c r="G183" s="232">
        <f>'6-x'!AP825</f>
        <v>0.39924586891427305</v>
      </c>
      <c r="H183" s="273">
        <f>'6-x'!AQ825</f>
        <v>0.36286429138163251</v>
      </c>
      <c r="I183" s="256"/>
      <c r="R183" s="168"/>
    </row>
    <row r="184" spans="1:18">
      <c r="A184" s="227" t="s">
        <v>20</v>
      </c>
      <c r="B184" s="232" t="str">
        <f>'6-x'!AK826</f>
        <v/>
      </c>
      <c r="C184" s="232">
        <f>'6-x'!AL826</f>
        <v>0.53317535545023698</v>
      </c>
      <c r="D184" s="232" t="str">
        <f>'6-x'!AM826</f>
        <v/>
      </c>
      <c r="E184" s="232">
        <f>'6-x'!AN826</f>
        <v>0.46445619920010328</v>
      </c>
      <c r="F184" s="232">
        <f>'6-x'!AO826</f>
        <v>0.47219307450157405</v>
      </c>
      <c r="G184" s="232">
        <f>'6-x'!AP826</f>
        <v>0.35280282242257938</v>
      </c>
      <c r="H184" s="273">
        <f>'6-x'!AQ826</f>
        <v>0.52881933243279222</v>
      </c>
      <c r="I184" s="256"/>
      <c r="R184" s="168"/>
    </row>
    <row r="185" spans="1:18">
      <c r="A185" s="227" t="s">
        <v>22</v>
      </c>
      <c r="B185" s="232" t="str">
        <f>'6-x'!AK827</f>
        <v/>
      </c>
      <c r="C185" s="232">
        <f>'6-x'!AL827</f>
        <v>0.38354996803750269</v>
      </c>
      <c r="D185" s="232" t="str">
        <f>'6-x'!AM827</f>
        <v/>
      </c>
      <c r="E185" s="232" t="str">
        <f>'6-x'!AN827</f>
        <v/>
      </c>
      <c r="F185" s="232" t="str">
        <f>'6-x'!AO827</f>
        <v/>
      </c>
      <c r="G185" s="232" t="str">
        <f>'6-x'!AP827</f>
        <v/>
      </c>
      <c r="H185" s="273">
        <f>'6-x'!AQ827</f>
        <v>0.38354996803750269</v>
      </c>
      <c r="I185" s="256"/>
      <c r="R185" s="168"/>
    </row>
    <row r="186" spans="1:18">
      <c r="A186" s="228" t="s">
        <v>263</v>
      </c>
      <c r="B186" s="273">
        <f>'6-x'!AK828</f>
        <v>0.80930518603014745</v>
      </c>
      <c r="C186" s="273">
        <f>'6-x'!AL828</f>
        <v>0.58705323415327482</v>
      </c>
      <c r="D186" s="273">
        <f>'6-x'!AM828</f>
        <v>0.41384962823507804</v>
      </c>
      <c r="E186" s="273">
        <f>'6-x'!AN828</f>
        <v>0.56115729793144919</v>
      </c>
      <c r="F186" s="273">
        <f>'6-x'!AO828</f>
        <v>0.45143974649752183</v>
      </c>
      <c r="G186" s="273">
        <f>'6-x'!AP828</f>
        <v>0.50780187791455633</v>
      </c>
      <c r="H186" s="273">
        <f>'6-x'!AQ828</f>
        <v>0.55369123808789333</v>
      </c>
      <c r="I186" s="256"/>
      <c r="J186" s="273">
        <f>'6-x'!AK845</f>
        <v>0.87022302802991691</v>
      </c>
      <c r="K186" s="273">
        <f>'6-x'!AL845</f>
        <v>0.66454014045573939</v>
      </c>
      <c r="L186" s="273">
        <f>'6-x'!AM845</f>
        <v>0.51000695559065667</v>
      </c>
      <c r="M186" s="273">
        <f>'6-x'!AN845</f>
        <v>0.7679803578525175</v>
      </c>
      <c r="N186" s="273">
        <f>'6-x'!AO845</f>
        <v>0.57770756998468664</v>
      </c>
      <c r="O186" s="273">
        <f>'6-x'!AP845</f>
        <v>0.58657713559255098</v>
      </c>
      <c r="P186" s="273">
        <f>'6-x'!AQ845</f>
        <v>0.64587672921807615</v>
      </c>
      <c r="Q186" s="256"/>
      <c r="R186" s="168"/>
    </row>
    <row r="187" spans="1:18">
      <c r="A187" s="227" t="s">
        <v>24</v>
      </c>
      <c r="B187" s="232" t="str">
        <f>'6-x'!AK829</f>
        <v/>
      </c>
      <c r="C187" s="232">
        <f>'6-x'!AL829</f>
        <v>0.64011379800853485</v>
      </c>
      <c r="D187" s="232">
        <f>'6-x'!AM829</f>
        <v>0.50398992020159605</v>
      </c>
      <c r="E187" s="232">
        <f>'6-x'!AN829</f>
        <v>0.54249547920433994</v>
      </c>
      <c r="F187" s="232">
        <f>'6-x'!AO829</f>
        <v>0.47694753577106519</v>
      </c>
      <c r="G187" s="232">
        <f>'6-x'!AP829</f>
        <v>0.50818746470920395</v>
      </c>
      <c r="H187" s="273">
        <f>'6-x'!AQ829</f>
        <v>0.56197881251838655</v>
      </c>
      <c r="I187" s="256"/>
      <c r="J187" s="232" t="str">
        <f>'6-x'!AK846</f>
        <v/>
      </c>
      <c r="K187" s="232">
        <f>'6-x'!AL846</f>
        <v>0.73826951649430161</v>
      </c>
      <c r="L187" s="232">
        <f>'6-x'!AM846</f>
        <v>0.60285413141763522</v>
      </c>
      <c r="M187" s="232">
        <f>'6-x'!AN846</f>
        <v>0.63819545075696293</v>
      </c>
      <c r="N187" s="232">
        <f>'6-x'!AO846</f>
        <v>0.62390110583494207</v>
      </c>
      <c r="O187" s="232">
        <f>'6-x'!AP846</f>
        <v>0.58648405111583601</v>
      </c>
      <c r="P187" s="273">
        <f>'6-x'!AQ846</f>
        <v>0.66697951685581713</v>
      </c>
      <c r="Q187" s="256"/>
      <c r="R187" s="168"/>
    </row>
    <row r="188" spans="1:18">
      <c r="A188" s="227" t="s">
        <v>25</v>
      </c>
      <c r="B188" s="232" t="str">
        <f>'6-x'!AK830</f>
        <v/>
      </c>
      <c r="C188" s="232">
        <f>'6-x'!AL830</f>
        <v>0.60160427807486627</v>
      </c>
      <c r="D188" s="232">
        <f>'6-x'!AM830</f>
        <v>0.76742698784907271</v>
      </c>
      <c r="E188" s="232">
        <f>'6-x'!AN830</f>
        <v>0.71570576540755471</v>
      </c>
      <c r="F188" s="232">
        <f>'6-x'!AO830</f>
        <v>0.40504050405040509</v>
      </c>
      <c r="G188" s="232">
        <f>'6-x'!AP830</f>
        <v>0.46397731666451864</v>
      </c>
      <c r="H188" s="273">
        <f>'6-x'!AQ830</f>
        <v>0.60906304751789175</v>
      </c>
      <c r="I188" s="256"/>
      <c r="J188" s="232" t="str">
        <f>'6-x'!AK847</f>
        <v/>
      </c>
      <c r="K188" s="232">
        <f>'6-x'!AL847</f>
        <v>0.74434388198092727</v>
      </c>
      <c r="L188" s="232" t="str">
        <f>'6-x'!AM847</f>
        <v/>
      </c>
      <c r="M188" s="232">
        <f>'6-x'!AN847</f>
        <v>0.82429103085400302</v>
      </c>
      <c r="N188" s="232">
        <f>'6-x'!AO847</f>
        <v>0.72847099286834249</v>
      </c>
      <c r="O188" s="232">
        <f>'6-x'!AP847</f>
        <v>0.68652499692912416</v>
      </c>
      <c r="P188" s="273">
        <f>'6-x'!AQ847</f>
        <v>0.75138255345615113</v>
      </c>
      <c r="Q188" s="256"/>
      <c r="R188" s="168"/>
    </row>
    <row r="189" spans="1:18">
      <c r="A189" s="227" t="s">
        <v>26</v>
      </c>
      <c r="B189" s="232">
        <f>'6-x'!AK831</f>
        <v>0.81892629663330296</v>
      </c>
      <c r="C189" s="232">
        <f>'6-x'!AL831</f>
        <v>0.58205335489086507</v>
      </c>
      <c r="D189" s="232">
        <f>'6-x'!AM831</f>
        <v>0.43551899346721512</v>
      </c>
      <c r="E189" s="232">
        <f>'6-x'!AN831</f>
        <v>0.55478502080443837</v>
      </c>
      <c r="F189" s="232">
        <f>'6-x'!AO831</f>
        <v>0.59553349875930528</v>
      </c>
      <c r="G189" s="232">
        <f>'6-x'!AP831</f>
        <v>0.46100653092585481</v>
      </c>
      <c r="H189" s="273">
        <f>'6-x'!AQ831</f>
        <v>0.5805850282535715</v>
      </c>
      <c r="I189" s="256"/>
      <c r="J189" s="232">
        <f>'6-x'!AK848</f>
        <v>0.87956772946921213</v>
      </c>
      <c r="K189" s="232">
        <f>'6-x'!AL848</f>
        <v>0.64212144142614647</v>
      </c>
      <c r="L189" s="232">
        <f>'6-x'!AM848</f>
        <v>0.5206694480905677</v>
      </c>
      <c r="M189" s="232">
        <f>'6-x'!AN848</f>
        <v>0.73150972228179056</v>
      </c>
      <c r="N189" s="232">
        <f>'6-x'!AO848</f>
        <v>0.63085883763751915</v>
      </c>
      <c r="O189" s="232">
        <f>'6-x'!AP848</f>
        <v>0.56452869733447963</v>
      </c>
      <c r="P189" s="273">
        <f>'6-x'!AQ848</f>
        <v>0.64306705553669807</v>
      </c>
      <c r="Q189" s="256"/>
      <c r="R189" s="168"/>
    </row>
    <row r="190" spans="1:18">
      <c r="A190" s="227" t="s">
        <v>27</v>
      </c>
      <c r="B190" s="232">
        <f>'6-x'!AK832</f>
        <v>0.71656050955414019</v>
      </c>
      <c r="C190" s="232">
        <f>'6-x'!AL832</f>
        <v>0.73424434019987772</v>
      </c>
      <c r="D190" s="232" t="str">
        <f>'6-x'!AM832</f>
        <v/>
      </c>
      <c r="E190" s="232">
        <f>'6-x'!AN832</f>
        <v>0.77669902912621358</v>
      </c>
      <c r="F190" s="232">
        <f>'6-x'!AO832</f>
        <v>0.6094464195022854</v>
      </c>
      <c r="G190" s="232">
        <f>'6-x'!AP832</f>
        <v>0.75821398483572033</v>
      </c>
      <c r="H190" s="273">
        <f>'6-x'!AQ832</f>
        <v>0.68454736247977988</v>
      </c>
      <c r="I190" s="256"/>
      <c r="J190" s="232">
        <f>'6-x'!AK849</f>
        <v>0.82836494389687543</v>
      </c>
      <c r="K190" s="232">
        <f>'6-x'!AL849</f>
        <v>0.8471956737928017</v>
      </c>
      <c r="L190" s="232" t="str">
        <f>'6-x'!AM849</f>
        <v/>
      </c>
      <c r="M190" s="232">
        <f>'6-x'!AN849</f>
        <v>0.88924693616991879</v>
      </c>
      <c r="N190" s="232">
        <f>'6-x'!AO849</f>
        <v>0.76985627026969161</v>
      </c>
      <c r="O190" s="232">
        <f>'6-x'!AP849</f>
        <v>0.83863571223846378</v>
      </c>
      <c r="P190" s="273">
        <f>'6-x'!AQ849</f>
        <v>0.83478602236006916</v>
      </c>
      <c r="Q190" s="256"/>
      <c r="R190" s="168"/>
    </row>
    <row r="191" spans="1:18">
      <c r="A191" s="227" t="s">
        <v>28</v>
      </c>
      <c r="B191" s="232" t="str">
        <f>'6-x'!AK833</f>
        <v/>
      </c>
      <c r="C191" s="232">
        <f>'6-x'!AL833</f>
        <v>0.42765502494654317</v>
      </c>
      <c r="D191" s="232">
        <f>'6-x'!AM833</f>
        <v>0.39045553145336226</v>
      </c>
      <c r="E191" s="232">
        <f>'6-x'!AN833</f>
        <v>0.41748811318566631</v>
      </c>
      <c r="F191" s="232">
        <f>'6-x'!AO833</f>
        <v>0.28313016122689738</v>
      </c>
      <c r="G191" s="232">
        <f>'6-x'!AP833</f>
        <v>0.3496843127731909</v>
      </c>
      <c r="H191" s="273">
        <f>'6-x'!AQ833</f>
        <v>0.32427323638830202</v>
      </c>
      <c r="I191" s="256"/>
      <c r="J191" s="232" t="str">
        <f>'6-x'!AK850</f>
        <v/>
      </c>
      <c r="K191" s="232">
        <f>'6-x'!AL850</f>
        <v>0.58995780338929105</v>
      </c>
      <c r="L191" s="232">
        <f>'6-x'!AM850</f>
        <v>0.49368358990237465</v>
      </c>
      <c r="M191" s="232">
        <f>'6-x'!AN850</f>
        <v>0.72233124443599084</v>
      </c>
      <c r="N191" s="232">
        <f>'6-x'!AO850</f>
        <v>0.49753929313502948</v>
      </c>
      <c r="O191" s="232">
        <f>'6-x'!AP850</f>
        <v>0.61088095051981539</v>
      </c>
      <c r="P191" s="273">
        <f>'6-x'!AQ850</f>
        <v>0.52495595405827522</v>
      </c>
      <c r="Q191" s="256"/>
      <c r="R191" s="168"/>
    </row>
    <row r="192" spans="1:18">
      <c r="A192" s="322" t="s">
        <v>9</v>
      </c>
      <c r="B192" s="323">
        <f>'6-x'!AK834</f>
        <v>0.37869528599914415</v>
      </c>
      <c r="C192" s="323">
        <f>'6-x'!AL834</f>
        <v>0.56454358650448455</v>
      </c>
      <c r="D192" s="323">
        <f>'6-x'!AM834</f>
        <v>0.4136735486173882</v>
      </c>
      <c r="E192" s="323">
        <f>'6-x'!AN834</f>
        <v>0.42058658269707699</v>
      </c>
      <c r="F192" s="323">
        <f>'6-x'!AO834</f>
        <v>0.39200327702031773</v>
      </c>
      <c r="G192" s="323">
        <f>'6-x'!AP834</f>
        <v>0.44309466245884321</v>
      </c>
      <c r="H192" s="323">
        <f>'6-x'!AQ834</f>
        <v>0.47758370718867021</v>
      </c>
      <c r="I192" s="256"/>
      <c r="J192" s="323">
        <f>'6-x'!AK851</f>
        <v>0.38133682720839795</v>
      </c>
      <c r="K192" s="323">
        <f>'6-x'!AL851</f>
        <v>0.62246607781796737</v>
      </c>
      <c r="L192" s="323">
        <f>'6-x'!AM851</f>
        <v>0.50869615594360573</v>
      </c>
      <c r="M192" s="323">
        <f>'6-x'!AN851</f>
        <v>0.57944885656011991</v>
      </c>
      <c r="N192" s="323">
        <f>'6-x'!AO851</f>
        <v>0.48429860872041863</v>
      </c>
      <c r="O192" s="323">
        <f>'6-x'!AP851</f>
        <v>0.49808494149998339</v>
      </c>
      <c r="P192" s="323">
        <f>'6-x'!AQ851</f>
        <v>0.53565640600539577</v>
      </c>
      <c r="R192" s="168"/>
    </row>
    <row r="195" spans="1:16" ht="14.75" customHeight="1">
      <c r="A195" s="253">
        <v>2010</v>
      </c>
      <c r="B195" s="1106" t="s">
        <v>345</v>
      </c>
      <c r="C195" s="1107"/>
      <c r="D195" s="1107"/>
      <c r="E195" s="1107"/>
      <c r="F195" s="1107"/>
      <c r="G195" s="1107"/>
      <c r="H195" s="1108"/>
    </row>
    <row r="196" spans="1:16">
      <c r="A196" s="228" t="s">
        <v>262</v>
      </c>
      <c r="B196" s="273">
        <f>'6-x'!AK906</f>
        <v>0.37897130345074431</v>
      </c>
      <c r="C196" s="273">
        <f>'6-x'!AL906</f>
        <v>0.51003513648154264</v>
      </c>
      <c r="D196" s="273">
        <f>'6-x'!AM906</f>
        <v>0.36701009939913076</v>
      </c>
      <c r="E196" s="273">
        <f>'6-x'!AN906</f>
        <v>0.34234797074739698</v>
      </c>
      <c r="F196" s="273">
        <f>'6-x'!AO906</f>
        <v>0.28280815410649157</v>
      </c>
      <c r="G196" s="273">
        <f>'6-x'!AP906</f>
        <v>0.34945598535146633</v>
      </c>
      <c r="H196" s="273">
        <f>'6-x'!AQ906</f>
        <v>0.43057963884183692</v>
      </c>
      <c r="I196" s="254"/>
    </row>
    <row r="197" spans="1:16">
      <c r="A197" s="227" t="s">
        <v>17</v>
      </c>
      <c r="B197" s="232" t="str">
        <f>'6-x'!AK907</f>
        <v/>
      </c>
      <c r="C197" s="232">
        <f>'6-x'!AL907</f>
        <v>0.35039906560249173</v>
      </c>
      <c r="D197" s="232">
        <f>'6-x'!AM907</f>
        <v>0.39844542532853822</v>
      </c>
      <c r="E197" s="232">
        <f>'6-x'!AN907</f>
        <v>0.37613527027952121</v>
      </c>
      <c r="F197" s="232">
        <f>'6-x'!AO907</f>
        <v>0.40848746170430045</v>
      </c>
      <c r="G197" s="232">
        <f>'6-x'!AP907</f>
        <v>0.34970129680897571</v>
      </c>
      <c r="H197" s="273">
        <f>'6-x'!AQ907</f>
        <v>0.37149397623218244</v>
      </c>
      <c r="I197" s="254"/>
    </row>
    <row r="198" spans="1:16">
      <c r="A198" s="227" t="s">
        <v>18</v>
      </c>
      <c r="B198" s="232" t="str">
        <f>'6-x'!AK908</f>
        <v/>
      </c>
      <c r="C198" s="232">
        <f>'6-x'!AL908</f>
        <v>0.28193280601456655</v>
      </c>
      <c r="D198" s="232" t="str">
        <f>'6-x'!AM908</f>
        <v/>
      </c>
      <c r="E198" s="232">
        <f>'6-x'!AN908</f>
        <v>0.20925899923557692</v>
      </c>
      <c r="F198" s="232">
        <f>'6-x'!AO908</f>
        <v>0.27479888156855203</v>
      </c>
      <c r="G198" s="232">
        <f>'6-x'!AP908</f>
        <v>0.32108455226542998</v>
      </c>
      <c r="H198" s="273">
        <f>'6-x'!AQ908</f>
        <v>0.27357715530398152</v>
      </c>
      <c r="I198" s="254"/>
    </row>
    <row r="199" spans="1:16">
      <c r="A199" s="227" t="s">
        <v>19</v>
      </c>
      <c r="B199" s="232">
        <f>'6-x'!AK909</f>
        <v>0.37897130345074431</v>
      </c>
      <c r="C199" s="232">
        <f>'6-x'!AL909</f>
        <v>0.36498200435950734</v>
      </c>
      <c r="D199" s="232">
        <f>'6-x'!AM909</f>
        <v>0.36590943741424004</v>
      </c>
      <c r="E199" s="232">
        <f>'6-x'!AN909</f>
        <v>0.34217279726261762</v>
      </c>
      <c r="F199" s="232">
        <f>'6-x'!AO909</f>
        <v>0.22966507177033493</v>
      </c>
      <c r="G199" s="232" t="str">
        <f>'6-x'!AP909</f>
        <v/>
      </c>
      <c r="H199" s="273">
        <f>'6-x'!AQ909</f>
        <v>0.35836185722793329</v>
      </c>
      <c r="I199" s="254"/>
    </row>
    <row r="200" spans="1:16">
      <c r="A200" s="227" t="s">
        <v>20</v>
      </c>
      <c r="B200" s="232" t="str">
        <f>'6-x'!AK910</f>
        <v/>
      </c>
      <c r="C200" s="232">
        <f>'6-x'!AL910</f>
        <v>0.5275884809848318</v>
      </c>
      <c r="D200" s="232">
        <f>'6-x'!AM910</f>
        <v>0.3671596124426314</v>
      </c>
      <c r="E200" s="232">
        <f>'6-x'!AN910</f>
        <v>0.12665270700530057</v>
      </c>
      <c r="F200" s="232">
        <f>'6-x'!AO910</f>
        <v>0.48661303217826007</v>
      </c>
      <c r="G200" s="232" t="str">
        <f>'6-x'!AP910</f>
        <v/>
      </c>
      <c r="H200" s="273">
        <f>'6-x'!AQ910</f>
        <v>0.52636331177959483</v>
      </c>
      <c r="I200" s="254"/>
    </row>
    <row r="201" spans="1:16">
      <c r="A201" s="227" t="s">
        <v>22</v>
      </c>
      <c r="B201" s="232" t="str">
        <f>'6-x'!AK911</f>
        <v/>
      </c>
      <c r="C201" s="232">
        <f>'6-x'!AL911</f>
        <v>0.35678889990089196</v>
      </c>
      <c r="D201" s="232" t="str">
        <f>'6-x'!AM911</f>
        <v/>
      </c>
      <c r="E201" s="232">
        <f>'6-x'!AN911</f>
        <v>0.34825647138881555</v>
      </c>
      <c r="F201" s="232" t="str">
        <f>'6-x'!AO911</f>
        <v/>
      </c>
      <c r="G201" s="232" t="str">
        <f>'6-x'!AP911</f>
        <v/>
      </c>
      <c r="H201" s="273">
        <f>'6-x'!AQ911</f>
        <v>0.35533125503729135</v>
      </c>
      <c r="I201" s="254"/>
    </row>
    <row r="202" spans="1:16">
      <c r="A202" s="228" t="s">
        <v>263</v>
      </c>
      <c r="B202" s="273">
        <f>'6-x'!AK912</f>
        <v>0.58056687016837316</v>
      </c>
      <c r="C202" s="273">
        <f>'6-x'!AL912</f>
        <v>0.55282763608296626</v>
      </c>
      <c r="D202" s="273">
        <f>'6-x'!AM912</f>
        <v>0.40611368691594391</v>
      </c>
      <c r="E202" s="273">
        <f>'6-x'!AN912</f>
        <v>0.47002039012596691</v>
      </c>
      <c r="F202" s="273">
        <f>'6-x'!AO912</f>
        <v>0.4053118802898143</v>
      </c>
      <c r="G202" s="273">
        <f>'6-x'!AP912</f>
        <v>0.42906885374928438</v>
      </c>
      <c r="H202" s="273">
        <f>'6-x'!AQ912</f>
        <v>0.51591288069829488</v>
      </c>
      <c r="I202" s="56"/>
      <c r="J202" s="273">
        <f>'6-x'!AK929</f>
        <v>0.77208548955652923</v>
      </c>
      <c r="K202" s="273">
        <f>'6-x'!AL929</f>
        <v>0.62219601972117611</v>
      </c>
      <c r="L202" s="273">
        <f>'6-x'!AM929</f>
        <v>0.42153834165919912</v>
      </c>
      <c r="M202" s="273">
        <f>'6-x'!AN929</f>
        <v>0.72294401994815727</v>
      </c>
      <c r="N202" s="273">
        <f>'6-x'!AO929</f>
        <v>0.47778841494519503</v>
      </c>
      <c r="O202" s="273">
        <f>'6-x'!AP929</f>
        <v>0.51525157374342456</v>
      </c>
      <c r="P202" s="273">
        <f>'6-x'!AQ929</f>
        <v>0.6009120884533764</v>
      </c>
    </row>
    <row r="203" spans="1:16">
      <c r="A203" s="227" t="s">
        <v>24</v>
      </c>
      <c r="B203" s="232" t="str">
        <f>'6-x'!AK913</f>
        <v/>
      </c>
      <c r="C203" s="232">
        <f>'6-x'!AL913</f>
        <v>0.55366724266515488</v>
      </c>
      <c r="D203" s="232">
        <f>'6-x'!AM913</f>
        <v>0.39460542811334814</v>
      </c>
      <c r="E203" s="232">
        <f>'6-x'!AN913</f>
        <v>0.56494430214125202</v>
      </c>
      <c r="F203" s="232">
        <f>'6-x'!AO913</f>
        <v>0.50430805153019675</v>
      </c>
      <c r="G203" s="232">
        <f>'6-x'!AP913</f>
        <v>0.46302920186267388</v>
      </c>
      <c r="H203" s="273">
        <f>'6-x'!AQ913</f>
        <v>0.52975443028370783</v>
      </c>
      <c r="I203" s="56"/>
      <c r="J203" s="232" t="str">
        <f>'6-x'!AK930</f>
        <v/>
      </c>
      <c r="K203" s="232">
        <f>'6-x'!AL930</f>
        <v>0.68807995963564428</v>
      </c>
      <c r="L203" s="232">
        <f>'6-x'!AM930</f>
        <v>0.41619315644845645</v>
      </c>
      <c r="M203" s="232">
        <f>'6-x'!AN930</f>
        <v>0.63770168428506402</v>
      </c>
      <c r="N203" s="232">
        <f>'6-x'!AO930</f>
        <v>0.59415476775303155</v>
      </c>
      <c r="O203" s="232">
        <f>'6-x'!AP930</f>
        <v>0.53362373219160919</v>
      </c>
      <c r="P203" s="273">
        <f>'6-x'!AQ930</f>
        <v>0.65350725267726539</v>
      </c>
    </row>
    <row r="204" spans="1:16">
      <c r="A204" s="227" t="s">
        <v>25</v>
      </c>
      <c r="B204" s="232" t="str">
        <f>'6-x'!AK914</f>
        <v/>
      </c>
      <c r="C204" s="232">
        <f>'6-x'!AL914</f>
        <v>0.58853198347637614</v>
      </c>
      <c r="D204" s="232">
        <f>'6-x'!AM914</f>
        <v>0.73869864936338958</v>
      </c>
      <c r="E204" s="232">
        <f>'6-x'!AN914</f>
        <v>0.54872063041415786</v>
      </c>
      <c r="F204" s="232" t="str">
        <f>'6-x'!AO914</f>
        <v/>
      </c>
      <c r="G204" s="232">
        <f>'6-x'!AP914</f>
        <v>0.55581462692888528</v>
      </c>
      <c r="H204" s="273">
        <f>'6-x'!AQ914</f>
        <v>0.58270289093592809</v>
      </c>
      <c r="I204" s="56"/>
      <c r="J204" s="232" t="str">
        <f>'6-x'!AK931</f>
        <v/>
      </c>
      <c r="K204" s="232">
        <f>'6-x'!AL931</f>
        <v>0.73801561453965503</v>
      </c>
      <c r="L204" s="232">
        <f>'6-x'!AM931</f>
        <v>0.25795356835769556</v>
      </c>
      <c r="M204" s="232">
        <f>'6-x'!AN931</f>
        <v>0.72444816213274843</v>
      </c>
      <c r="N204" s="232" t="str">
        <f>'6-x'!AO931</f>
        <v/>
      </c>
      <c r="O204" s="232">
        <f>'6-x'!AP931</f>
        <v>0.77944969905417016</v>
      </c>
      <c r="P204" s="273">
        <f>'6-x'!AQ931</f>
        <v>0.73594977967440633</v>
      </c>
    </row>
    <row r="205" spans="1:16">
      <c r="A205" s="227" t="s">
        <v>26</v>
      </c>
      <c r="B205" s="232">
        <f>'6-x'!AK915</f>
        <v>0.56193806193806195</v>
      </c>
      <c r="C205" s="232">
        <f>'6-x'!AL915</f>
        <v>0.55473928409354445</v>
      </c>
      <c r="D205" s="232">
        <f>'6-x'!AM915</f>
        <v>0.4151835962621851</v>
      </c>
      <c r="E205" s="232">
        <f>'6-x'!AN915</f>
        <v>0.53673235197190106</v>
      </c>
      <c r="F205" s="232">
        <f>'6-x'!AO915</f>
        <v>0.49932940061497405</v>
      </c>
      <c r="G205" s="232">
        <f>'6-x'!AP915</f>
        <v>0.17067193883663864</v>
      </c>
      <c r="H205" s="273">
        <f>'6-x'!AQ915</f>
        <v>0.54040682511310922</v>
      </c>
      <c r="I205" s="56"/>
      <c r="J205" s="232">
        <f>'6-x'!AK932</f>
        <v>0.74367968263067141</v>
      </c>
      <c r="K205" s="232">
        <f>'6-x'!AL932</f>
        <v>0.6054654064087468</v>
      </c>
      <c r="L205" s="232">
        <f>'6-x'!AM932</f>
        <v>0.42922018756792724</v>
      </c>
      <c r="M205" s="232">
        <f>'6-x'!AN932</f>
        <v>0.74397469711194708</v>
      </c>
      <c r="N205" s="232">
        <f>'6-x'!AO932</f>
        <v>0.53433993225854193</v>
      </c>
      <c r="O205" s="232">
        <f>'6-x'!AP932</f>
        <v>0.28131269704786477</v>
      </c>
      <c r="P205" s="273">
        <f>'6-x'!AQ932</f>
        <v>0.59466254055761347</v>
      </c>
    </row>
    <row r="206" spans="1:16">
      <c r="A206" s="227" t="s">
        <v>27</v>
      </c>
      <c r="B206" s="232">
        <f>'6-x'!AK916</f>
        <v>0.74834223486421703</v>
      </c>
      <c r="C206" s="232">
        <f>'6-x'!AL916</f>
        <v>0.47114807005971809</v>
      </c>
      <c r="D206" s="232" t="str">
        <f>'6-x'!AM916</f>
        <v/>
      </c>
      <c r="E206" s="232">
        <f>'6-x'!AN916</f>
        <v>0.43735769474007397</v>
      </c>
      <c r="F206" s="232">
        <f>'6-x'!AO916</f>
        <v>0.57824157892332573</v>
      </c>
      <c r="G206" s="232">
        <f>'6-x'!AP916</f>
        <v>0.51059692865735473</v>
      </c>
      <c r="H206" s="273">
        <f>'6-x'!AQ916</f>
        <v>0.49030899465335487</v>
      </c>
      <c r="I206" s="56"/>
      <c r="J206" s="232">
        <f>'6-x'!AK933</f>
        <v>0.83755741039783582</v>
      </c>
      <c r="K206" s="232">
        <f>'6-x'!AL933</f>
        <v>0.73353425608931433</v>
      </c>
      <c r="L206" s="232" t="str">
        <f>'6-x'!AM933</f>
        <v/>
      </c>
      <c r="M206" s="232">
        <f>'6-x'!AN933</f>
        <v>0.77191145126171279</v>
      </c>
      <c r="N206" s="232">
        <f>'6-x'!AO933</f>
        <v>0.73454671928205117</v>
      </c>
      <c r="O206" s="232">
        <f>'6-x'!AP933</f>
        <v>0.70551256329416256</v>
      </c>
      <c r="P206" s="273">
        <f>'6-x'!AQ933</f>
        <v>0.74724633618812053</v>
      </c>
    </row>
    <row r="207" spans="1:16">
      <c r="A207" s="227" t="s">
        <v>28</v>
      </c>
      <c r="B207" s="232" t="str">
        <f>'6-x'!AK917</f>
        <v/>
      </c>
      <c r="C207" s="232">
        <f>'6-x'!AL917</f>
        <v>0.40406260707659086</v>
      </c>
      <c r="D207" s="232">
        <f>'6-x'!AM917</f>
        <v>0.20614846028745756</v>
      </c>
      <c r="E207" s="232">
        <f>'6-x'!AN917</f>
        <v>0.41478303321706966</v>
      </c>
      <c r="F207" s="232">
        <f>'6-x'!AO917</f>
        <v>0.19954635132489801</v>
      </c>
      <c r="G207" s="232">
        <f>'6-x'!AP917</f>
        <v>0.29578439210835411</v>
      </c>
      <c r="H207" s="273">
        <f>'6-x'!AQ917</f>
        <v>0.27398071305549881</v>
      </c>
      <c r="I207" s="56"/>
      <c r="J207" s="232" t="str">
        <f>'6-x'!AK934</f>
        <v/>
      </c>
      <c r="K207" s="232">
        <f>'6-x'!AL934</f>
        <v>0.62481776032210201</v>
      </c>
      <c r="L207" s="232">
        <f>'6-x'!AM934</f>
        <v>0.25614789337919175</v>
      </c>
      <c r="M207" s="232">
        <f>'6-x'!AN934</f>
        <v>0.69228065667276484</v>
      </c>
      <c r="N207" s="232">
        <f>'6-x'!AO934</f>
        <v>0.3237267050460283</v>
      </c>
      <c r="O207" s="232">
        <f>'6-x'!AP934</f>
        <v>0.4230576759848822</v>
      </c>
      <c r="P207" s="273">
        <f>'6-x'!AQ934</f>
        <v>0.49552355560717898</v>
      </c>
    </row>
    <row r="208" spans="1:16">
      <c r="A208" s="322" t="s">
        <v>9</v>
      </c>
      <c r="B208" s="323">
        <f>'6-x'!AK918</f>
        <v>0.37940114085475474</v>
      </c>
      <c r="C208" s="323">
        <f>'6-x'!AL918</f>
        <v>0.5334776540442806</v>
      </c>
      <c r="D208" s="323">
        <f>'6-x'!AM918</f>
        <v>0.39756680306374076</v>
      </c>
      <c r="E208" s="323">
        <f>'6-x'!AN918</f>
        <v>0.39594280594202974</v>
      </c>
      <c r="F208" s="323">
        <f>'6-x'!AO918</f>
        <v>0.36164193646030268</v>
      </c>
      <c r="G208" s="323">
        <f>'6-x'!AP918</f>
        <v>0.36885833728268586</v>
      </c>
      <c r="H208" s="323">
        <f>'6-x'!AQ918</f>
        <v>0.4695979882043721</v>
      </c>
      <c r="I208" s="56"/>
      <c r="J208" s="323">
        <f>'6-x'!AK935</f>
        <v>0.38132824857613862</v>
      </c>
      <c r="K208" s="323">
        <f>'6-x'!AL935</f>
        <v>0.57770025284144522</v>
      </c>
      <c r="L208" s="323">
        <f>'6-x'!AM935</f>
        <v>0.40991293866614142</v>
      </c>
      <c r="M208" s="323">
        <f>'6-x'!AN935</f>
        <v>0.58448430873757695</v>
      </c>
      <c r="N208" s="323">
        <f>'6-x'!AO935</f>
        <v>0.41578721973986843</v>
      </c>
      <c r="O208" s="323">
        <f>'6-x'!AP935</f>
        <v>0.39637328443478526</v>
      </c>
      <c r="P208" s="323">
        <f>'6-x'!AQ935</f>
        <v>0.51756308250443284</v>
      </c>
    </row>
    <row r="211" spans="1:16" ht="14.75" customHeight="1">
      <c r="A211" s="253">
        <v>2005</v>
      </c>
      <c r="B211" s="1106" t="s">
        <v>345</v>
      </c>
      <c r="C211" s="1107"/>
      <c r="D211" s="1107"/>
      <c r="E211" s="1107"/>
      <c r="F211" s="1107"/>
      <c r="G211" s="1107"/>
      <c r="H211" s="1108"/>
    </row>
    <row r="212" spans="1:16">
      <c r="A212" s="228" t="s">
        <v>262</v>
      </c>
      <c r="B212" s="273">
        <f>'6-x'!AK989</f>
        <v>0.36776955853677729</v>
      </c>
      <c r="C212" s="273">
        <f>'6-x'!AL989</f>
        <v>0.49448518056676388</v>
      </c>
      <c r="D212" s="273">
        <f>'6-x'!AM989</f>
        <v>0.35415429116275626</v>
      </c>
      <c r="E212" s="273">
        <f>'6-x'!AN989</f>
        <v>0.3757536569378479</v>
      </c>
      <c r="F212" s="273">
        <f>'6-x'!AO989</f>
        <v>0.19514083708283092</v>
      </c>
      <c r="G212" s="273">
        <f>'6-x'!AP989</f>
        <v>0.33586045906208917</v>
      </c>
      <c r="H212" s="273">
        <f>'6-x'!AQ989</f>
        <v>0.41991702994863439</v>
      </c>
    </row>
    <row r="213" spans="1:16">
      <c r="A213" s="227" t="s">
        <v>17</v>
      </c>
      <c r="B213" s="232" t="str">
        <f>'6-x'!AK990</f>
        <v/>
      </c>
      <c r="C213" s="232">
        <f>'6-x'!AL990</f>
        <v>0.3643411982453329</v>
      </c>
      <c r="D213" s="232">
        <f>'6-x'!AM990</f>
        <v>0.39826087441361069</v>
      </c>
      <c r="E213" s="232">
        <f>'6-x'!AN990</f>
        <v>0.36604735115325054</v>
      </c>
      <c r="F213" s="232">
        <f>'6-x'!AO990</f>
        <v>0.10627181162513724</v>
      </c>
      <c r="G213" s="232">
        <f>'6-x'!AP990</f>
        <v>0.33865507202008088</v>
      </c>
      <c r="H213" s="273">
        <f>'6-x'!AQ990</f>
        <v>0.33179437558999003</v>
      </c>
    </row>
    <row r="214" spans="1:16">
      <c r="A214" s="227" t="s">
        <v>18</v>
      </c>
      <c r="B214" s="232" t="str">
        <f>'6-x'!AK991</f>
        <v/>
      </c>
      <c r="C214" s="232">
        <f>'6-x'!AL991</f>
        <v>0.29366298765675736</v>
      </c>
      <c r="D214" s="232" t="str">
        <f>'6-x'!AM991</f>
        <v/>
      </c>
      <c r="E214" s="232">
        <f>'6-x'!AN991</f>
        <v>0.22765295945432498</v>
      </c>
      <c r="F214" s="232" t="str">
        <f>'6-x'!AO991</f>
        <v/>
      </c>
      <c r="G214" s="232">
        <f>'6-x'!AP991</f>
        <v>0.27262055417215775</v>
      </c>
      <c r="H214" s="273">
        <f>'6-x'!AQ991</f>
        <v>0.2836907876450111</v>
      </c>
    </row>
    <row r="215" spans="1:16">
      <c r="A215" s="227" t="s">
        <v>19</v>
      </c>
      <c r="B215" s="232">
        <f>'6-x'!AK992</f>
        <v>0.36776955853677729</v>
      </c>
      <c r="C215" s="232">
        <f>'6-x'!AL992</f>
        <v>0.37979029499071798</v>
      </c>
      <c r="D215" s="232">
        <f>'6-x'!AM992</f>
        <v>0.3537002171365633</v>
      </c>
      <c r="E215" s="232">
        <f>'6-x'!AN992</f>
        <v>0.37384575124303721</v>
      </c>
      <c r="F215" s="232">
        <f>'6-x'!AO992</f>
        <v>0.19762013970558159</v>
      </c>
      <c r="G215" s="232" t="str">
        <f>'6-x'!AP992</f>
        <v/>
      </c>
      <c r="H215" s="273">
        <f>'6-x'!AQ992</f>
        <v>0.36237999883101413</v>
      </c>
    </row>
    <row r="216" spans="1:16">
      <c r="A216" s="227" t="s">
        <v>20</v>
      </c>
      <c r="B216" s="232" t="str">
        <f>'6-x'!AK993</f>
        <v/>
      </c>
      <c r="C216" s="232">
        <f>'6-x'!AL993</f>
        <v>0.5473235059573428</v>
      </c>
      <c r="D216" s="232" t="str">
        <f>'6-x'!AM993</f>
        <v/>
      </c>
      <c r="E216" s="232">
        <f>'6-x'!AN993</f>
        <v>0.20699211070269269</v>
      </c>
      <c r="F216" s="232">
        <f>'6-x'!AO993</f>
        <v>0.24180124517969223</v>
      </c>
      <c r="G216" s="232" t="str">
        <f>'6-x'!AP993</f>
        <v/>
      </c>
      <c r="H216" s="273">
        <f>'6-x'!AQ993</f>
        <v>0.54702663202796986</v>
      </c>
    </row>
    <row r="217" spans="1:16">
      <c r="A217" s="227" t="s">
        <v>22</v>
      </c>
      <c r="B217" s="232" t="str">
        <f>'6-x'!AK994</f>
        <v/>
      </c>
      <c r="C217" s="232">
        <f>'6-x'!AL994</f>
        <v>0.41062331798423379</v>
      </c>
      <c r="D217" s="232" t="str">
        <f>'6-x'!AM994</f>
        <v/>
      </c>
      <c r="E217" s="232">
        <f>'6-x'!AN994</f>
        <v>0.41679361505525231</v>
      </c>
      <c r="F217" s="232" t="str">
        <f>'6-x'!AO994</f>
        <v/>
      </c>
      <c r="G217" s="232" t="str">
        <f>'6-x'!AP994</f>
        <v/>
      </c>
      <c r="H217" s="273">
        <f>'6-x'!AQ994</f>
        <v>0.41130430561577208</v>
      </c>
    </row>
    <row r="218" spans="1:16">
      <c r="A218" s="228" t="s">
        <v>263</v>
      </c>
      <c r="B218" s="273">
        <f>'6-x'!AK995</f>
        <v>0.5087841584964411</v>
      </c>
      <c r="C218" s="273">
        <f>'6-x'!AL995</f>
        <v>0.52443936659819768</v>
      </c>
      <c r="D218" s="273">
        <f>'6-x'!AM995</f>
        <v>0.4188154182462015</v>
      </c>
      <c r="E218" s="273">
        <f>'6-x'!AN995</f>
        <v>0.4537456684331404</v>
      </c>
      <c r="F218" s="273">
        <f>'6-x'!AO995</f>
        <v>0.47768250484681762</v>
      </c>
      <c r="G218" s="273">
        <f>'6-x'!AP995</f>
        <v>0.44948494665098226</v>
      </c>
      <c r="H218" s="273">
        <f>'6-x'!AQ995</f>
        <v>0.5048443600091127</v>
      </c>
      <c r="J218" s="273">
        <f>'6-x'!AK1012</f>
        <v>0.68977528324688153</v>
      </c>
      <c r="K218" s="273">
        <f>'6-x'!AL1012</f>
        <v>0.60875587232331341</v>
      </c>
      <c r="L218" s="273">
        <f>'6-x'!AM1012</f>
        <v>0.45581326574016062</v>
      </c>
      <c r="M218" s="273">
        <f>'6-x'!AN1012</f>
        <v>0.66612068078926134</v>
      </c>
      <c r="N218" s="273">
        <f>'6-x'!AO1012</f>
        <v>0.52723916767712931</v>
      </c>
      <c r="O218" s="273">
        <f>'6-x'!AP1012</f>
        <v>0.62891796509595299</v>
      </c>
      <c r="P218" s="273">
        <f>'6-x'!AQ1012</f>
        <v>0.60034616012298825</v>
      </c>
    </row>
    <row r="219" spans="1:16">
      <c r="A219" s="227" t="s">
        <v>24</v>
      </c>
      <c r="B219" s="232" t="str">
        <f>'6-x'!AK996</f>
        <v/>
      </c>
      <c r="C219" s="232">
        <f>'6-x'!AL996</f>
        <v>0.55473885668321632</v>
      </c>
      <c r="D219" s="232">
        <f>'6-x'!AM996</f>
        <v>0.39881504075092084</v>
      </c>
      <c r="E219" s="232">
        <f>'6-x'!AN996</f>
        <v>0.47244243288955234</v>
      </c>
      <c r="F219" s="232">
        <f>'6-x'!AO996</f>
        <v>0.53307205694915394</v>
      </c>
      <c r="G219" s="232">
        <f>'6-x'!AP996</f>
        <v>0.42461492733777056</v>
      </c>
      <c r="H219" s="273">
        <f>'6-x'!AQ996</f>
        <v>0.52686027094814558</v>
      </c>
      <c r="J219" s="232" t="str">
        <f>'6-x'!AK1013</f>
        <v/>
      </c>
      <c r="K219" s="232">
        <f>'6-x'!AL1013</f>
        <v>0.6818175523289749</v>
      </c>
      <c r="L219" s="232">
        <f>'6-x'!AM1013</f>
        <v>0.40608414623298839</v>
      </c>
      <c r="M219" s="232">
        <f>'6-x'!AN1013</f>
        <v>0.54975696211416636</v>
      </c>
      <c r="N219" s="232">
        <f>'6-x'!AO1013</f>
        <v>0.60322564795479661</v>
      </c>
      <c r="O219" s="232">
        <f>'6-x'!AP1013</f>
        <v>0.54329773272389914</v>
      </c>
      <c r="P219" s="273">
        <f>'6-x'!AQ1013</f>
        <v>0.64649351308646352</v>
      </c>
    </row>
    <row r="220" spans="1:16">
      <c r="A220" s="227" t="s">
        <v>25</v>
      </c>
      <c r="B220" s="232" t="str">
        <f>'6-x'!AK997</f>
        <v/>
      </c>
      <c r="C220" s="232">
        <f>'6-x'!AL997</f>
        <v>0.5401037863435838</v>
      </c>
      <c r="D220" s="232" t="str">
        <f>'6-x'!AM997</f>
        <v/>
      </c>
      <c r="E220" s="232">
        <f>'6-x'!AN997</f>
        <v>0.55366724266515488</v>
      </c>
      <c r="F220" s="232">
        <f>'6-x'!AO997</f>
        <v>0.69008445253530126</v>
      </c>
      <c r="G220" s="232">
        <f>'6-x'!AP997</f>
        <v>0.31153812603586434</v>
      </c>
      <c r="H220" s="273">
        <f>'6-x'!AQ997</f>
        <v>0.54187566965075007</v>
      </c>
      <c r="J220" s="232" t="str">
        <f>'6-x'!AK1014</f>
        <v/>
      </c>
      <c r="K220" s="232">
        <f>'6-x'!AL1014</f>
        <v>0.69133567087437342</v>
      </c>
      <c r="L220" s="232" t="str">
        <f>'6-x'!AM1014</f>
        <v/>
      </c>
      <c r="M220" s="232">
        <f>'6-x'!AN1014</f>
        <v>0.73133691446676097</v>
      </c>
      <c r="N220" s="232">
        <f>'6-x'!AO1014</f>
        <v>0.79844763077781133</v>
      </c>
      <c r="O220" s="232">
        <f>'6-x'!AP1014</f>
        <v>0.45795356835769557</v>
      </c>
      <c r="P220" s="273">
        <f>'6-x'!AQ1014</f>
        <v>0.69591560813699549</v>
      </c>
    </row>
    <row r="221" spans="1:16">
      <c r="A221" s="227" t="s">
        <v>26</v>
      </c>
      <c r="B221" s="232" t="str">
        <f>'6-x'!AK998</f>
        <v/>
      </c>
      <c r="C221" s="232">
        <f>'6-x'!AL998</f>
        <v>0.51985805795585582</v>
      </c>
      <c r="D221" s="232">
        <f>'6-x'!AM998</f>
        <v>0.43802609671879034</v>
      </c>
      <c r="E221" s="232">
        <f>'6-x'!AN998</f>
        <v>0.45858412152479217</v>
      </c>
      <c r="F221" s="232">
        <f>'6-x'!AO998</f>
        <v>0.57591776815739137</v>
      </c>
      <c r="G221" s="232">
        <f>'6-x'!AP998</f>
        <v>0.28035384018877907</v>
      </c>
      <c r="H221" s="273">
        <f>'6-x'!AQ998</f>
        <v>0.52080471345539836</v>
      </c>
      <c r="J221" s="232" t="str">
        <f>'6-x'!AK1015</f>
        <v/>
      </c>
      <c r="K221" s="232">
        <f>'6-x'!AL1015</f>
        <v>0.56626880785193512</v>
      </c>
      <c r="L221" s="232">
        <f>'6-x'!AM1015</f>
        <v>0.47922801709300383</v>
      </c>
      <c r="M221" s="232">
        <f>'6-x'!AN1015</f>
        <v>0.63029520824021912</v>
      </c>
      <c r="N221" s="232">
        <f>'6-x'!AO1015</f>
        <v>0.58086281765197079</v>
      </c>
      <c r="O221" s="232">
        <f>'6-x'!AP1015</f>
        <v>0.78798673381648454</v>
      </c>
      <c r="P221" s="273">
        <f>'6-x'!AQ1015</f>
        <v>0.56619766633482826</v>
      </c>
    </row>
    <row r="222" spans="1:16">
      <c r="A222" s="227" t="s">
        <v>27</v>
      </c>
      <c r="B222" s="232">
        <f>'6-x'!AK999</f>
        <v>0.5087841584964411</v>
      </c>
      <c r="C222" s="232">
        <f>'6-x'!AL999</f>
        <v>0.66861992835068851</v>
      </c>
      <c r="D222" s="232">
        <f>'6-x'!AM999</f>
        <v>0.53142473909702437</v>
      </c>
      <c r="E222" s="232">
        <f>'6-x'!AN999</f>
        <v>0.68953105682356486</v>
      </c>
      <c r="F222" s="232">
        <f>'6-x'!AO999</f>
        <v>0.40482355360592531</v>
      </c>
      <c r="G222" s="232">
        <f>'6-x'!AP999</f>
        <v>0.38147525637044605</v>
      </c>
      <c r="H222" s="273">
        <f>'6-x'!AQ999</f>
        <v>0.56509620490483481</v>
      </c>
      <c r="J222" s="232">
        <f>'6-x'!AK1016</f>
        <v>0.68977528324688153</v>
      </c>
      <c r="K222" s="232">
        <f>'6-x'!AL1016</f>
        <v>0.84449966262262788</v>
      </c>
      <c r="L222" s="232">
        <f>'6-x'!AM1016</f>
        <v>0.5531450492757457</v>
      </c>
      <c r="M222" s="232">
        <f>'6-x'!AN1016</f>
        <v>0.84670564540638449</v>
      </c>
      <c r="N222" s="232">
        <f>'6-x'!AO1016</f>
        <v>0.54451489448079715</v>
      </c>
      <c r="O222" s="232">
        <f>'6-x'!AP1016</f>
        <v>0.64072961248997651</v>
      </c>
      <c r="P222" s="273">
        <f>'6-x'!AQ1016</f>
        <v>0.78537044748060936</v>
      </c>
    </row>
    <row r="223" spans="1:16">
      <c r="A223" s="227" t="s">
        <v>28</v>
      </c>
      <c r="B223" s="232" t="str">
        <f>'6-x'!AK1000</f>
        <v/>
      </c>
      <c r="C223" s="232">
        <f>'6-x'!AL1000</f>
        <v>0.43735769474007397</v>
      </c>
      <c r="D223" s="232">
        <f>'6-x'!AM1000</f>
        <v>0.27853748877842088</v>
      </c>
      <c r="E223" s="232">
        <f>'6-x'!AN1000</f>
        <v>0.40160916761279103</v>
      </c>
      <c r="F223" s="232">
        <f>'6-x'!AO1000</f>
        <v>0.27971542871144617</v>
      </c>
      <c r="G223" s="232">
        <f>'6-x'!AP1000</f>
        <v>0.50579131050528559</v>
      </c>
      <c r="H223" s="273">
        <f>'6-x'!AQ1000</f>
        <v>0.35819662064362157</v>
      </c>
      <c r="J223" s="232" t="str">
        <f>'6-x'!AK1017</f>
        <v/>
      </c>
      <c r="K223" s="232">
        <f>'6-x'!AL1017</f>
        <v>0.65686444438143266</v>
      </c>
      <c r="L223" s="232">
        <f>'6-x'!AM1017</f>
        <v>0.27857789769336305</v>
      </c>
      <c r="M223" s="232">
        <f>'6-x'!AN1017</f>
        <v>0.60017504291541468</v>
      </c>
      <c r="N223" s="232">
        <f>'6-x'!AO1017</f>
        <v>0.41834209535639633</v>
      </c>
      <c r="O223" s="232">
        <f>'6-x'!AP1017</f>
        <v>0.70316876704524467</v>
      </c>
      <c r="P223" s="273">
        <f>'6-x'!AQ1017</f>
        <v>0.54624555250595574</v>
      </c>
    </row>
    <row r="224" spans="1:16">
      <c r="A224" s="322" t="s">
        <v>9</v>
      </c>
      <c r="B224" s="323">
        <f>'6-x'!AK1001</f>
        <v>0.36902887538691292</v>
      </c>
      <c r="C224" s="323">
        <f>'6-x'!AL1001</f>
        <v>0.50761202448789799</v>
      </c>
      <c r="D224" s="323">
        <f>'6-x'!AM1001</f>
        <v>0.39346783462333884</v>
      </c>
      <c r="E224" s="323">
        <f>'6-x'!AN1001</f>
        <v>0.3911103091993493</v>
      </c>
      <c r="F224" s="323">
        <f>'6-x'!AO1001</f>
        <v>0.40469211663231924</v>
      </c>
      <c r="G224" s="323">
        <f>'6-x'!AP1001</f>
        <v>0.35184021531813958</v>
      </c>
      <c r="H224" s="323">
        <f>'6-x'!AQ1001</f>
        <v>0.4501577824185975</v>
      </c>
      <c r="J224" s="323">
        <f>'6-x'!AK1018</f>
        <v>0.37307534458463459</v>
      </c>
      <c r="K224" s="323">
        <f>'6-x'!AL1018</f>
        <v>0.55178588101628789</v>
      </c>
      <c r="L224" s="323">
        <f>'6-x'!AM1018</f>
        <v>0.41788087338724605</v>
      </c>
      <c r="M224" s="323">
        <f>'6-x'!AN1018</f>
        <v>0.46825714502879456</v>
      </c>
      <c r="N224" s="323">
        <f>'6-x'!AO1018</f>
        <v>0.44916595809311355</v>
      </c>
      <c r="O224" s="323">
        <f>'6-x'!AP1018</f>
        <v>0.39813556360883873</v>
      </c>
      <c r="P224" s="323">
        <f>'6-x'!AQ1018</f>
        <v>0.49327839779377053</v>
      </c>
    </row>
    <row r="226" spans="2:5">
      <c r="B226" s="171"/>
      <c r="C226" s="171"/>
      <c r="D226" s="171"/>
      <c r="E226" s="171"/>
    </row>
    <row r="227" spans="2:5">
      <c r="B227" s="289"/>
      <c r="C227" s="289"/>
      <c r="D227" s="290"/>
      <c r="E227" s="290"/>
    </row>
  </sheetData>
  <sheetProtection algorithmName="SHA-512" hashValue="mYLimXSedUh06d+BPiqURqQR3xqfi80S6bqrEwd4IzPhwqAIDwTEOO4v0lLaJl9PBhfdmQc6K2TG00gZ9oaIQg==" saltValue="r3rnywJeYtzEcIKf3iNW+A==" spinCount="100000" sheet="1" objects="1" scenarios="1"/>
  <mergeCells count="45">
    <mergeCell ref="B3:H3"/>
    <mergeCell ref="J3:P3"/>
    <mergeCell ref="R3:X3"/>
    <mergeCell ref="B5:H5"/>
    <mergeCell ref="J5:P5"/>
    <mergeCell ref="R5:X5"/>
    <mergeCell ref="B43:H43"/>
    <mergeCell ref="J43:P43"/>
    <mergeCell ref="R43:X43"/>
    <mergeCell ref="B45:H45"/>
    <mergeCell ref="J45:P45"/>
    <mergeCell ref="R45:X45"/>
    <mergeCell ref="R63:X63"/>
    <mergeCell ref="R65:X65"/>
    <mergeCell ref="J123:P123"/>
    <mergeCell ref="B125:H125"/>
    <mergeCell ref="J125:P125"/>
    <mergeCell ref="B83:H83"/>
    <mergeCell ref="J83:P83"/>
    <mergeCell ref="B85:H85"/>
    <mergeCell ref="J85:P85"/>
    <mergeCell ref="B103:H103"/>
    <mergeCell ref="J103:P103"/>
    <mergeCell ref="B63:H63"/>
    <mergeCell ref="J63:P63"/>
    <mergeCell ref="B65:H65"/>
    <mergeCell ref="J65:P65"/>
    <mergeCell ref="B105:H105"/>
    <mergeCell ref="J105:P105"/>
    <mergeCell ref="B123:H123"/>
    <mergeCell ref="B211:H211"/>
    <mergeCell ref="B161:H161"/>
    <mergeCell ref="B163:H163"/>
    <mergeCell ref="B179:H179"/>
    <mergeCell ref="J143:P143"/>
    <mergeCell ref="B143:H143"/>
    <mergeCell ref="B145:H145"/>
    <mergeCell ref="J145:P145"/>
    <mergeCell ref="B195:H195"/>
    <mergeCell ref="B23:H23"/>
    <mergeCell ref="J23:P23"/>
    <mergeCell ref="R23:X23"/>
    <mergeCell ref="B25:H25"/>
    <mergeCell ref="J25:P25"/>
    <mergeCell ref="R25:X25"/>
  </mergeCells>
  <hyperlinks>
    <hyperlink ref="A1" location="Indice!A1" display="Torna indietro" xr:uid="{18CB5289-6119-419C-8676-5977A395F4C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6">
    <tabColor rgb="FFFF0000"/>
  </sheetPr>
  <dimension ref="A1:AR129"/>
  <sheetViews>
    <sheetView showGridLines="0" zoomScale="85" zoomScaleNormal="85" workbookViewId="0">
      <pane xSplit="3" ySplit="4" topLeftCell="H9" activePane="bottomRight" state="frozen"/>
      <selection activeCell="AL100" sqref="AL100"/>
      <selection pane="topRight" activeCell="AL100" sqref="AL100"/>
      <selection pane="bottomLeft" activeCell="AL100" sqref="AL100"/>
      <selection pane="bottomRight" activeCell="AL100" sqref="AL100"/>
    </sheetView>
  </sheetViews>
  <sheetFormatPr defaultColWidth="8.81640625" defaultRowHeight="14.5"/>
  <cols>
    <col min="1" max="1" width="22.6328125" customWidth="1"/>
    <col min="2" max="20" width="11" customWidth="1"/>
    <col min="21" max="31" width="10.54296875" bestFit="1" customWidth="1"/>
    <col min="32" max="32" width="11.453125" customWidth="1"/>
    <col min="33" max="33" width="13" customWidth="1"/>
    <col min="34" max="41" width="11.453125" customWidth="1"/>
    <col min="44" max="45" width="10.1796875" customWidth="1"/>
  </cols>
  <sheetData>
    <row r="1" spans="1:36" ht="15.5">
      <c r="A1" s="1109" t="s">
        <v>56</v>
      </c>
      <c r="B1" s="1109"/>
    </row>
    <row r="2" spans="1:36">
      <c r="AB2" s="403"/>
      <c r="AC2" s="403"/>
      <c r="AD2" s="403"/>
    </row>
    <row r="3" spans="1:36" s="2" customFormat="1" ht="15.5">
      <c r="A3" s="8" t="s">
        <v>14</v>
      </c>
      <c r="AB3" s="117"/>
      <c r="AC3" s="117"/>
      <c r="AD3" s="117"/>
    </row>
    <row r="4" spans="1:36" s="2" customFormat="1" ht="15.5">
      <c r="A4" s="297" t="s">
        <v>10</v>
      </c>
      <c r="B4" s="313">
        <v>1996</v>
      </c>
      <c r="C4" s="313">
        <v>1997</v>
      </c>
      <c r="D4" s="313">
        <v>1998</v>
      </c>
      <c r="E4" s="313">
        <v>1999</v>
      </c>
      <c r="F4" s="313">
        <v>2000</v>
      </c>
      <c r="G4" s="313">
        <v>2001</v>
      </c>
      <c r="H4" s="313">
        <v>2002</v>
      </c>
      <c r="I4" s="313">
        <v>2003</v>
      </c>
      <c r="J4" s="313">
        <v>2004</v>
      </c>
      <c r="K4" s="325">
        <v>2005</v>
      </c>
      <c r="L4" s="313">
        <v>2006</v>
      </c>
      <c r="M4" s="313">
        <v>2007</v>
      </c>
      <c r="N4" s="313">
        <v>2008</v>
      </c>
      <c r="O4" s="313">
        <v>2009</v>
      </c>
      <c r="P4" s="325">
        <v>2010</v>
      </c>
      <c r="Q4" s="313">
        <v>2011</v>
      </c>
      <c r="R4" s="313">
        <v>2012</v>
      </c>
      <c r="S4" s="313">
        <v>2013</v>
      </c>
      <c r="T4" s="313">
        <v>2014</v>
      </c>
      <c r="U4" s="325">
        <v>2015</v>
      </c>
      <c r="V4" s="325">
        <v>2016</v>
      </c>
      <c r="W4" s="325">
        <v>2017</v>
      </c>
      <c r="X4" s="325">
        <v>2018</v>
      </c>
      <c r="Y4" s="325">
        <v>2019</v>
      </c>
      <c r="Z4" s="325">
        <v>2020</v>
      </c>
      <c r="AA4" s="325">
        <v>2021</v>
      </c>
      <c r="AB4" s="325">
        <f>AA4+1</f>
        <v>2022</v>
      </c>
      <c r="AC4" s="325">
        <f>AB4+1</f>
        <v>2023</v>
      </c>
      <c r="AD4" s="325">
        <v>2024</v>
      </c>
      <c r="AE4" s="714">
        <f t="shared" ref="AE4:AJ4" si="0">AD4+1</f>
        <v>2025</v>
      </c>
      <c r="AF4" s="714">
        <f t="shared" si="0"/>
        <v>2026</v>
      </c>
      <c r="AG4" s="714">
        <f t="shared" si="0"/>
        <v>2027</v>
      </c>
      <c r="AH4" s="714">
        <f t="shared" si="0"/>
        <v>2028</v>
      </c>
      <c r="AI4" s="714">
        <f t="shared" si="0"/>
        <v>2029</v>
      </c>
      <c r="AJ4" s="714">
        <f t="shared" si="0"/>
        <v>2030</v>
      </c>
    </row>
    <row r="5" spans="1:36" s="2" customFormat="1" ht="15.5">
      <c r="A5" s="297" t="s">
        <v>122</v>
      </c>
      <c r="B5" s="297"/>
      <c r="C5" s="297"/>
      <c r="D5" s="297"/>
      <c r="E5" s="297"/>
      <c r="F5" s="297"/>
      <c r="G5" s="297"/>
      <c r="H5" s="297"/>
      <c r="I5" s="297"/>
      <c r="J5" s="297"/>
      <c r="K5" s="297"/>
      <c r="L5" s="297"/>
      <c r="M5" s="297"/>
      <c r="N5" s="297"/>
      <c r="O5" s="297"/>
      <c r="P5" s="297"/>
      <c r="Q5" s="297"/>
      <c r="R5" s="297"/>
      <c r="S5" s="297"/>
      <c r="T5" s="297"/>
      <c r="U5" s="297"/>
      <c r="V5" s="297"/>
      <c r="W5" s="313"/>
      <c r="X5" s="313"/>
      <c r="Y5" s="313"/>
      <c r="Z5" s="313"/>
      <c r="AA5" s="313"/>
      <c r="AB5" s="313"/>
      <c r="AC5" s="313"/>
      <c r="AD5" s="313"/>
      <c r="AE5" s="133"/>
    </row>
    <row r="6" spans="1:36" s="2" customFormat="1" ht="15.5">
      <c r="A6" s="117" t="s">
        <v>5</v>
      </c>
      <c r="B6" s="326">
        <v>9.1900259999999996</v>
      </c>
      <c r="C6" s="326">
        <v>9.1983995999999983</v>
      </c>
      <c r="D6" s="326">
        <v>9.156531600000001</v>
      </c>
      <c r="E6" s="326">
        <v>9.1021032000000002</v>
      </c>
      <c r="F6" s="327">
        <v>9.6422004000000001</v>
      </c>
      <c r="G6" s="327">
        <v>9.4035527999999999</v>
      </c>
      <c r="H6" s="327">
        <v>9.6422004000000001</v>
      </c>
      <c r="I6" s="327">
        <v>9.5710248</v>
      </c>
      <c r="J6" s="327">
        <v>9.7343099999999989</v>
      </c>
      <c r="K6" s="327">
        <v>9.7552439999999994</v>
      </c>
      <c r="L6" s="327">
        <v>9.5835851999999999</v>
      </c>
      <c r="M6" s="327">
        <v>9.7971119999999985</v>
      </c>
      <c r="N6" s="327">
        <v>10.0022652</v>
      </c>
      <c r="O6" s="327">
        <v>9.6924419999999998</v>
      </c>
      <c r="P6" s="327">
        <v>9.4872888</v>
      </c>
      <c r="Q6" s="327">
        <v>9.3533112000000003</v>
      </c>
      <c r="R6" s="327">
        <v>9.2025863999999995</v>
      </c>
      <c r="S6" s="327">
        <v>9.3658716000000002</v>
      </c>
      <c r="T6" s="327">
        <v>9.3156299999999987</v>
      </c>
      <c r="U6" s="327">
        <v>9.5060000000000002</v>
      </c>
      <c r="V6" s="327">
        <v>9.4160000000000004</v>
      </c>
      <c r="W6" s="326">
        <v>9.2669999999999995</v>
      </c>
      <c r="X6" s="446">
        <v>9.375</v>
      </c>
      <c r="Y6" s="446">
        <v>9.5389999999999997</v>
      </c>
      <c r="Z6" s="446">
        <v>9.8620000000000001</v>
      </c>
      <c r="AA6" s="446">
        <v>10.43</v>
      </c>
      <c r="AB6" s="446">
        <v>10</v>
      </c>
      <c r="AC6" s="446">
        <v>9.82</v>
      </c>
      <c r="AD6" s="446">
        <v>9.42</v>
      </c>
      <c r="AE6" s="446">
        <f>AD6</f>
        <v>9.42</v>
      </c>
    </row>
    <row r="7" spans="1:36" s="2" customFormat="1" ht="15.5">
      <c r="A7" s="117" t="s">
        <v>6</v>
      </c>
      <c r="B7" s="326">
        <v>8.2982376000000002</v>
      </c>
      <c r="C7" s="326">
        <v>8.0554031999999989</v>
      </c>
      <c r="D7" s="326">
        <v>8.1349523999999995</v>
      </c>
      <c r="E7" s="326">
        <v>8.0386559999999996</v>
      </c>
      <c r="F7" s="327">
        <v>8.0763371999999993</v>
      </c>
      <c r="G7" s="327">
        <v>7.9716671999999997</v>
      </c>
      <c r="H7" s="327">
        <v>7.8460631999999997</v>
      </c>
      <c r="I7" s="327">
        <v>7.5822947999999997</v>
      </c>
      <c r="J7" s="327">
        <v>7.2222299999999997</v>
      </c>
      <c r="K7" s="327">
        <v>7.0924391999999994</v>
      </c>
      <c r="L7" s="327">
        <v>6.8914727999999998</v>
      </c>
      <c r="M7" s="327">
        <v>6.8621651999999997</v>
      </c>
      <c r="N7" s="327">
        <v>6.782616</v>
      </c>
      <c r="O7" s="327">
        <v>6.7574951999999993</v>
      </c>
      <c r="P7" s="327">
        <v>6.7491215999999996</v>
      </c>
      <c r="Q7" s="327">
        <v>6.6946931999999997</v>
      </c>
      <c r="R7" s="327">
        <v>6.7198139999999995</v>
      </c>
      <c r="S7" s="327">
        <v>6.4895399999999999</v>
      </c>
      <c r="T7" s="327">
        <v>6.5481552000000001</v>
      </c>
      <c r="U7" s="327">
        <v>6.3769999999999998</v>
      </c>
      <c r="V7" s="327">
        <v>6.37</v>
      </c>
      <c r="W7" s="326">
        <v>6.3929999999999998</v>
      </c>
      <c r="X7" s="446">
        <v>6.3869999999999996</v>
      </c>
      <c r="Y7" s="446">
        <v>6.3979999999999997</v>
      </c>
      <c r="Z7" s="446">
        <v>6.4180000000000001</v>
      </c>
      <c r="AA7" s="446">
        <v>6.3689999999999998</v>
      </c>
      <c r="AB7" s="446">
        <v>6.2729999999999997</v>
      </c>
      <c r="AC7" s="446">
        <v>6.2809999999999997</v>
      </c>
      <c r="AD7" s="446">
        <v>6.2709999999999999</v>
      </c>
      <c r="AE7" s="446">
        <f t="shared" ref="AE7:AE23" si="1">AD7</f>
        <v>6.2709999999999999</v>
      </c>
    </row>
    <row r="8" spans="1:36" s="2" customFormat="1" ht="15.5">
      <c r="A8" s="117" t="s">
        <v>127</v>
      </c>
      <c r="B8" s="326">
        <v>10.4837472</v>
      </c>
      <c r="C8" s="326">
        <v>9.5082228000000004</v>
      </c>
      <c r="D8" s="326">
        <v>10.144616399999999</v>
      </c>
      <c r="E8" s="326">
        <v>10.019012399999999</v>
      </c>
      <c r="F8" s="327">
        <v>9.5291567999999991</v>
      </c>
      <c r="G8" s="327">
        <v>8.8006536000000004</v>
      </c>
      <c r="H8" s="327">
        <v>8.9346312000000001</v>
      </c>
      <c r="I8" s="327">
        <v>9.0727955999999992</v>
      </c>
      <c r="J8" s="327">
        <v>8.9136971999999997</v>
      </c>
      <c r="K8" s="327">
        <v>9.1481579999999987</v>
      </c>
      <c r="L8" s="327">
        <v>9.1858392000000002</v>
      </c>
      <c r="M8" s="327">
        <v>9.0351144000000012</v>
      </c>
      <c r="N8" s="327">
        <v>8.8508951999999983</v>
      </c>
      <c r="O8" s="327">
        <v>8.8425215999999995</v>
      </c>
      <c r="P8" s="327">
        <v>9.0560483999999999</v>
      </c>
      <c r="Q8" s="327">
        <v>8.9513783999999994</v>
      </c>
      <c r="R8" s="327">
        <v>8.7169175999999986</v>
      </c>
      <c r="S8" s="327">
        <v>8.6834232</v>
      </c>
      <c r="T8" s="327">
        <v>9.2570147999999985</v>
      </c>
      <c r="U8" s="327">
        <v>8.7029999999999994</v>
      </c>
      <c r="V8" s="327">
        <v>8.5630000000000006</v>
      </c>
      <c r="W8" s="326">
        <v>8.5020000000000007</v>
      </c>
      <c r="X8" s="446">
        <v>9.2390000000000008</v>
      </c>
      <c r="Y8" s="446">
        <v>8.3650000000000002</v>
      </c>
      <c r="Z8" s="446">
        <v>8.4860000000000007</v>
      </c>
      <c r="AA8" s="446">
        <v>9.4990000000000006</v>
      </c>
      <c r="AB8" s="446">
        <v>9.0129999999999999</v>
      </c>
      <c r="AC8" s="446">
        <v>8.4</v>
      </c>
      <c r="AD8" s="446">
        <v>8.8230000000000004</v>
      </c>
      <c r="AE8" s="446">
        <f t="shared" si="1"/>
        <v>8.8230000000000004</v>
      </c>
    </row>
    <row r="9" spans="1:36" s="2" customFormat="1" ht="15.5">
      <c r="A9" s="117" t="s">
        <v>123</v>
      </c>
      <c r="B9" s="326">
        <v>8.8090272000000009</v>
      </c>
      <c r="C9" s="326">
        <v>8.8090272000000009</v>
      </c>
      <c r="D9" s="326">
        <v>8.7713459999999994</v>
      </c>
      <c r="E9" s="326">
        <v>8.8843896000000004</v>
      </c>
      <c r="F9" s="327">
        <v>9.1690920000000009</v>
      </c>
      <c r="G9" s="327">
        <v>9.1021032000000002</v>
      </c>
      <c r="H9" s="327">
        <v>9.0393012000000006</v>
      </c>
      <c r="I9" s="327">
        <v>9.0560483999999999</v>
      </c>
      <c r="J9" s="327">
        <v>9.1397843999999999</v>
      </c>
      <c r="K9" s="327">
        <v>9.2067731999999989</v>
      </c>
      <c r="L9" s="327">
        <v>9.361684799999999</v>
      </c>
      <c r="M9" s="327">
        <v>9.6045191999999986</v>
      </c>
      <c r="N9" s="327">
        <v>9.4244867999999986</v>
      </c>
      <c r="O9" s="327">
        <v>9.7510572</v>
      </c>
      <c r="P9" s="327">
        <v>9.0937296000000014</v>
      </c>
      <c r="Q9" s="327">
        <v>8.8718292000000005</v>
      </c>
      <c r="R9" s="327">
        <v>9.7175627999999996</v>
      </c>
      <c r="S9" s="327">
        <v>8.6206212000000004</v>
      </c>
      <c r="T9" s="327">
        <v>9.4621680000000001</v>
      </c>
      <c r="U9" s="327">
        <v>8.56</v>
      </c>
      <c r="V9" s="327">
        <v>8.1289999999999996</v>
      </c>
      <c r="W9" s="326">
        <v>8.1539999999999999</v>
      </c>
      <c r="X9" s="446">
        <v>7.78</v>
      </c>
      <c r="Y9" s="446">
        <v>7.8129999999999997</v>
      </c>
      <c r="Z9" s="446">
        <v>7.5659999999999998</v>
      </c>
      <c r="AA9" s="446">
        <v>8.3919999999999995</v>
      </c>
      <c r="AB9" s="446">
        <v>8.1690000000000005</v>
      </c>
      <c r="AC9" s="446">
        <v>7.9770000000000003</v>
      </c>
      <c r="AD9" s="446">
        <v>7.2149999999999999</v>
      </c>
      <c r="AE9" s="446">
        <f t="shared" si="1"/>
        <v>7.2149999999999999</v>
      </c>
    </row>
    <row r="10" spans="1:36" s="2" customFormat="1" ht="15.5">
      <c r="A10" s="117" t="s">
        <v>124</v>
      </c>
      <c r="B10" s="326">
        <v>0</v>
      </c>
      <c r="C10" s="326">
        <v>0</v>
      </c>
      <c r="D10" s="326">
        <v>0</v>
      </c>
      <c r="E10" s="1110">
        <v>8.5661927999999996</v>
      </c>
      <c r="F10" s="1111">
        <v>8.0888975999999992</v>
      </c>
      <c r="G10" s="327">
        <v>7.6409099999999999</v>
      </c>
      <c r="H10" s="327">
        <v>7.8460631999999997</v>
      </c>
      <c r="I10" s="327">
        <v>8.4573359999999997</v>
      </c>
      <c r="J10" s="327">
        <v>8.6834232</v>
      </c>
      <c r="K10" s="327">
        <v>8.8969499999999986</v>
      </c>
      <c r="L10" s="327">
        <v>9.3951792000000012</v>
      </c>
      <c r="M10" s="327">
        <v>9.6840683999999992</v>
      </c>
      <c r="N10" s="327">
        <v>9.2653883999999991</v>
      </c>
      <c r="O10" s="327">
        <v>9.3407508000000004</v>
      </c>
      <c r="P10" s="327">
        <v>9.9562103999999998</v>
      </c>
      <c r="Q10" s="327">
        <v>9.9813312000000014</v>
      </c>
      <c r="R10" s="327">
        <v>9.7887383999999997</v>
      </c>
      <c r="S10" s="327">
        <v>9.4496076000000002</v>
      </c>
      <c r="T10" s="327">
        <v>9.6003323999999992</v>
      </c>
      <c r="U10" s="327">
        <v>9.1839999999999993</v>
      </c>
      <c r="V10" s="327">
        <v>9.2530000000000001</v>
      </c>
      <c r="W10" s="326">
        <v>9.1630000000000003</v>
      </c>
      <c r="X10" s="446">
        <v>9.1709999999999994</v>
      </c>
      <c r="Y10" s="446">
        <v>9.3789999999999996</v>
      </c>
      <c r="Z10" s="446">
        <v>9.2409999999999997</v>
      </c>
      <c r="AA10" s="446">
        <v>9.8119999999999994</v>
      </c>
      <c r="AB10" s="446">
        <v>9.1790000000000003</v>
      </c>
      <c r="AC10" s="446">
        <v>9.484</v>
      </c>
      <c r="AD10" s="446">
        <v>9.4629999999999992</v>
      </c>
      <c r="AE10" s="446">
        <f t="shared" si="1"/>
        <v>9.4629999999999992</v>
      </c>
    </row>
    <row r="11" spans="1:36" s="2" customFormat="1" ht="15.5">
      <c r="A11" s="117" t="s">
        <v>125</v>
      </c>
      <c r="B11" s="326">
        <v>0</v>
      </c>
      <c r="C11" s="326">
        <v>0</v>
      </c>
      <c r="D11" s="326">
        <v>0</v>
      </c>
      <c r="E11" s="1110"/>
      <c r="F11" s="1111"/>
      <c r="G11" s="327">
        <v>10.2074184</v>
      </c>
      <c r="H11" s="327">
        <v>10.366516799999999</v>
      </c>
      <c r="I11" s="327">
        <v>10.299528</v>
      </c>
      <c r="J11" s="327">
        <v>10.3288356</v>
      </c>
      <c r="K11" s="327">
        <v>10.2325392</v>
      </c>
      <c r="L11" s="327">
        <v>10.726581599999999</v>
      </c>
      <c r="M11" s="327">
        <v>10.6051644</v>
      </c>
      <c r="N11" s="327">
        <v>10.211605199999999</v>
      </c>
      <c r="O11" s="327">
        <v>10.1236824</v>
      </c>
      <c r="P11" s="327">
        <v>9.7594308000000005</v>
      </c>
      <c r="Q11" s="327">
        <v>9.0727955999999992</v>
      </c>
      <c r="R11" s="327">
        <v>8.8550819999999995</v>
      </c>
      <c r="S11" s="327">
        <v>8.7001703999999993</v>
      </c>
      <c r="T11" s="327">
        <v>8.4280283999999988</v>
      </c>
      <c r="U11" s="327">
        <v>8.125</v>
      </c>
      <c r="V11" s="327">
        <v>8.1039999999999992</v>
      </c>
      <c r="W11" s="326">
        <v>8.0589999999999993</v>
      </c>
      <c r="X11" s="446">
        <v>8.0180000000000007</v>
      </c>
      <c r="Y11" s="446">
        <v>8.2469999999999999</v>
      </c>
      <c r="Z11" s="446">
        <v>8.173</v>
      </c>
      <c r="AA11" s="446">
        <v>8.1609999999999996</v>
      </c>
      <c r="AB11" s="446">
        <v>8.1929999999999996</v>
      </c>
      <c r="AC11" s="446">
        <v>8.1530000000000005</v>
      </c>
      <c r="AD11" s="446">
        <v>8.1419999999999995</v>
      </c>
      <c r="AE11" s="446">
        <f t="shared" si="1"/>
        <v>8.1419999999999995</v>
      </c>
    </row>
    <row r="12" spans="1:36" s="2" customFormat="1" ht="15.5">
      <c r="A12" s="297" t="s">
        <v>9</v>
      </c>
      <c r="B12" s="328">
        <v>8.7504120000000007</v>
      </c>
      <c r="C12" s="328">
        <v>8.6373683999999997</v>
      </c>
      <c r="D12" s="328">
        <v>8.628994800000001</v>
      </c>
      <c r="E12" s="328">
        <v>8.5787531999999995</v>
      </c>
      <c r="F12" s="328">
        <v>8.7169175999999986</v>
      </c>
      <c r="G12" s="328">
        <v>8.5787531999999995</v>
      </c>
      <c r="H12" s="328">
        <v>8.5536323999999997</v>
      </c>
      <c r="I12" s="328">
        <v>8.3945340000000002</v>
      </c>
      <c r="J12" s="328">
        <v>8.2061280000000014</v>
      </c>
      <c r="K12" s="328">
        <v>8.0344692000000002</v>
      </c>
      <c r="L12" s="328">
        <v>7.9088651999999993</v>
      </c>
      <c r="M12" s="328">
        <v>7.8460631999999997</v>
      </c>
      <c r="N12" s="328">
        <v>7.7497667999999997</v>
      </c>
      <c r="O12" s="328">
        <v>7.7455800000000004</v>
      </c>
      <c r="P12" s="328">
        <v>7.6911516000000004</v>
      </c>
      <c r="Q12" s="328">
        <v>7.6911516000000004</v>
      </c>
      <c r="R12" s="328">
        <v>7.7832612000000001</v>
      </c>
      <c r="S12" s="328">
        <v>7.6869648000000002</v>
      </c>
      <c r="T12" s="328">
        <v>7.8376896</v>
      </c>
      <c r="U12" s="328">
        <v>7.5609999999999999</v>
      </c>
      <c r="V12" s="328">
        <v>7.37</v>
      </c>
      <c r="W12" s="328">
        <v>7.2450000000000001</v>
      </c>
      <c r="X12" s="447">
        <v>7.266</v>
      </c>
      <c r="Y12" s="447">
        <v>7.141</v>
      </c>
      <c r="Z12" s="447">
        <v>7.1139999999999999</v>
      </c>
      <c r="AA12" s="447">
        <v>7.1040000000000001</v>
      </c>
      <c r="AB12" s="447">
        <v>7.1360000000000001</v>
      </c>
      <c r="AC12" s="447">
        <v>7.0549999999999997</v>
      </c>
      <c r="AD12" s="795">
        <v>6.8570000000000002</v>
      </c>
      <c r="AE12" s="795">
        <f t="shared" si="1"/>
        <v>6.8570000000000002</v>
      </c>
      <c r="AF12" s="499"/>
    </row>
    <row r="13" spans="1:36" s="2" customFormat="1" ht="15.5">
      <c r="A13" s="2" t="s">
        <v>84</v>
      </c>
      <c r="Y13" s="448"/>
      <c r="Z13" s="448"/>
      <c r="AA13" s="448"/>
      <c r="AB13" s="446"/>
      <c r="AC13" s="446"/>
      <c r="AD13" s="446"/>
      <c r="AE13" s="446"/>
    </row>
    <row r="14" spans="1:36" s="2" customFormat="1" ht="15.5">
      <c r="A14" s="8" t="s">
        <v>13</v>
      </c>
      <c r="V14" s="329"/>
      <c r="W14" s="329"/>
      <c r="X14" s="329"/>
      <c r="Y14" s="448"/>
      <c r="Z14" s="448"/>
      <c r="AA14" s="448"/>
      <c r="AB14" s="446"/>
      <c r="AC14" s="446"/>
      <c r="AD14" s="446"/>
      <c r="AE14" s="446"/>
    </row>
    <row r="15" spans="1:36" s="2" customFormat="1" ht="15.5">
      <c r="A15" s="1112" t="s">
        <v>10</v>
      </c>
      <c r="B15" s="313">
        <v>1996</v>
      </c>
      <c r="C15" s="313">
        <v>1997</v>
      </c>
      <c r="D15" s="313">
        <v>1998</v>
      </c>
      <c r="E15" s="313">
        <v>1999</v>
      </c>
      <c r="F15" s="313">
        <v>2000</v>
      </c>
      <c r="G15" s="313">
        <v>2001</v>
      </c>
      <c r="H15" s="313">
        <v>2002</v>
      </c>
      <c r="I15" s="313">
        <v>2003</v>
      </c>
      <c r="J15" s="313">
        <v>2004</v>
      </c>
      <c r="K15" s="313">
        <v>2005</v>
      </c>
      <c r="L15" s="313">
        <v>2006</v>
      </c>
      <c r="M15" s="313">
        <v>2007</v>
      </c>
      <c r="N15" s="313">
        <v>2008</v>
      </c>
      <c r="O15" s="313">
        <v>2009</v>
      </c>
      <c r="P15" s="313">
        <v>2010</v>
      </c>
      <c r="Q15" s="313">
        <v>2011</v>
      </c>
      <c r="R15" s="313">
        <v>2012</v>
      </c>
      <c r="S15" s="313">
        <v>2013</v>
      </c>
      <c r="T15" s="313">
        <v>2014</v>
      </c>
      <c r="U15" s="313">
        <v>2015</v>
      </c>
      <c r="V15" s="313">
        <v>2016</v>
      </c>
      <c r="W15" s="313">
        <v>2017</v>
      </c>
      <c r="X15" s="313">
        <v>2018</v>
      </c>
      <c r="Y15" s="313">
        <v>2019</v>
      </c>
      <c r="Z15" s="313">
        <v>2020</v>
      </c>
      <c r="AA15" s="313">
        <v>2021</v>
      </c>
      <c r="AB15" s="313">
        <v>2022</v>
      </c>
      <c r="AC15" s="313">
        <f>AC4</f>
        <v>2023</v>
      </c>
      <c r="AD15" s="313">
        <f>AD4</f>
        <v>2024</v>
      </c>
      <c r="AE15" s="313">
        <f>AE4</f>
        <v>2025</v>
      </c>
    </row>
    <row r="16" spans="1:36" s="2" customFormat="1" ht="15.5">
      <c r="A16" s="1112"/>
      <c r="B16" s="1113" t="s">
        <v>122</v>
      </c>
      <c r="C16" s="1113"/>
      <c r="D16" s="1113"/>
      <c r="E16" s="1113"/>
      <c r="F16" s="1113"/>
      <c r="G16" s="1113"/>
      <c r="H16" s="1113"/>
      <c r="I16" s="1113"/>
      <c r="J16" s="1113"/>
      <c r="K16" s="1113"/>
      <c r="L16" s="1113"/>
      <c r="M16" s="1113"/>
      <c r="N16" s="1113"/>
      <c r="O16" s="1113"/>
      <c r="P16" s="1113"/>
      <c r="Q16" s="1113"/>
      <c r="R16" s="1113"/>
      <c r="S16" s="1113"/>
      <c r="T16" s="1113"/>
      <c r="U16" s="1113"/>
      <c r="V16" s="1113"/>
      <c r="W16" s="313"/>
      <c r="X16" s="313"/>
      <c r="Y16" s="449"/>
      <c r="Z16" s="449"/>
      <c r="AA16" s="449"/>
      <c r="AB16" s="449"/>
      <c r="AC16" s="449"/>
      <c r="AD16" s="446"/>
      <c r="AE16" s="446"/>
    </row>
    <row r="17" spans="1:37" s="2" customFormat="1" ht="15.5">
      <c r="A17" s="117" t="s">
        <v>5</v>
      </c>
      <c r="B17" s="326">
        <v>9.9394632000000005</v>
      </c>
      <c r="C17" s="326">
        <v>9.9478367999999993</v>
      </c>
      <c r="D17" s="326">
        <v>9.9645839999999986</v>
      </c>
      <c r="E17" s="326">
        <v>9.9897048000000002</v>
      </c>
      <c r="F17" s="327">
        <v>10.626098399999998</v>
      </c>
      <c r="G17" s="327">
        <v>10.3288356</v>
      </c>
      <c r="H17" s="327">
        <v>10.559109599999999</v>
      </c>
      <c r="I17" s="327">
        <v>10.4795604</v>
      </c>
      <c r="J17" s="327">
        <v>10.680526799999999</v>
      </c>
      <c r="K17" s="327">
        <v>10.730768399999999</v>
      </c>
      <c r="L17" s="327">
        <v>10.5423624</v>
      </c>
      <c r="M17" s="327">
        <v>10.789383599999999</v>
      </c>
      <c r="N17" s="327">
        <v>10.977789599999999</v>
      </c>
      <c r="O17" s="327">
        <v>10.730768399999999</v>
      </c>
      <c r="P17" s="327">
        <v>10.492120799999999</v>
      </c>
      <c r="Q17" s="327">
        <v>10.2911544</v>
      </c>
      <c r="R17" s="327">
        <v>10.115308799999999</v>
      </c>
      <c r="S17" s="327">
        <v>10.3539564</v>
      </c>
      <c r="T17" s="327">
        <v>10.266033599999998</v>
      </c>
      <c r="U17" s="327">
        <v>10.446</v>
      </c>
      <c r="V17" s="327">
        <v>10.352</v>
      </c>
      <c r="W17" s="326">
        <v>10.308</v>
      </c>
      <c r="X17" s="446">
        <v>10.426</v>
      </c>
      <c r="Y17" s="446">
        <v>10.941000000000001</v>
      </c>
      <c r="Z17" s="446">
        <v>11.422000000000001</v>
      </c>
      <c r="AA17" s="446">
        <v>11.244999999999999</v>
      </c>
      <c r="AB17" s="446">
        <v>11.109</v>
      </c>
      <c r="AC17" s="446">
        <v>10.956</v>
      </c>
      <c r="AD17" s="446">
        <v>10.808</v>
      </c>
      <c r="AE17" s="446">
        <f t="shared" si="1"/>
        <v>10.808</v>
      </c>
    </row>
    <row r="18" spans="1:37" s="2" customFormat="1" ht="15.5">
      <c r="A18" s="117" t="s">
        <v>6</v>
      </c>
      <c r="B18" s="326">
        <v>8.7294779999999985</v>
      </c>
      <c r="C18" s="326">
        <v>8.4322151999999999</v>
      </c>
      <c r="D18" s="326">
        <v>8.4950171999999995</v>
      </c>
      <c r="E18" s="326">
        <v>8.4029076000000007</v>
      </c>
      <c r="F18" s="327">
        <v>8.4364019999999993</v>
      </c>
      <c r="G18" s="327">
        <v>8.3107979999999984</v>
      </c>
      <c r="H18" s="327">
        <v>8.1726335999999993</v>
      </c>
      <c r="I18" s="327">
        <v>7.8753707999999998</v>
      </c>
      <c r="J18" s="327">
        <v>7.4734379999999998</v>
      </c>
      <c r="K18" s="327">
        <v>7.3185263999999997</v>
      </c>
      <c r="L18" s="327">
        <v>7.0966260000000005</v>
      </c>
      <c r="M18" s="327">
        <v>7.0547579999999996</v>
      </c>
      <c r="N18" s="327">
        <v>6.9710219999999996</v>
      </c>
      <c r="O18" s="327">
        <v>6.9584615999999997</v>
      </c>
      <c r="P18" s="327">
        <v>6.950088</v>
      </c>
      <c r="Q18" s="327">
        <v>6.8789123999999999</v>
      </c>
      <c r="R18" s="327">
        <v>6.9124067999999994</v>
      </c>
      <c r="S18" s="327">
        <v>6.6653855999999996</v>
      </c>
      <c r="T18" s="327">
        <v>6.7365611999999997</v>
      </c>
      <c r="U18" s="327">
        <v>6.5369999999999999</v>
      </c>
      <c r="V18" s="327">
        <v>6.5179999999999998</v>
      </c>
      <c r="W18" s="326">
        <v>6.5469999999999997</v>
      </c>
      <c r="X18" s="446">
        <v>6.5430000000000001</v>
      </c>
      <c r="Y18" s="446">
        <v>6.56</v>
      </c>
      <c r="Z18" s="446">
        <v>6.5780000000000003</v>
      </c>
      <c r="AA18" s="446">
        <v>6.532</v>
      </c>
      <c r="AB18" s="446">
        <v>6.4180000000000001</v>
      </c>
      <c r="AC18" s="446">
        <v>6.4320000000000004</v>
      </c>
      <c r="AD18" s="446">
        <v>6.431</v>
      </c>
      <c r="AE18" s="446">
        <f t="shared" si="1"/>
        <v>6.431</v>
      </c>
    </row>
    <row r="19" spans="1:37" s="2" customFormat="1" ht="15.5">
      <c r="A19" s="117" t="s">
        <v>127</v>
      </c>
      <c r="B19" s="326">
        <v>11.254118399999999</v>
      </c>
      <c r="C19" s="326">
        <v>10.086001199999998</v>
      </c>
      <c r="D19" s="326">
        <v>10.7349552</v>
      </c>
      <c r="E19" s="326">
        <v>10.5549228</v>
      </c>
      <c r="F19" s="327">
        <v>9.7887383999999997</v>
      </c>
      <c r="G19" s="327">
        <v>8.9890596000000009</v>
      </c>
      <c r="H19" s="327">
        <v>9.2653883999999991</v>
      </c>
      <c r="I19" s="327">
        <v>9.4119264000000005</v>
      </c>
      <c r="J19" s="327">
        <v>9.2402675999999992</v>
      </c>
      <c r="K19" s="327">
        <v>9.4998491999999999</v>
      </c>
      <c r="L19" s="327">
        <v>9.541717199999999</v>
      </c>
      <c r="M19" s="327">
        <v>9.3114431999999994</v>
      </c>
      <c r="N19" s="327">
        <v>9.1021032000000002</v>
      </c>
      <c r="O19" s="327">
        <v>9.0979164000000008</v>
      </c>
      <c r="P19" s="327">
        <v>9.3533112000000003</v>
      </c>
      <c r="Q19" s="327">
        <v>9.0811691999999997</v>
      </c>
      <c r="R19" s="327">
        <v>9.2612015999999997</v>
      </c>
      <c r="S19" s="327">
        <v>9.3240035999999993</v>
      </c>
      <c r="T19" s="327">
        <v>9.9185291999999983</v>
      </c>
      <c r="U19" s="327">
        <v>9.2249999999999996</v>
      </c>
      <c r="V19" s="327">
        <v>9.0630000000000006</v>
      </c>
      <c r="W19" s="326">
        <v>8.9990000000000006</v>
      </c>
      <c r="X19" s="446">
        <v>9.7590000000000003</v>
      </c>
      <c r="Y19" s="446">
        <v>8.8109999999999999</v>
      </c>
      <c r="Z19" s="446">
        <v>8.9260000000000002</v>
      </c>
      <c r="AA19" s="446">
        <v>10.018000000000001</v>
      </c>
      <c r="AB19" s="446">
        <v>9.5169999999999995</v>
      </c>
      <c r="AC19" s="446">
        <v>8.8219999999999992</v>
      </c>
      <c r="AD19" s="446">
        <v>9.3710000000000004</v>
      </c>
      <c r="AE19" s="446">
        <f t="shared" si="1"/>
        <v>9.3710000000000004</v>
      </c>
    </row>
    <row r="20" spans="1:37" s="2" customFormat="1" ht="15.5">
      <c r="A20" s="117" t="s">
        <v>123</v>
      </c>
      <c r="B20" s="326">
        <v>9.3491243999999991</v>
      </c>
      <c r="C20" s="326">
        <v>9.361684799999999</v>
      </c>
      <c r="D20" s="326">
        <v>9.3491243999999991</v>
      </c>
      <c r="E20" s="326">
        <v>9.4789151999999994</v>
      </c>
      <c r="F20" s="327">
        <v>9.7719912000000004</v>
      </c>
      <c r="G20" s="327">
        <v>9.721749599999999</v>
      </c>
      <c r="H20" s="327">
        <v>9.6589475999999994</v>
      </c>
      <c r="I20" s="327">
        <v>9.6840683999999992</v>
      </c>
      <c r="J20" s="327">
        <v>9.7887383999999997</v>
      </c>
      <c r="K20" s="327">
        <v>9.9562103999999998</v>
      </c>
      <c r="L20" s="327">
        <v>10.1194956</v>
      </c>
      <c r="M20" s="327">
        <v>10.5214284</v>
      </c>
      <c r="N20" s="327">
        <v>10.383263999999999</v>
      </c>
      <c r="O20" s="327">
        <v>10.806130799999998</v>
      </c>
      <c r="P20" s="327">
        <v>10.090187999999999</v>
      </c>
      <c r="Q20" s="327">
        <v>9.8515403999999993</v>
      </c>
      <c r="R20" s="327">
        <v>10.680526799999999</v>
      </c>
      <c r="S20" s="327">
        <v>9.5333436000000003</v>
      </c>
      <c r="T20" s="327">
        <v>10.5549228</v>
      </c>
      <c r="U20" s="327">
        <v>9.4440000000000008</v>
      </c>
      <c r="V20" s="327">
        <v>8.7669999999999995</v>
      </c>
      <c r="W20" s="326">
        <v>8.8650000000000002</v>
      </c>
      <c r="X20" s="446">
        <v>8.3520000000000003</v>
      </c>
      <c r="Y20" s="446">
        <v>8.3670000000000009</v>
      </c>
      <c r="Z20" s="446">
        <v>8.0500000000000007</v>
      </c>
      <c r="AA20" s="446">
        <v>9.0519999999999996</v>
      </c>
      <c r="AB20" s="446">
        <v>8.8070000000000004</v>
      </c>
      <c r="AC20" s="446">
        <v>8.516</v>
      </c>
      <c r="AD20" s="446">
        <v>7.6669999999999998</v>
      </c>
      <c r="AE20" s="446">
        <f t="shared" si="1"/>
        <v>7.6669999999999998</v>
      </c>
    </row>
    <row r="21" spans="1:37" s="2" customFormat="1" ht="15.5">
      <c r="A21" s="117" t="s">
        <v>124</v>
      </c>
      <c r="B21" s="326">
        <v>0</v>
      </c>
      <c r="C21" s="326">
        <v>0</v>
      </c>
      <c r="D21" s="326">
        <v>0</v>
      </c>
      <c r="E21" s="1110">
        <v>9.2988827999999994</v>
      </c>
      <c r="F21" s="1111">
        <v>8.5201379999999993</v>
      </c>
      <c r="G21" s="327">
        <v>7.9297991999999997</v>
      </c>
      <c r="H21" s="327">
        <v>8.1098315999999997</v>
      </c>
      <c r="I21" s="327">
        <v>8.7629724000000007</v>
      </c>
      <c r="J21" s="327">
        <v>8.9890596000000009</v>
      </c>
      <c r="K21" s="327">
        <v>9.2318940000000005</v>
      </c>
      <c r="L21" s="327">
        <v>9.7426835999999994</v>
      </c>
      <c r="M21" s="327">
        <v>10.0608804</v>
      </c>
      <c r="N21" s="327">
        <v>9.6212663999999997</v>
      </c>
      <c r="O21" s="327">
        <v>9.7468704000000006</v>
      </c>
      <c r="P21" s="327">
        <v>10.3372092</v>
      </c>
      <c r="Q21" s="327">
        <v>10.4083848</v>
      </c>
      <c r="R21" s="327">
        <v>10.211605199999999</v>
      </c>
      <c r="S21" s="327">
        <v>9.9352763999999993</v>
      </c>
      <c r="T21" s="327">
        <v>10.1236824</v>
      </c>
      <c r="U21" s="327">
        <v>9.7439999999999998</v>
      </c>
      <c r="V21" s="327">
        <v>9.8729999999999993</v>
      </c>
      <c r="W21" s="326">
        <v>9.7970000000000006</v>
      </c>
      <c r="X21" s="446">
        <v>9.8059999999999992</v>
      </c>
      <c r="Y21" s="446">
        <v>10.083</v>
      </c>
      <c r="Z21" s="446">
        <v>9.8819999999999997</v>
      </c>
      <c r="AA21" s="446">
        <v>10.611000000000001</v>
      </c>
      <c r="AB21" s="446">
        <v>9.8179999999999996</v>
      </c>
      <c r="AC21" s="446">
        <v>10.221</v>
      </c>
      <c r="AD21" s="446">
        <v>10.228999999999999</v>
      </c>
      <c r="AE21" s="446">
        <f t="shared" si="1"/>
        <v>10.228999999999999</v>
      </c>
    </row>
    <row r="22" spans="1:37" s="2" customFormat="1" ht="15.5">
      <c r="A22" s="117" t="s">
        <v>125</v>
      </c>
      <c r="B22" s="326">
        <v>0</v>
      </c>
      <c r="C22" s="326">
        <v>0</v>
      </c>
      <c r="D22" s="326">
        <v>0</v>
      </c>
      <c r="E22" s="1110"/>
      <c r="F22" s="1111"/>
      <c r="G22" s="327">
        <v>10.7098344</v>
      </c>
      <c r="H22" s="327">
        <v>10.986163199999998</v>
      </c>
      <c r="I22" s="327">
        <v>10.776823199999999</v>
      </c>
      <c r="J22" s="327">
        <v>10.7684496</v>
      </c>
      <c r="K22" s="327">
        <v>10.693087200000001</v>
      </c>
      <c r="L22" s="327">
        <v>11.178756</v>
      </c>
      <c r="M22" s="327">
        <v>11.149448399999999</v>
      </c>
      <c r="N22" s="327">
        <v>10.655405999999999</v>
      </c>
      <c r="O22" s="327">
        <v>10.6051644</v>
      </c>
      <c r="P22" s="327">
        <v>10.199044799999999</v>
      </c>
      <c r="Q22" s="327">
        <v>9.6756947999999987</v>
      </c>
      <c r="R22" s="327">
        <v>9.5082228000000004</v>
      </c>
      <c r="S22" s="327">
        <v>9.3951792000000012</v>
      </c>
      <c r="T22" s="327">
        <v>9.1146636000000001</v>
      </c>
      <c r="U22" s="327">
        <v>8.8179999999999996</v>
      </c>
      <c r="V22" s="327">
        <v>8.8030000000000008</v>
      </c>
      <c r="W22" s="326">
        <v>8.7609999999999992</v>
      </c>
      <c r="X22" s="446">
        <v>8.7189999999999994</v>
      </c>
      <c r="Y22" s="446">
        <v>8.9589999999999996</v>
      </c>
      <c r="Z22" s="446">
        <v>8.8829999999999991</v>
      </c>
      <c r="AA22" s="446">
        <v>8.8829999999999991</v>
      </c>
      <c r="AB22" s="446">
        <v>8.9390000000000001</v>
      </c>
      <c r="AC22" s="446">
        <v>8.93</v>
      </c>
      <c r="AD22" s="446">
        <v>8.907</v>
      </c>
      <c r="AE22" s="446">
        <f t="shared" si="1"/>
        <v>8.907</v>
      </c>
    </row>
    <row r="23" spans="1:37" s="2" customFormat="1" ht="15.5">
      <c r="A23" s="297" t="s">
        <v>9</v>
      </c>
      <c r="B23" s="328">
        <v>9.2863223999999995</v>
      </c>
      <c r="C23" s="328">
        <v>9.1523447999999981</v>
      </c>
      <c r="D23" s="328">
        <v>9.1523447999999981</v>
      </c>
      <c r="E23" s="328">
        <v>9.1021032000000002</v>
      </c>
      <c r="F23" s="328">
        <v>9.2360807999999999</v>
      </c>
      <c r="G23" s="328">
        <v>9.0811691999999997</v>
      </c>
      <c r="H23" s="328">
        <v>9.0518616000000005</v>
      </c>
      <c r="I23" s="328">
        <v>8.8592688000000006</v>
      </c>
      <c r="J23" s="328">
        <v>8.6415551999999991</v>
      </c>
      <c r="K23" s="328">
        <v>8.4405887999999987</v>
      </c>
      <c r="L23" s="328">
        <v>8.2898639999999997</v>
      </c>
      <c r="M23" s="328">
        <v>8.2103148000000008</v>
      </c>
      <c r="N23" s="328">
        <v>8.0972711999999998</v>
      </c>
      <c r="O23" s="328">
        <v>8.126578799999999</v>
      </c>
      <c r="P23" s="328">
        <v>8.0512163999999995</v>
      </c>
      <c r="Q23" s="328">
        <v>8.042842799999999</v>
      </c>
      <c r="R23" s="328">
        <v>8.1684467999999999</v>
      </c>
      <c r="S23" s="328">
        <v>8.0888975999999992</v>
      </c>
      <c r="T23" s="328">
        <v>8.2647431999999998</v>
      </c>
      <c r="U23" s="328">
        <v>7.94</v>
      </c>
      <c r="V23" s="328">
        <v>7.702</v>
      </c>
      <c r="W23" s="328">
        <v>7.5759999999999996</v>
      </c>
      <c r="X23" s="447">
        <v>7.5949999999999998</v>
      </c>
      <c r="Y23" s="447">
        <v>7.4589999999999996</v>
      </c>
      <c r="Z23" s="505">
        <v>7.4160000000000004</v>
      </c>
      <c r="AA23" s="505">
        <v>7.3940000000000001</v>
      </c>
      <c r="AB23" s="447">
        <v>7.43</v>
      </c>
      <c r="AC23" s="447">
        <v>7.343</v>
      </c>
      <c r="AD23" s="795">
        <v>7.1219999999999999</v>
      </c>
      <c r="AE23" s="795">
        <f t="shared" si="1"/>
        <v>7.1219999999999999</v>
      </c>
      <c r="AF23" s="499"/>
    </row>
    <row r="24" spans="1:37" ht="15.5">
      <c r="A24" s="117" t="s">
        <v>87</v>
      </c>
      <c r="AB24" s="403"/>
      <c r="AC24" s="403"/>
      <c r="AD24" s="403"/>
      <c r="AG24" s="226"/>
    </row>
    <row r="25" spans="1:37" ht="15.5">
      <c r="A25" s="117" t="s">
        <v>126</v>
      </c>
      <c r="AB25" s="403"/>
      <c r="AC25" s="403"/>
      <c r="AD25" s="403"/>
      <c r="AE25" s="796">
        <f>CONVERT(AE6,"MJ","kWh")</f>
        <v>2.6166666666666667</v>
      </c>
      <c r="AF25">
        <f>1/AE25</f>
        <v>0.38216560509554137</v>
      </c>
      <c r="AG25" s="226"/>
    </row>
    <row r="26" spans="1:37" ht="15.5">
      <c r="B26" s="134"/>
      <c r="C26" s="134"/>
      <c r="D26" s="134"/>
      <c r="E26" s="134"/>
      <c r="F26" s="134"/>
      <c r="G26" s="134"/>
      <c r="H26" s="134"/>
      <c r="I26" s="134"/>
      <c r="J26" s="134"/>
      <c r="K26" s="134"/>
      <c r="L26" s="134"/>
      <c r="M26" s="134"/>
      <c r="N26" s="134"/>
      <c r="O26" s="134"/>
      <c r="P26" s="134"/>
      <c r="Q26" s="134"/>
      <c r="R26" s="134"/>
      <c r="S26" s="134"/>
      <c r="T26" s="134"/>
      <c r="AB26" s="403"/>
      <c r="AC26" s="403"/>
      <c r="AD26" s="403"/>
      <c r="AE26" s="796">
        <f>CONVERT(AE7,"MJ","kWh")</f>
        <v>1.7419444444444443</v>
      </c>
      <c r="AF26">
        <f>1/AE26</f>
        <v>0.57407112103332802</v>
      </c>
    </row>
    <row r="27" spans="1:37" ht="15.5">
      <c r="B27" s="134"/>
      <c r="C27" s="134"/>
      <c r="D27" s="134"/>
      <c r="E27" s="134"/>
      <c r="F27" s="134"/>
      <c r="G27" s="134"/>
      <c r="H27" s="134"/>
      <c r="I27" s="134"/>
      <c r="J27" s="134"/>
      <c r="K27" s="134"/>
      <c r="L27" s="134"/>
      <c r="M27" s="134"/>
      <c r="N27" s="134"/>
      <c r="O27" s="134"/>
      <c r="P27" s="134"/>
      <c r="Q27" s="134"/>
      <c r="R27" s="134"/>
      <c r="S27" s="134"/>
      <c r="T27" s="134"/>
      <c r="AB27" s="403"/>
      <c r="AC27" s="403"/>
      <c r="AD27" s="403"/>
      <c r="AE27" s="796">
        <f>CONVERT(AE8,"MJ","kWh")</f>
        <v>2.4508333333333336</v>
      </c>
      <c r="AF27">
        <f>1/AE27</f>
        <v>0.40802448146888809</v>
      </c>
      <c r="AG27" s="226"/>
    </row>
    <row r="28" spans="1:37" ht="15.5">
      <c r="D28" s="134"/>
      <c r="E28" s="134"/>
      <c r="F28" s="134"/>
      <c r="G28" s="134"/>
      <c r="H28" s="134"/>
      <c r="I28" s="134"/>
      <c r="J28" s="134"/>
      <c r="K28" s="134"/>
      <c r="L28" s="134"/>
      <c r="M28" s="134"/>
      <c r="N28" s="134"/>
      <c r="O28" s="134"/>
      <c r="P28" s="134"/>
      <c r="Q28" s="134"/>
      <c r="R28" s="134"/>
      <c r="S28" s="134"/>
      <c r="T28" s="134"/>
      <c r="AB28" s="403"/>
      <c r="AC28" s="403"/>
      <c r="AD28" s="403"/>
      <c r="AE28" s="796">
        <f>CONVERT(AE9,"MJ","kWh")</f>
        <v>2.0041666666666669</v>
      </c>
      <c r="AF28">
        <f>1/AE28</f>
        <v>0.49896049896049893</v>
      </c>
    </row>
    <row r="29" spans="1:37" ht="15.5">
      <c r="D29" s="134"/>
      <c r="E29" s="134"/>
      <c r="F29" s="134"/>
      <c r="G29" s="134"/>
      <c r="H29" s="134"/>
      <c r="I29" s="134"/>
      <c r="J29" s="134"/>
      <c r="K29" s="134"/>
      <c r="L29" s="134"/>
      <c r="M29" s="134"/>
      <c r="N29" s="134"/>
      <c r="O29" s="134"/>
      <c r="P29" s="134"/>
      <c r="Q29" s="134"/>
      <c r="R29" s="134"/>
      <c r="S29" s="134"/>
      <c r="T29" s="134"/>
      <c r="AB29" s="403"/>
      <c r="AC29" s="403"/>
      <c r="AD29" s="403"/>
      <c r="AE29" s="796">
        <f>CONVERT(AE10,"MJ","kWh")</f>
        <v>2.6286111111111108</v>
      </c>
      <c r="AF29">
        <f>1/AE29</f>
        <v>0.3804290394166755</v>
      </c>
    </row>
    <row r="30" spans="1:37">
      <c r="D30" s="134"/>
      <c r="E30" s="134"/>
      <c r="F30" s="134"/>
      <c r="G30" s="134"/>
      <c r="H30" s="134"/>
      <c r="I30" s="134"/>
      <c r="J30" s="134"/>
      <c r="K30" s="361"/>
      <c r="L30" s="361"/>
      <c r="M30" s="361"/>
      <c r="N30" s="361"/>
      <c r="O30" s="361"/>
      <c r="P30" s="361"/>
      <c r="Q30" s="361"/>
      <c r="R30" s="361"/>
      <c r="S30" s="361"/>
      <c r="T30" s="361"/>
      <c r="U30" s="361"/>
      <c r="V30" s="361"/>
      <c r="W30" s="361"/>
      <c r="X30" s="361"/>
      <c r="AB30" s="403"/>
      <c r="AC30" s="403"/>
      <c r="AD30" s="403"/>
    </row>
    <row r="31" spans="1:37">
      <c r="D31" s="134"/>
      <c r="E31" s="134"/>
      <c r="F31" s="134"/>
      <c r="G31" s="134"/>
      <c r="H31" s="134"/>
      <c r="I31" s="134"/>
      <c r="J31" s="134"/>
      <c r="K31" s="170"/>
      <c r="L31" s="170"/>
      <c r="M31" s="170"/>
      <c r="N31" s="170"/>
      <c r="O31" s="170"/>
      <c r="P31" s="170"/>
      <c r="Q31" s="170"/>
      <c r="R31" s="170"/>
      <c r="S31" s="170"/>
      <c r="T31" s="170"/>
      <c r="U31" s="170"/>
      <c r="V31" s="170"/>
      <c r="W31" s="170"/>
      <c r="X31" s="170"/>
      <c r="Y31" s="552"/>
      <c r="Z31" s="552"/>
      <c r="AA31" s="552"/>
      <c r="AB31" s="583"/>
      <c r="AC31" s="583"/>
      <c r="AD31" s="583"/>
    </row>
    <row r="32" spans="1:37">
      <c r="D32" s="134"/>
      <c r="E32" s="134"/>
      <c r="F32" s="134"/>
      <c r="G32" s="134"/>
      <c r="H32" s="134"/>
      <c r="I32" s="330" t="s">
        <v>158</v>
      </c>
      <c r="J32" s="330"/>
      <c r="K32" s="331">
        <v>251956.30000000002</v>
      </c>
      <c r="L32" s="331">
        <v>261137.40000000002</v>
      </c>
      <c r="M32" s="331">
        <v>264743.10000000003</v>
      </c>
      <c r="N32" s="331">
        <v>260412.00000000003</v>
      </c>
      <c r="O32" s="331">
        <v>226035.90000000002</v>
      </c>
      <c r="P32" s="331">
        <v>230470.8</v>
      </c>
      <c r="Q32" s="331">
        <v>227709.4</v>
      </c>
      <c r="R32" s="331">
        <v>216810.8</v>
      </c>
      <c r="S32" s="331">
        <v>192234.7</v>
      </c>
      <c r="T32" s="331">
        <v>175509.80000000002</v>
      </c>
      <c r="U32" s="331">
        <v>191458.2</v>
      </c>
      <c r="V32" s="331">
        <v>198694</v>
      </c>
      <c r="W32" s="331">
        <v>208823.50000000003</v>
      </c>
      <c r="X32" s="331">
        <v>192128.82418432002</v>
      </c>
      <c r="Y32" s="331">
        <v>195084.02998637001</v>
      </c>
      <c r="Z32" s="331">
        <v>180805.10138134996</v>
      </c>
      <c r="AA32" s="331">
        <v>189132.25636032</v>
      </c>
      <c r="AB32" s="331">
        <v>198515.14072983002</v>
      </c>
      <c r="AC32" s="331">
        <v>161974.30795860477</v>
      </c>
      <c r="AD32" s="331">
        <v>151449.25789488689</v>
      </c>
      <c r="AE32" s="331">
        <v>159285.32782682442</v>
      </c>
      <c r="AK32" s="134" t="str">
        <f>I32</f>
        <v>GWh lordi</v>
      </c>
    </row>
    <row r="33" spans="1:43">
      <c r="I33" s="165" t="s">
        <v>159</v>
      </c>
      <c r="J33" s="165"/>
      <c r="K33" s="488">
        <v>48339.4</v>
      </c>
      <c r="L33" s="488">
        <v>49336.200000000004</v>
      </c>
      <c r="M33" s="488">
        <v>49614.200000000004</v>
      </c>
      <c r="N33" s="488">
        <v>48198</v>
      </c>
      <c r="O33" s="488">
        <v>41824</v>
      </c>
      <c r="P33" s="488">
        <v>42341.900000000009</v>
      </c>
      <c r="Q33" s="488">
        <v>41829.699999999997</v>
      </c>
      <c r="R33" s="488">
        <v>40299.599999999999</v>
      </c>
      <c r="S33" s="488">
        <v>35294.800000000003</v>
      </c>
      <c r="T33" s="488">
        <v>32856.200000000004</v>
      </c>
      <c r="U33" s="488">
        <v>34577.5</v>
      </c>
      <c r="V33" s="488">
        <v>34976.700000000004</v>
      </c>
      <c r="W33" s="488">
        <v>36137.511404805635</v>
      </c>
      <c r="X33" s="488">
        <v>33341.207676315105</v>
      </c>
      <c r="Y33" s="488">
        <v>33271.505547168948</v>
      </c>
      <c r="Z33" s="488">
        <v>30723.379358864331</v>
      </c>
      <c r="AA33" s="488">
        <v>32092.747883120643</v>
      </c>
      <c r="AB33" s="488">
        <v>33836.493293786189</v>
      </c>
      <c r="AC33" s="488">
        <v>27295.463315059136</v>
      </c>
      <c r="AD33" s="488">
        <v>24802.976813723657</v>
      </c>
      <c r="AE33" s="488">
        <v>26012.309838835932</v>
      </c>
      <c r="AK33" s="134" t="str">
        <f>I33</f>
        <v>ktep elettrici</v>
      </c>
    </row>
    <row r="34" spans="1:43">
      <c r="I34" s="165" t="s">
        <v>163</v>
      </c>
      <c r="J34" s="165"/>
      <c r="K34" s="488">
        <v>53462.9</v>
      </c>
      <c r="L34" s="488">
        <v>54922.9</v>
      </c>
      <c r="M34" s="488">
        <v>55067.900000000009</v>
      </c>
      <c r="N34" s="488">
        <v>53498.400000000001</v>
      </c>
      <c r="O34" s="488">
        <v>46759.6</v>
      </c>
      <c r="P34" s="488">
        <v>47761.799999999996</v>
      </c>
      <c r="Q34" s="488">
        <v>47675</v>
      </c>
      <c r="R34" s="488">
        <v>45667.4</v>
      </c>
      <c r="S34" s="488">
        <v>41098.899999999994</v>
      </c>
      <c r="T34" s="488">
        <v>38296</v>
      </c>
      <c r="U34" s="488">
        <v>40343.200000000004</v>
      </c>
      <c r="V34" s="488">
        <v>40885.100000000006</v>
      </c>
      <c r="W34" s="488">
        <v>42043.923323247815</v>
      </c>
      <c r="X34" s="488">
        <v>39108.856541579611</v>
      </c>
      <c r="Y34" s="488">
        <v>39096.751160193686</v>
      </c>
      <c r="Z34" s="488">
        <v>36458.602351759473</v>
      </c>
      <c r="AA34" s="488">
        <v>37645.36863428761</v>
      </c>
      <c r="AB34" s="488">
        <v>39315.750742906217</v>
      </c>
      <c r="AC34" s="488">
        <v>32240.206337246622</v>
      </c>
      <c r="AD34" s="488">
        <v>29818.377172932753</v>
      </c>
      <c r="AE34" s="488">
        <v>31344.490024895265</v>
      </c>
      <c r="AK34" s="134" t="str">
        <f>I34</f>
        <v>ktep totali (+calore)</v>
      </c>
    </row>
    <row r="35" spans="1:43">
      <c r="I35" s="165"/>
      <c r="J35" s="165"/>
      <c r="K35" s="165"/>
      <c r="L35" s="165"/>
      <c r="M35" s="165"/>
      <c r="N35" s="165"/>
      <c r="O35" s="165"/>
      <c r="P35" s="165"/>
      <c r="Q35" s="165"/>
      <c r="R35" s="165"/>
      <c r="S35" s="165"/>
      <c r="T35" s="165"/>
      <c r="U35" s="332"/>
      <c r="V35" s="165"/>
      <c r="W35" s="165"/>
      <c r="X35" s="390"/>
      <c r="Y35" s="390"/>
      <c r="Z35" s="390"/>
      <c r="AA35" s="390"/>
      <c r="AB35" s="390"/>
      <c r="AC35" s="390"/>
      <c r="AD35" s="390"/>
      <c r="AE35" s="390"/>
      <c r="AK35" s="134"/>
    </row>
    <row r="36" spans="1:43">
      <c r="I36" s="165" t="s">
        <v>162</v>
      </c>
      <c r="J36" s="165"/>
      <c r="K36" s="333">
        <f>K33*41.868/1000</f>
        <v>2023.8739992000003</v>
      </c>
      <c r="L36" s="333">
        <f t="shared" ref="L36:T36" si="2">L33*41.868/1000</f>
        <v>2065.6080216000005</v>
      </c>
      <c r="M36" s="333">
        <f t="shared" si="2"/>
        <v>2077.2473256000003</v>
      </c>
      <c r="N36" s="333">
        <f t="shared" si="2"/>
        <v>2017.9538640000001</v>
      </c>
      <c r="O36" s="333">
        <f t="shared" si="2"/>
        <v>1751.0872320000001</v>
      </c>
      <c r="P36" s="333">
        <f t="shared" si="2"/>
        <v>1772.7706692000004</v>
      </c>
      <c r="Q36" s="333">
        <f t="shared" si="2"/>
        <v>1751.3258795999998</v>
      </c>
      <c r="R36" s="333">
        <f t="shared" si="2"/>
        <v>1687.2636528</v>
      </c>
      <c r="S36" s="333">
        <f t="shared" si="2"/>
        <v>1477.7226864000002</v>
      </c>
      <c r="T36" s="333">
        <f t="shared" si="2"/>
        <v>1375.6233816000001</v>
      </c>
      <c r="U36" s="333">
        <f t="shared" ref="U36:Z36" si="3">U33*41.868/1000</f>
        <v>1447.6907699999999</v>
      </c>
      <c r="V36" s="333">
        <f t="shared" si="3"/>
        <v>1464.4044756000003</v>
      </c>
      <c r="W36" s="333">
        <f t="shared" si="3"/>
        <v>1513.0053274964025</v>
      </c>
      <c r="X36" s="406">
        <f t="shared" si="3"/>
        <v>1395.9296829919608</v>
      </c>
      <c r="Y36" s="406">
        <f t="shared" si="3"/>
        <v>1393.0113942488695</v>
      </c>
      <c r="Z36" s="406">
        <f t="shared" si="3"/>
        <v>1286.326446996932</v>
      </c>
      <c r="AA36" s="406">
        <f>AA33*41.868/1000</f>
        <v>1343.6591683704951</v>
      </c>
      <c r="AB36" s="406">
        <f>AB33*41.868/1000</f>
        <v>1416.6663012242402</v>
      </c>
      <c r="AC36" s="406">
        <f>AC33*41.868/1000</f>
        <v>1142.806458074896</v>
      </c>
      <c r="AD36" s="406">
        <f>AD33*41.868/1000</f>
        <v>1038.4510332369821</v>
      </c>
      <c r="AE36" s="406">
        <f>AE33*41.868/1000</f>
        <v>1089.0833883323828</v>
      </c>
      <c r="AK36" s="134" t="str">
        <f>I36</f>
        <v>PJ elettrici</v>
      </c>
    </row>
    <row r="37" spans="1:43">
      <c r="I37" s="330" t="s">
        <v>160</v>
      </c>
      <c r="J37" s="165"/>
      <c r="K37" s="331">
        <f>K36/K12*1000</f>
        <v>251898.9056800417</v>
      </c>
      <c r="L37" s="331">
        <f t="shared" ref="L37:U37" si="4">L36/L12*1000</f>
        <v>261176.28374801489</v>
      </c>
      <c r="M37" s="331">
        <f t="shared" si="4"/>
        <v>264750.26680896484</v>
      </c>
      <c r="N37" s="331">
        <f t="shared" si="4"/>
        <v>260388.97893030799</v>
      </c>
      <c r="O37" s="331">
        <f>O36/O12*1000</f>
        <v>226075.67567567568</v>
      </c>
      <c r="P37" s="331">
        <f t="shared" si="4"/>
        <v>230494.82852476867</v>
      </c>
      <c r="Q37" s="331">
        <f t="shared" si="4"/>
        <v>227706.58682634725</v>
      </c>
      <c r="R37" s="331">
        <f t="shared" si="4"/>
        <v>216781.0650887574</v>
      </c>
      <c r="S37" s="331">
        <f t="shared" si="4"/>
        <v>192237.47276688454</v>
      </c>
      <c r="T37" s="331">
        <f t="shared" si="4"/>
        <v>175513.88888888891</v>
      </c>
      <c r="U37" s="331">
        <f t="shared" si="4"/>
        <v>191468.16161883349</v>
      </c>
      <c r="V37" s="331">
        <f t="shared" ref="V37:AA37" si="5">V36/V12*1000</f>
        <v>198698.02925373139</v>
      </c>
      <c r="W37" s="331">
        <f t="shared" si="5"/>
        <v>208834.41373311283</v>
      </c>
      <c r="X37" s="395">
        <f t="shared" si="5"/>
        <v>192118.04059894866</v>
      </c>
      <c r="Y37" s="395">
        <f t="shared" si="5"/>
        <v>195072.31399648081</v>
      </c>
      <c r="Z37" s="395">
        <f t="shared" si="5"/>
        <v>180816.20002768232</v>
      </c>
      <c r="AA37" s="395">
        <f t="shared" si="5"/>
        <v>189141.21176386473</v>
      </c>
      <c r="AB37" s="395">
        <f>AB36/AB12*1000</f>
        <v>198523.86508187224</v>
      </c>
      <c r="AC37" s="395">
        <f>AC36/AC12*1000</f>
        <v>161985.3236108995</v>
      </c>
      <c r="AD37" s="395">
        <f>AD36/AD12*1000</f>
        <v>151443.93076228409</v>
      </c>
      <c r="AE37" s="395">
        <f>AE36/AE12*1000</f>
        <v>158827.96971450822</v>
      </c>
      <c r="AK37" s="134" t="str">
        <f>I37</f>
        <v>GWh lordi stima</v>
      </c>
    </row>
    <row r="38" spans="1:43">
      <c r="I38" s="165" t="s">
        <v>161</v>
      </c>
      <c r="J38" s="165"/>
      <c r="K38" s="334">
        <f>K37/K32-1</f>
        <v>-2.2779474043044257E-4</v>
      </c>
      <c r="L38" s="334">
        <f t="shared" ref="L38:U38" si="6">L37/L32-1</f>
        <v>1.4890149023027988E-4</v>
      </c>
      <c r="M38" s="334">
        <f t="shared" si="6"/>
        <v>2.7070805489470828E-5</v>
      </c>
      <c r="N38" s="334">
        <f t="shared" si="6"/>
        <v>-8.8402491790096072E-5</v>
      </c>
      <c r="O38" s="334">
        <f t="shared" si="6"/>
        <v>1.7597061208274312E-4</v>
      </c>
      <c r="P38" s="334">
        <f t="shared" si="6"/>
        <v>1.0425843433825577E-4</v>
      </c>
      <c r="Q38" s="334">
        <f t="shared" si="6"/>
        <v>-1.2354227154176556E-5</v>
      </c>
      <c r="R38" s="334">
        <f t="shared" si="6"/>
        <v>-1.371468176059043E-4</v>
      </c>
      <c r="S38" s="334">
        <f t="shared" si="6"/>
        <v>1.4423862520818176E-5</v>
      </c>
      <c r="T38" s="334">
        <f t="shared" si="6"/>
        <v>2.3297211260597805E-5</v>
      </c>
      <c r="U38" s="334">
        <f t="shared" si="6"/>
        <v>5.2030254298118805E-5</v>
      </c>
      <c r="V38" s="334">
        <f t="shared" ref="V38:AA38" si="7">V37/V32-1</f>
        <v>2.0278688492858521E-5</v>
      </c>
      <c r="W38" s="334">
        <f t="shared" si="7"/>
        <v>5.2262954661763672E-5</v>
      </c>
      <c r="X38" s="407">
        <f t="shared" si="7"/>
        <v>-5.6126848312021416E-5</v>
      </c>
      <c r="Y38" s="407">
        <f t="shared" si="7"/>
        <v>-6.0056119868034941E-5</v>
      </c>
      <c r="Z38" s="407">
        <f t="shared" si="7"/>
        <v>6.1384586206747471E-5</v>
      </c>
      <c r="AA38" s="407">
        <f t="shared" si="7"/>
        <v>4.7349953503861286E-5</v>
      </c>
      <c r="AB38" s="407">
        <f>AB37/AB32-1</f>
        <v>4.3948043510155799E-5</v>
      </c>
      <c r="AC38" s="407">
        <f>AC37/AC32-1</f>
        <v>6.8008639354966149E-5</v>
      </c>
      <c r="AD38" s="407">
        <f>AD37/AD32-1</f>
        <v>-3.517437243905075E-5</v>
      </c>
      <c r="AE38" s="407">
        <f>AE37/AE32-1</f>
        <v>-2.8713135010993707E-3</v>
      </c>
      <c r="AK38" s="134" t="str">
        <f>I38</f>
        <v>scarto</v>
      </c>
    </row>
    <row r="39" spans="1:43">
      <c r="X39" s="403"/>
      <c r="Y39" s="403"/>
      <c r="Z39" s="403"/>
      <c r="AA39" s="403"/>
      <c r="AB39" s="403"/>
      <c r="AC39" s="403"/>
      <c r="AD39" s="403"/>
    </row>
    <row r="40" spans="1:43">
      <c r="A40" s="342" t="s">
        <v>533</v>
      </c>
      <c r="K40" s="177">
        <f t="shared" ref="K40:AA40" si="8">K46/K62</f>
        <v>0.21191148231189183</v>
      </c>
      <c r="L40" s="177">
        <f t="shared" si="8"/>
        <v>0.22134023129710606</v>
      </c>
      <c r="M40" s="177">
        <f t="shared" si="8"/>
        <v>0.21365121620401067</v>
      </c>
      <c r="N40" s="177">
        <f t="shared" si="8"/>
        <v>0.21086168586678081</v>
      </c>
      <c r="O40" s="177">
        <f t="shared" si="8"/>
        <v>0.22162011476767524</v>
      </c>
      <c r="P40" s="177">
        <f t="shared" si="8"/>
        <v>0.24325389564053421</v>
      </c>
      <c r="Q40" s="177">
        <f t="shared" si="8"/>
        <v>0.26236507401468878</v>
      </c>
      <c r="R40" s="177">
        <f t="shared" si="8"/>
        <v>0.25949704235065424</v>
      </c>
      <c r="S40" s="177">
        <f t="shared" si="8"/>
        <v>0.30620766360710766</v>
      </c>
      <c r="T40" s="177">
        <f t="shared" si="8"/>
        <v>0.31921147328802152</v>
      </c>
      <c r="U40" s="177">
        <f t="shared" si="8"/>
        <v>0.30861153581318879</v>
      </c>
      <c r="V40" s="177">
        <f t="shared" si="8"/>
        <v>0.30610212973754619</v>
      </c>
      <c r="W40" s="177">
        <f t="shared" si="8"/>
        <v>0.29157097064872883</v>
      </c>
      <c r="X40" s="177">
        <f t="shared" si="8"/>
        <v>0.3093508478555882</v>
      </c>
      <c r="Y40" s="177">
        <f t="shared" si="8"/>
        <v>0.30779405075156285</v>
      </c>
      <c r="Z40" s="177">
        <f t="shared" si="8"/>
        <v>0.32705861615478499</v>
      </c>
      <c r="AA40" s="177">
        <f t="shared" si="8"/>
        <v>0.30404756584264225</v>
      </c>
      <c r="AB40" s="177">
        <f>AB46/AB62</f>
        <v>0.28450919236415301</v>
      </c>
      <c r="AC40" s="177">
        <f>AC46/AC62</f>
        <v>0.31285756735456838</v>
      </c>
      <c r="AD40" s="177">
        <f>AD46/AD62</f>
        <v>0.34008892550818726</v>
      </c>
      <c r="AE40" s="177">
        <f>AE46/AE62</f>
        <v>0.3277095443922472</v>
      </c>
    </row>
    <row r="41" spans="1:43">
      <c r="A41" t="s">
        <v>530</v>
      </c>
      <c r="I41" s="168"/>
      <c r="J41" s="168"/>
      <c r="K41" s="177">
        <f>+K46/('6-y'!J14*1000)</f>
        <v>0.56794047920092439</v>
      </c>
      <c r="L41" s="177">
        <f>+L46/('6-y'!K14*1000)</f>
        <v>0.57089042169640314</v>
      </c>
      <c r="M41" s="177">
        <f>+M46/('6-y'!L14*1000)</f>
        <v>0.52745611391674563</v>
      </c>
      <c r="N41" s="177">
        <f>+N46/('6-y'!M14*1000)</f>
        <v>0.53538230030492295</v>
      </c>
      <c r="O41" s="177">
        <f>+O46/('6-y'!N14*1000)</f>
        <v>0.50008038203583305</v>
      </c>
      <c r="P41" s="177">
        <f>+P46/('6-y'!O14*1000)</f>
        <v>0.50464656047957135</v>
      </c>
      <c r="Q41" s="177">
        <f>+Q46/('6-y'!P14*1000)</f>
        <v>0.5906377781200195</v>
      </c>
      <c r="R41" s="177">
        <f>+R46/('6-y'!Q14*1000)</f>
        <v>0.55987011600328884</v>
      </c>
      <c r="S41" s="177">
        <f>+S46/('6-y'!R14*1000)</f>
        <v>0.6473050101400003</v>
      </c>
      <c r="T41" s="177">
        <f>+T46/('6-y'!S14*1000)</f>
        <v>0.66042511471380816</v>
      </c>
      <c r="U41" s="177">
        <f>+U46/('6-y'!T14*1000)</f>
        <v>0.61820323019466328</v>
      </c>
      <c r="V41" s="177">
        <f>+V46/('6-y'!U14*1000)</f>
        <v>0.58068756294976109</v>
      </c>
      <c r="W41" s="177">
        <f>+W46/('6-y'!V14*1000)</f>
        <v>0.55462317982437781</v>
      </c>
      <c r="X41" s="177">
        <f>+X46/('6-y'!W14*1000)</f>
        <v>0.56825006895472374</v>
      </c>
      <c r="Y41" s="177">
        <f>+Y46/('6-y'!X14*1000)</f>
        <v>0.56167515075293395</v>
      </c>
      <c r="Z41" s="177">
        <f>+Z46/('6-y'!Y14*1000)</f>
        <v>0.590307667900001</v>
      </c>
      <c r="AA41" s="177">
        <f>+AA46/('6-y'!Z14*1000)</f>
        <v>0.56778870204174958</v>
      </c>
      <c r="AB41" s="177">
        <f>+AB46/('6-y'!AA14*1000)</f>
        <v>0.53752080546364589</v>
      </c>
      <c r="AC41" s="177">
        <f>+AC46/('6-y'!AB14*1000)</f>
        <v>0.52818770490592493</v>
      </c>
      <c r="AD41" s="177">
        <f>+AD46/('6-y'!AC14*1000)</f>
        <v>0.56709575380445199</v>
      </c>
      <c r="AE41" s="177">
        <f>+AE46/('6-y'!AD14*1000)</f>
        <v>0.54645329509206553</v>
      </c>
    </row>
    <row r="42" spans="1:43">
      <c r="A42" t="s">
        <v>164</v>
      </c>
      <c r="D42" s="335">
        <f>18808.4</f>
        <v>18808.400000000001</v>
      </c>
      <c r="E42" s="335">
        <v>19233.599999999999</v>
      </c>
      <c r="F42" s="335">
        <v>16008.8</v>
      </c>
      <c r="G42" s="335">
        <v>17032.900000000001</v>
      </c>
      <c r="H42" s="336">
        <v>17552.099999999999</v>
      </c>
      <c r="I42" s="337">
        <v>17750</v>
      </c>
      <c r="J42" s="335">
        <v>20685</v>
      </c>
      <c r="K42" s="335">
        <v>21205.599999999999</v>
      </c>
      <c r="L42" s="335">
        <v>22588.5</v>
      </c>
      <c r="M42" s="335">
        <v>23728.400000000001</v>
      </c>
      <c r="N42" s="335">
        <v>22461.1</v>
      </c>
      <c r="O42" s="335">
        <v>21472.799999999999</v>
      </c>
      <c r="P42" s="335">
        <v>23998.799999999999</v>
      </c>
      <c r="Q42" s="335">
        <v>22520.7</v>
      </c>
      <c r="R42" s="335">
        <v>22146.7</v>
      </c>
      <c r="S42" s="335">
        <v>20052.3</v>
      </c>
      <c r="T42" s="335">
        <v>19044.900000000001</v>
      </c>
      <c r="U42" s="335">
        <v>20654.3</v>
      </c>
      <c r="V42" s="335">
        <v>22164.2</v>
      </c>
      <c r="W42" s="918">
        <f>'6-x'!P698</f>
        <v>22923.9</v>
      </c>
      <c r="X42" s="919">
        <f>'6-x'!P611</f>
        <v>22075.47</v>
      </c>
      <c r="Y42" s="919">
        <f>'6-x'!P519</f>
        <v>22495.7</v>
      </c>
      <c r="Z42" s="919">
        <f>'6-x'!$P$427</f>
        <v>21332.83</v>
      </c>
      <c r="AA42" s="919">
        <f>'6-x'!$P$335</f>
        <v>21221.190000000002</v>
      </c>
      <c r="AB42" s="919">
        <f>'6-x'!$P$243</f>
        <v>21588.41</v>
      </c>
      <c r="AC42" s="919">
        <f>'6-x'!$P$151</f>
        <v>19794.98</v>
      </c>
      <c r="AD42" s="919">
        <f>'6-x'!$P$57</f>
        <v>19049.2</v>
      </c>
      <c r="AE42" s="904">
        <f>AD42/AD43*AE43</f>
        <v>19305.540086423978</v>
      </c>
      <c r="AK42" t="s">
        <v>164</v>
      </c>
    </row>
    <row r="43" spans="1:43">
      <c r="A43" t="s">
        <v>251</v>
      </c>
      <c r="C43" s="338"/>
      <c r="D43" s="339">
        <v>8760.7000000000007</v>
      </c>
      <c r="E43" s="339">
        <v>8859.5</v>
      </c>
      <c r="F43" s="339">
        <v>5015.8999999999996</v>
      </c>
      <c r="G43" s="339">
        <v>4837.1000000000004</v>
      </c>
      <c r="H43" s="339">
        <v>4721.3</v>
      </c>
      <c r="I43" s="339">
        <v>4977.3999999999996</v>
      </c>
      <c r="J43" s="339">
        <f>'1'!P9*85.9845228</f>
        <v>4527.9472276445522</v>
      </c>
      <c r="K43" s="339">
        <f>'1'!Q9*85.9845228</f>
        <v>4611.2567179282605</v>
      </c>
      <c r="L43" s="339">
        <f>'1'!R9*85.9845228</f>
        <v>4989.4693838234762</v>
      </c>
      <c r="M43" s="339">
        <f>'1'!S9*85.9845228</f>
        <v>4882.2752919676041</v>
      </c>
      <c r="N43" s="339">
        <f>'1'!T9*85.9845228</f>
        <v>4738.0965300252874</v>
      </c>
      <c r="O43" s="339">
        <f>'1'!U9*85.9845228</f>
        <v>4318.806837094724</v>
      </c>
      <c r="P43" s="339">
        <f>'1'!V9*85.9845228</f>
        <v>4836.7964577417761</v>
      </c>
      <c r="Q43" s="339">
        <f>'1'!W9*85.9845228</f>
        <v>5155.1962245597097</v>
      </c>
      <c r="R43" s="339">
        <f>'1'!X9*85.9845228</f>
        <v>4854.3964448523166</v>
      </c>
      <c r="S43" s="339">
        <f>'1'!Y9*85.9845228</f>
        <v>5081.1962787540333</v>
      </c>
      <c r="T43" s="339">
        <f>'1'!Z9*85.9845228</f>
        <v>4835.3964587670735</v>
      </c>
      <c r="U43" s="339">
        <f>'1'!AA9*85.9845228</f>
        <v>5096.2962676954639</v>
      </c>
      <c r="V43" s="339">
        <f>'1'!AB9*85.9845228</f>
        <v>5248.996155864741</v>
      </c>
      <c r="W43" s="339">
        <f>'1'!AC9*85.9845228</f>
        <v>5251.9000008613111</v>
      </c>
      <c r="X43" s="339">
        <f>'1'!AD9*85.9845228</f>
        <v>5126.500000840746</v>
      </c>
      <c r="Y43" s="339">
        <f>'1'!AE9*85.9845228</f>
        <v>5180.2000008495525</v>
      </c>
      <c r="Z43" s="339">
        <f>'1'!AF9*85.9845228</f>
        <v>5098.7000008361865</v>
      </c>
      <c r="AA43" s="339">
        <f>'1'!AG9*85.9845228</f>
        <v>4959.6904565313589</v>
      </c>
      <c r="AB43" s="361">
        <f>'1'!AH9*85.9845228</f>
        <v>4873.3447987355994</v>
      </c>
      <c r="AC43" s="361">
        <f>'1'!AI9*85.9845228</f>
        <v>4373.7575243630399</v>
      </c>
      <c r="AD43" s="361">
        <f>'1'!AJ9*85.9845228</f>
        <v>4447.1883068342404</v>
      </c>
      <c r="AE43" s="361">
        <f>'1'!AK9*85.9845228</f>
        <v>4507.0329530617773</v>
      </c>
      <c r="AK43" t="s">
        <v>251</v>
      </c>
    </row>
    <row r="44" spans="1:43">
      <c r="A44" s="340" t="s">
        <v>164</v>
      </c>
      <c r="C44" s="338"/>
      <c r="D44" s="341">
        <f t="shared" ref="D44:I44" si="9">D42</f>
        <v>18808.400000000001</v>
      </c>
      <c r="E44" s="341">
        <f t="shared" si="9"/>
        <v>19233.599999999999</v>
      </c>
      <c r="F44" s="341">
        <f t="shared" si="9"/>
        <v>16008.8</v>
      </c>
      <c r="G44" s="341">
        <f t="shared" si="9"/>
        <v>17032.900000000001</v>
      </c>
      <c r="H44" s="341">
        <f t="shared" si="9"/>
        <v>17552.099999999999</v>
      </c>
      <c r="I44" s="341">
        <f t="shared" si="9"/>
        <v>17750</v>
      </c>
      <c r="J44" s="920"/>
      <c r="K44" s="920"/>
      <c r="L44" s="920"/>
      <c r="M44" s="920"/>
      <c r="N44" s="920"/>
      <c r="O44" s="920"/>
      <c r="P44" s="920"/>
      <c r="Q44" s="920"/>
      <c r="R44" s="920"/>
      <c r="S44" s="920"/>
      <c r="T44" s="920"/>
      <c r="U44" s="920"/>
      <c r="V44" s="920"/>
      <c r="W44" s="920"/>
      <c r="X44" s="904"/>
      <c r="Y44" s="904"/>
      <c r="Z44" s="904"/>
      <c r="AA44" s="904"/>
      <c r="AB44" s="904"/>
      <c r="AC44" s="904"/>
      <c r="AD44" s="904"/>
    </row>
    <row r="45" spans="1:43" ht="15.5">
      <c r="A45" s="340" t="s">
        <v>251</v>
      </c>
      <c r="C45" s="342"/>
      <c r="D45" s="341">
        <f t="shared" ref="D45:I45" si="10">D43</f>
        <v>8760.7000000000007</v>
      </c>
      <c r="E45" s="341">
        <f t="shared" si="10"/>
        <v>8859.5</v>
      </c>
      <c r="F45" s="341">
        <f t="shared" si="10"/>
        <v>5015.8999999999996</v>
      </c>
      <c r="G45" s="341">
        <f t="shared" si="10"/>
        <v>4837.1000000000004</v>
      </c>
      <c r="H45" s="341">
        <f t="shared" si="10"/>
        <v>4721.3</v>
      </c>
      <c r="I45" s="341">
        <f t="shared" si="10"/>
        <v>4977.3999999999996</v>
      </c>
      <c r="J45" s="920"/>
      <c r="K45" s="920"/>
      <c r="L45" s="920"/>
      <c r="M45" s="920"/>
      <c r="N45" s="920"/>
      <c r="O45" s="920"/>
      <c r="P45" s="920"/>
      <c r="Q45" s="920"/>
      <c r="R45" s="920"/>
      <c r="S45" s="920"/>
      <c r="T45" s="920"/>
      <c r="U45" s="920"/>
      <c r="V45" s="920"/>
      <c r="W45" s="920"/>
      <c r="X45" s="904"/>
      <c r="Y45" s="904"/>
      <c r="Z45" s="904"/>
      <c r="AA45" s="904"/>
      <c r="AB45" s="904"/>
      <c r="AC45" s="904"/>
      <c r="AD45" s="904"/>
      <c r="AE45" s="313">
        <v>2025</v>
      </c>
      <c r="AF45" s="68">
        <v>2026</v>
      </c>
      <c r="AG45" s="68">
        <v>2027</v>
      </c>
      <c r="AH45" s="68">
        <v>2028</v>
      </c>
      <c r="AI45" s="68">
        <v>2029</v>
      </c>
      <c r="AJ45" s="68">
        <v>2030</v>
      </c>
      <c r="AK45" s="68">
        <v>2032</v>
      </c>
      <c r="AL45" s="68">
        <v>2035</v>
      </c>
      <c r="AM45" s="68">
        <v>2040</v>
      </c>
      <c r="AN45" s="68">
        <v>2045</v>
      </c>
      <c r="AO45" s="68">
        <v>2050</v>
      </c>
      <c r="AP45" s="68">
        <v>2060</v>
      </c>
      <c r="AQ45" s="68">
        <v>2080</v>
      </c>
    </row>
    <row r="46" spans="1:43">
      <c r="A46" t="s">
        <v>318</v>
      </c>
      <c r="C46" s="339"/>
      <c r="D46" s="339">
        <f t="shared" ref="D46:I46" si="11">D43*11.63</f>
        <v>101886.94100000002</v>
      </c>
      <c r="E46" s="339">
        <f t="shared" si="11"/>
        <v>103035.985</v>
      </c>
      <c r="F46" s="339">
        <f t="shared" si="11"/>
        <v>58334.917000000001</v>
      </c>
      <c r="G46" s="339">
        <f t="shared" si="11"/>
        <v>56255.473000000005</v>
      </c>
      <c r="H46" s="339">
        <f t="shared" si="11"/>
        <v>54908.719000000005</v>
      </c>
      <c r="I46" s="339">
        <f t="shared" si="11"/>
        <v>57887.161999999997</v>
      </c>
      <c r="J46" s="339">
        <f t="shared" ref="J46:T46" si="12">J43*11.63</f>
        <v>52660.026257506142</v>
      </c>
      <c r="K46" s="339">
        <f t="shared" si="12"/>
        <v>53628.915629505675</v>
      </c>
      <c r="L46" s="339">
        <f t="shared" si="12"/>
        <v>58027.528933867034</v>
      </c>
      <c r="M46" s="339">
        <f t="shared" si="12"/>
        <v>56780.861645583238</v>
      </c>
      <c r="N46" s="339">
        <f t="shared" si="12"/>
        <v>55104.062644194099</v>
      </c>
      <c r="O46" s="339">
        <f t="shared" si="12"/>
        <v>50227.723515411642</v>
      </c>
      <c r="P46" s="339">
        <f t="shared" si="12"/>
        <v>56251.942803536862</v>
      </c>
      <c r="Q46" s="339">
        <f t="shared" si="12"/>
        <v>59954.932091629431</v>
      </c>
      <c r="R46" s="339">
        <f t="shared" si="12"/>
        <v>56456.630653632448</v>
      </c>
      <c r="S46" s="339">
        <f t="shared" si="12"/>
        <v>59094.312721909409</v>
      </c>
      <c r="T46" s="339">
        <f t="shared" si="12"/>
        <v>56235.660815461066</v>
      </c>
      <c r="U46" s="339">
        <f t="shared" ref="U46:AB46" si="13">U43*11.63</f>
        <v>59269.925593298249</v>
      </c>
      <c r="V46" s="339">
        <f t="shared" si="13"/>
        <v>61045.825292706941</v>
      </c>
      <c r="W46" s="339">
        <f t="shared" si="13"/>
        <v>61079.597010017053</v>
      </c>
      <c r="X46" s="336">
        <f t="shared" si="13"/>
        <v>59621.195009777883</v>
      </c>
      <c r="Y46" s="336">
        <f t="shared" si="13"/>
        <v>60245.726009880302</v>
      </c>
      <c r="Z46" s="336">
        <f t="shared" si="13"/>
        <v>59297.88100972485</v>
      </c>
      <c r="AA46" s="336">
        <f t="shared" si="13"/>
        <v>57681.20000945971</v>
      </c>
      <c r="AB46" s="336">
        <f t="shared" si="13"/>
        <v>56677.000009295021</v>
      </c>
      <c r="AC46" s="336">
        <f>AC43*11.63</f>
        <v>50866.800008342158</v>
      </c>
      <c r="AD46" s="336">
        <f>AD43*11.63</f>
        <v>51720.80000848222</v>
      </c>
      <c r="AE46" s="336">
        <f>AE43*11.63</f>
        <v>52416.79324410847</v>
      </c>
      <c r="AF46" s="672">
        <v>50237.710801783018</v>
      </c>
      <c r="AH46" s="672">
        <v>49984.838242561578</v>
      </c>
      <c r="AJ46" s="672">
        <v>50748.029164796164</v>
      </c>
      <c r="AK46" s="672">
        <v>45527.538668122725</v>
      </c>
      <c r="AL46" s="672">
        <v>44795.262548102161</v>
      </c>
      <c r="AM46" s="672">
        <v>41936.726566926394</v>
      </c>
      <c r="AN46" s="672">
        <v>35482.401265713328</v>
      </c>
      <c r="AO46" s="672">
        <v>35868.830056595849</v>
      </c>
      <c r="AP46" s="672">
        <v>44753.648716340096</v>
      </c>
      <c r="AQ46" s="672">
        <v>62433.809363098939</v>
      </c>
    </row>
    <row r="47" spans="1:43">
      <c r="U47" s="147"/>
      <c r="V47" s="147"/>
      <c r="W47" s="147"/>
      <c r="X47" s="391"/>
      <c r="Y47" s="391"/>
      <c r="Z47" s="391"/>
      <c r="AA47" s="391"/>
      <c r="AB47" s="391"/>
      <c r="AC47" s="391"/>
      <c r="AD47" s="391"/>
    </row>
    <row r="48" spans="1:43">
      <c r="C48" s="170">
        <f t="shared" ref="C48:I48" si="14">C51-C49</f>
        <v>3929.2528915849907</v>
      </c>
      <c r="D48" s="170">
        <f t="shared" si="14"/>
        <v>4035.7980041675692</v>
      </c>
      <c r="E48" s="170">
        <f t="shared" si="14"/>
        <v>4141.9586169271934</v>
      </c>
      <c r="F48" s="170">
        <f t="shared" si="14"/>
        <v>5222.8542762057259</v>
      </c>
      <c r="G48" s="170">
        <f t="shared" si="14"/>
        <v>5394.0088081793729</v>
      </c>
      <c r="H48" s="170">
        <f t="shared" si="14"/>
        <v>4885.2628832013361</v>
      </c>
      <c r="I48" s="170">
        <f t="shared" si="14"/>
        <v>6590.9545259624429</v>
      </c>
      <c r="J48" s="170">
        <f>J51-J49</f>
        <v>1418</v>
      </c>
      <c r="X48" s="342"/>
      <c r="Y48" s="342"/>
      <c r="Z48" s="342"/>
      <c r="AA48" s="342"/>
      <c r="AB48" s="342"/>
      <c r="AC48" s="342"/>
      <c r="AD48" s="342"/>
      <c r="AN48" s="241" t="s">
        <v>242</v>
      </c>
    </row>
    <row r="49" spans="1:43">
      <c r="C49" s="343">
        <v>37380.747108415009</v>
      </c>
      <c r="D49" s="343">
        <v>38697.201995832431</v>
      </c>
      <c r="E49" s="343">
        <v>38566.041383072807</v>
      </c>
      <c r="F49" s="343">
        <v>40521.145723794274</v>
      </c>
      <c r="G49" s="343">
        <v>39389.991191820627</v>
      </c>
      <c r="H49" s="343">
        <v>42172.737116798664</v>
      </c>
      <c r="I49" s="343">
        <v>41918.045474037557</v>
      </c>
      <c r="J49" s="343">
        <v>48055</v>
      </c>
      <c r="X49" s="342"/>
      <c r="Y49" s="342"/>
      <c r="Z49" s="342"/>
      <c r="AA49" s="342"/>
      <c r="AB49" s="342"/>
      <c r="AC49" s="342"/>
      <c r="AD49" s="342"/>
      <c r="AN49" s="68" t="s">
        <v>173</v>
      </c>
    </row>
    <row r="50" spans="1:43" ht="15.5">
      <c r="B50" s="313">
        <v>1996</v>
      </c>
      <c r="C50" s="313">
        <v>1997</v>
      </c>
      <c r="D50" s="313">
        <v>1998</v>
      </c>
      <c r="E50" s="313">
        <v>1999</v>
      </c>
      <c r="F50" s="313">
        <v>2000</v>
      </c>
      <c r="G50" s="313">
        <v>2001</v>
      </c>
      <c r="H50" s="313">
        <v>2002</v>
      </c>
      <c r="I50" s="313">
        <v>2003</v>
      </c>
      <c r="J50" s="313">
        <v>2004</v>
      </c>
      <c r="K50" s="313">
        <v>2005</v>
      </c>
      <c r="L50" s="313">
        <v>2006</v>
      </c>
      <c r="M50" s="313">
        <v>2007</v>
      </c>
      <c r="N50" s="313">
        <v>2008</v>
      </c>
      <c r="O50" s="313">
        <v>2009</v>
      </c>
      <c r="P50" s="313">
        <v>2010</v>
      </c>
      <c r="Q50" s="313">
        <v>2011</v>
      </c>
      <c r="R50" s="313">
        <v>2012</v>
      </c>
      <c r="S50" s="313">
        <v>2013</v>
      </c>
      <c r="T50" s="313">
        <v>2014</v>
      </c>
      <c r="U50" s="313">
        <v>2015</v>
      </c>
      <c r="V50" s="313">
        <v>2016</v>
      </c>
      <c r="W50" s="313">
        <v>2017</v>
      </c>
      <c r="X50" s="313">
        <v>2018</v>
      </c>
      <c r="Y50" s="313">
        <v>2019</v>
      </c>
      <c r="Z50" s="313">
        <v>2020</v>
      </c>
      <c r="AA50" s="313">
        <v>2021</v>
      </c>
      <c r="AB50" s="313">
        <f>AB4</f>
        <v>2022</v>
      </c>
      <c r="AC50" s="313">
        <f>AC4</f>
        <v>2023</v>
      </c>
      <c r="AD50" s="313">
        <f>AD4</f>
        <v>2024</v>
      </c>
      <c r="AE50" s="313">
        <f>AE4</f>
        <v>2025</v>
      </c>
      <c r="AN50" s="68" t="s">
        <v>178</v>
      </c>
    </row>
    <row r="51" spans="1:43">
      <c r="A51" t="s">
        <v>159</v>
      </c>
      <c r="B51" s="344">
        <v>40391</v>
      </c>
      <c r="C51" s="344">
        <v>41310</v>
      </c>
      <c r="D51" s="344">
        <v>42733</v>
      </c>
      <c r="E51" s="344">
        <v>42708</v>
      </c>
      <c r="F51" s="344">
        <v>45744</v>
      </c>
      <c r="G51" s="344">
        <v>44784</v>
      </c>
      <c r="H51" s="344">
        <v>47058</v>
      </c>
      <c r="I51" s="344">
        <v>48509</v>
      </c>
      <c r="J51" s="344">
        <v>49473</v>
      </c>
      <c r="K51" s="343">
        <f>K33</f>
        <v>48339.4</v>
      </c>
      <c r="L51" s="343">
        <f t="shared" ref="L51:Y51" si="15">L33</f>
        <v>49336.200000000004</v>
      </c>
      <c r="M51" s="343">
        <f t="shared" si="15"/>
        <v>49614.200000000004</v>
      </c>
      <c r="N51" s="343">
        <f t="shared" si="15"/>
        <v>48198</v>
      </c>
      <c r="O51" s="343">
        <f t="shared" si="15"/>
        <v>41824</v>
      </c>
      <c r="P51" s="343">
        <f t="shared" si="15"/>
        <v>42341.900000000009</v>
      </c>
      <c r="Q51" s="343">
        <f t="shared" si="15"/>
        <v>41829.699999999997</v>
      </c>
      <c r="R51" s="343">
        <f t="shared" si="15"/>
        <v>40299.599999999999</v>
      </c>
      <c r="S51" s="343">
        <f t="shared" si="15"/>
        <v>35294.800000000003</v>
      </c>
      <c r="T51" s="343">
        <f t="shared" si="15"/>
        <v>32856.200000000004</v>
      </c>
      <c r="U51" s="343">
        <f t="shared" si="15"/>
        <v>34577.5</v>
      </c>
      <c r="V51" s="343">
        <f t="shared" si="15"/>
        <v>34976.700000000004</v>
      </c>
      <c r="W51" s="343">
        <f t="shared" si="15"/>
        <v>36137.511404805635</v>
      </c>
      <c r="X51" s="343">
        <f>X33</f>
        <v>33341.207676315105</v>
      </c>
      <c r="Y51" s="343">
        <f t="shared" si="15"/>
        <v>33271.505547168948</v>
      </c>
      <c r="Z51" s="343">
        <f t="shared" ref="Z51:AE51" si="16">Z33</f>
        <v>30723.379358864331</v>
      </c>
      <c r="AA51" s="343">
        <f t="shared" si="16"/>
        <v>32092.747883120643</v>
      </c>
      <c r="AB51" s="343">
        <f t="shared" si="16"/>
        <v>33836.493293786189</v>
      </c>
      <c r="AC51" s="343">
        <f t="shared" si="16"/>
        <v>27295.463315059136</v>
      </c>
      <c r="AD51" s="343">
        <f t="shared" si="16"/>
        <v>24802.976813723657</v>
      </c>
      <c r="AE51" s="343">
        <f t="shared" si="16"/>
        <v>26012.309838835932</v>
      </c>
      <c r="AN51" s="68" t="s">
        <v>172</v>
      </c>
    </row>
    <row r="52" spans="1:43">
      <c r="B52" s="345">
        <f>($AL$52*B51)</f>
        <v>1691090.388</v>
      </c>
      <c r="C52" s="345">
        <f t="shared" ref="C52:J52" si="17">($AL$52*C49)</f>
        <v>1565057.1199351198</v>
      </c>
      <c r="D52" s="345">
        <f t="shared" si="17"/>
        <v>1620174.4531615123</v>
      </c>
      <c r="E52" s="345">
        <f t="shared" si="17"/>
        <v>1614683.0206264923</v>
      </c>
      <c r="F52" s="345">
        <f t="shared" si="17"/>
        <v>1696539.3291638189</v>
      </c>
      <c r="G52" s="345">
        <f t="shared" si="17"/>
        <v>1649180.1512191461</v>
      </c>
      <c r="H52" s="345">
        <f t="shared" si="17"/>
        <v>1765688.1576061265</v>
      </c>
      <c r="I52" s="345">
        <f t="shared" si="17"/>
        <v>1755024.7279070045</v>
      </c>
      <c r="J52" s="345">
        <f t="shared" si="17"/>
        <v>2011966.74</v>
      </c>
      <c r="K52" s="346">
        <f t="shared" ref="K52:AD52" si="18">($AL$52*K51)</f>
        <v>2023873.9992000002</v>
      </c>
      <c r="L52" s="347">
        <f t="shared" si="18"/>
        <v>2065608.0216000003</v>
      </c>
      <c r="M52" s="347">
        <f t="shared" si="18"/>
        <v>2077247.3256000003</v>
      </c>
      <c r="N52" s="347">
        <f t="shared" si="18"/>
        <v>2017953.8640000001</v>
      </c>
      <c r="O52" s="347">
        <f t="shared" si="18"/>
        <v>1751087.2320000001</v>
      </c>
      <c r="P52" s="347">
        <f t="shared" si="18"/>
        <v>1772770.6692000004</v>
      </c>
      <c r="Q52" s="347">
        <f t="shared" si="18"/>
        <v>1751325.8795999999</v>
      </c>
      <c r="R52" s="347">
        <f t="shared" si="18"/>
        <v>1687263.6528</v>
      </c>
      <c r="S52" s="347">
        <f t="shared" si="18"/>
        <v>1477722.6864000002</v>
      </c>
      <c r="T52" s="347">
        <f t="shared" si="18"/>
        <v>1375623.3816000002</v>
      </c>
      <c r="U52" s="347">
        <f t="shared" si="18"/>
        <v>1447690.77</v>
      </c>
      <c r="V52" s="347">
        <f t="shared" si="18"/>
        <v>1464404.4756000002</v>
      </c>
      <c r="W52" s="347">
        <f t="shared" si="18"/>
        <v>1513005.3274964024</v>
      </c>
      <c r="X52" s="365">
        <f t="shared" si="18"/>
        <v>1395929.6829919608</v>
      </c>
      <c r="Y52" s="365">
        <f t="shared" si="18"/>
        <v>1393011.3942488695</v>
      </c>
      <c r="Z52" s="365">
        <f t="shared" si="18"/>
        <v>1286326.4469969319</v>
      </c>
      <c r="AA52" s="365">
        <f t="shared" si="18"/>
        <v>1343659.1683704951</v>
      </c>
      <c r="AB52" s="365">
        <f t="shared" si="18"/>
        <v>1416666.3012242401</v>
      </c>
      <c r="AC52" s="365">
        <f t="shared" si="18"/>
        <v>1142806.4580748959</v>
      </c>
      <c r="AD52" s="365">
        <f t="shared" si="18"/>
        <v>1038451.0332369821</v>
      </c>
      <c r="AE52" s="365">
        <f>($AL$52*AE51)</f>
        <v>1089083.3883323828</v>
      </c>
      <c r="AK52" t="s">
        <v>179</v>
      </c>
      <c r="AL52" s="68">
        <v>41.868000000000002</v>
      </c>
      <c r="AM52" t="s">
        <v>165</v>
      </c>
      <c r="AN52" t="s">
        <v>241</v>
      </c>
    </row>
    <row r="53" spans="1:43">
      <c r="X53" s="342"/>
      <c r="Y53" s="342"/>
      <c r="Z53" s="342"/>
      <c r="AA53" s="342"/>
      <c r="AB53" s="342"/>
      <c r="AC53" s="342"/>
      <c r="AD53" s="342"/>
      <c r="AE53" s="342"/>
      <c r="AN53" t="s">
        <v>166</v>
      </c>
    </row>
    <row r="54" spans="1:43">
      <c r="A54" t="str">
        <f>AK54</f>
        <v>Mcal/kWh elettriche</v>
      </c>
      <c r="C54" s="342"/>
      <c r="D54" s="342">
        <v>2.1349999999999998</v>
      </c>
      <c r="E54" s="348">
        <v>2.14</v>
      </c>
      <c r="F54" s="342">
        <v>2.2120000000000002</v>
      </c>
      <c r="G54" s="342">
        <v>2.1389999999999998</v>
      </c>
      <c r="H54" s="342">
        <v>2.169</v>
      </c>
      <c r="I54" s="342">
        <v>2.1240000000000001</v>
      </c>
      <c r="J54" s="342">
        <v>2.0870000000000002</v>
      </c>
      <c r="K54" s="171">
        <v>2.047641</v>
      </c>
      <c r="L54">
        <v>2.0270000000000001</v>
      </c>
      <c r="M54">
        <v>1.9950000000000001</v>
      </c>
      <c r="N54">
        <v>1.9710000000000001</v>
      </c>
      <c r="O54">
        <v>2.0129999999999999</v>
      </c>
      <c r="P54" s="171">
        <v>1.9969319999999999</v>
      </c>
      <c r="Q54">
        <v>1.9930000000000001</v>
      </c>
      <c r="R54">
        <v>2.028</v>
      </c>
      <c r="S54">
        <v>2.085</v>
      </c>
      <c r="T54">
        <v>2.1309999999999998</v>
      </c>
      <c r="U54" s="171">
        <f t="shared" ref="U54:W55" si="19">U58/4.1868</f>
        <v>2.0598464220884685</v>
      </c>
      <c r="V54" s="171">
        <f t="shared" si="19"/>
        <v>2.0009171682430495</v>
      </c>
      <c r="W54" s="171">
        <f t="shared" si="19"/>
        <v>1.9372516002675073</v>
      </c>
      <c r="X54" s="396">
        <f t="shared" ref="X54:AA55" si="20">X58/4.1868</f>
        <v>1.9531623196713481</v>
      </c>
      <c r="Y54" s="396">
        <f t="shared" si="20"/>
        <v>1.8902505493455621</v>
      </c>
      <c r="Z54" s="396">
        <f t="shared" si="20"/>
        <v>1.882463865218986</v>
      </c>
      <c r="AA54" s="396">
        <f t="shared" si="20"/>
        <v>1.8760784261575809</v>
      </c>
      <c r="AB54" s="396">
        <f t="shared" ref="AB54:AD55" si="21">AB58/4.1868</f>
        <v>1.904650548799935</v>
      </c>
      <c r="AC54" s="396">
        <f t="shared" si="21"/>
        <v>1.8950497432656714</v>
      </c>
      <c r="AD54" s="396">
        <f>AD58/4.1868</f>
        <v>1.7875610704701439</v>
      </c>
      <c r="AE54" s="396">
        <f>AE58/4.1868</f>
        <v>1.7875610704701439</v>
      </c>
      <c r="AK54" t="s">
        <v>184</v>
      </c>
      <c r="AL54" s="177">
        <f>CONVERT(1,"Mcal","MJ")</f>
        <v>4.1867999999999999</v>
      </c>
      <c r="AN54" t="s">
        <v>167</v>
      </c>
    </row>
    <row r="55" spans="1:43">
      <c r="A55" t="str">
        <f>AK55</f>
        <v>Mcal/kWh cogenerative</v>
      </c>
      <c r="C55" s="342"/>
      <c r="D55" s="342">
        <v>1.8129999999999999</v>
      </c>
      <c r="E55" s="342">
        <v>1.7829999999999999</v>
      </c>
      <c r="F55" s="342">
        <v>1.738</v>
      </c>
      <c r="G55" s="342">
        <v>1.798</v>
      </c>
      <c r="H55" s="342">
        <v>1.7569999999999999</v>
      </c>
      <c r="I55" s="342">
        <v>1.7250000000000001</v>
      </c>
      <c r="J55" s="348">
        <f>(I55+K55)/2</f>
        <v>1.7140945000000001</v>
      </c>
      <c r="K55" s="171">
        <v>1.7031890000000001</v>
      </c>
      <c r="L55">
        <v>1.673</v>
      </c>
      <c r="M55">
        <v>1.698</v>
      </c>
      <c r="N55">
        <v>1.667</v>
      </c>
      <c r="O55">
        <v>1.6459999999999999</v>
      </c>
      <c r="P55" s="171">
        <v>1.6666460000000001</v>
      </c>
      <c r="Q55">
        <v>1.643</v>
      </c>
      <c r="R55">
        <v>1.6639999999999999</v>
      </c>
      <c r="S55">
        <v>1.5609999999999999</v>
      </c>
      <c r="T55">
        <v>1.5980000000000001</v>
      </c>
      <c r="U55" s="171">
        <f t="shared" si="19"/>
        <v>1.5529343412630172</v>
      </c>
      <c r="V55" s="171">
        <f t="shared" si="19"/>
        <v>1.5462823636189931</v>
      </c>
      <c r="W55" s="171">
        <f t="shared" si="19"/>
        <v>1.5452749116270184</v>
      </c>
      <c r="X55" s="396">
        <f t="shared" si="20"/>
        <v>1.5542956434508457</v>
      </c>
      <c r="Y55" s="396">
        <f t="shared" si="20"/>
        <v>1.55412677940193</v>
      </c>
      <c r="Z55" s="396">
        <f t="shared" si="20"/>
        <v>1.553062903355533</v>
      </c>
      <c r="AA55" s="396">
        <f t="shared" si="20"/>
        <v>1.5423816682213749</v>
      </c>
      <c r="AB55" s="396">
        <f t="shared" si="21"/>
        <v>1.5277079810635823</v>
      </c>
      <c r="AC55" s="396">
        <f t="shared" si="21"/>
        <v>1.5419406261669841</v>
      </c>
      <c r="AD55" s="396">
        <f t="shared" si="21"/>
        <v>1.5384942429731439</v>
      </c>
      <c r="AE55" s="396">
        <f>AE59/4.1868</f>
        <v>1.5384942429731439</v>
      </c>
      <c r="AK55" t="s">
        <v>185</v>
      </c>
      <c r="AN55" t="s">
        <v>168</v>
      </c>
    </row>
    <row r="56" spans="1:43">
      <c r="A56" s="349" t="s">
        <v>184</v>
      </c>
      <c r="B56" s="349"/>
      <c r="C56" s="350"/>
      <c r="D56" s="350">
        <v>2.1882350100241386</v>
      </c>
      <c r="E56" s="350">
        <v>2.2102343927668331</v>
      </c>
      <c r="F56" s="350">
        <v>2.2444395412249323</v>
      </c>
      <c r="G56" s="350">
        <v>2.2463698516537516</v>
      </c>
      <c r="H56" s="350">
        <v>2.2106915178664588</v>
      </c>
      <c r="I56" s="350">
        <v>2.1187817811471814</v>
      </c>
      <c r="J56" s="350">
        <v>2.1779198907841151</v>
      </c>
      <c r="K56" s="579">
        <v>2.0476884553204062</v>
      </c>
      <c r="L56" s="579">
        <v>2.1771080709102621</v>
      </c>
      <c r="M56" s="579">
        <v>1.9949454216898246</v>
      </c>
      <c r="N56" s="579">
        <v>1.9708102576950184</v>
      </c>
      <c r="O56" s="579">
        <v>2.0133480368859527</v>
      </c>
      <c r="P56" s="579">
        <v>1.9968502947697639</v>
      </c>
      <c r="Q56" s="579">
        <v>1.993342255540556</v>
      </c>
      <c r="R56" s="579">
        <v>2.0281146231828413</v>
      </c>
      <c r="S56" s="579">
        <v>2.0849733994914508</v>
      </c>
      <c r="T56" s="579">
        <v>2.1305055258303138</v>
      </c>
      <c r="U56" s="396"/>
      <c r="V56" s="396"/>
      <c r="W56" s="396"/>
      <c r="X56" s="396"/>
      <c r="Y56" s="396"/>
      <c r="Z56" s="396"/>
      <c r="AA56" s="396"/>
      <c r="AB56" s="396"/>
      <c r="AC56" s="396"/>
      <c r="AD56" s="396"/>
      <c r="AE56" s="396"/>
    </row>
    <row r="57" spans="1:43">
      <c r="A57" s="349" t="s">
        <v>185</v>
      </c>
      <c r="B57" s="349"/>
      <c r="C57" s="350"/>
      <c r="D57" s="350">
        <v>0.76970909133773335</v>
      </c>
      <c r="E57" s="350">
        <v>0.78689246650565448</v>
      </c>
      <c r="F57" s="350">
        <v>0.78315642142762165</v>
      </c>
      <c r="G57" s="350">
        <v>0.76093277922323055</v>
      </c>
      <c r="H57" s="350">
        <v>0.93778767571859556</v>
      </c>
      <c r="I57" s="350">
        <v>0.82035494959729838</v>
      </c>
      <c r="J57" s="350">
        <v>1.5352598426314095</v>
      </c>
      <c r="K57" s="579">
        <v>1.7031138818292919</v>
      </c>
      <c r="L57" s="579">
        <v>1.4376646071901644</v>
      </c>
      <c r="M57" s="579">
        <v>1.6976102795161778</v>
      </c>
      <c r="N57" s="579">
        <v>1.6672331703389001</v>
      </c>
      <c r="O57" s="579">
        <v>1.6465201067263249</v>
      </c>
      <c r="P57" s="579">
        <v>1.6667248696672523</v>
      </c>
      <c r="Q57" s="579">
        <v>1.6425841945536015</v>
      </c>
      <c r="R57" s="579">
        <v>1.6639543323539452</v>
      </c>
      <c r="S57" s="579">
        <v>1.560721735657705</v>
      </c>
      <c r="T57" s="579">
        <v>1.5977630145152415</v>
      </c>
      <c r="U57" s="396"/>
      <c r="V57" s="396"/>
      <c r="W57" s="396"/>
      <c r="X57" s="348"/>
      <c r="Y57" s="348"/>
      <c r="Z57" s="348"/>
      <c r="AA57" s="348"/>
      <c r="AB57" s="348"/>
      <c r="AC57" s="348"/>
      <c r="AD57" s="348"/>
      <c r="AE57" s="348"/>
    </row>
    <row r="58" spans="1:43">
      <c r="A58" t="str">
        <f>AK58</f>
        <v>MJ/kWh elettriche</v>
      </c>
      <c r="C58" s="348"/>
      <c r="D58" s="348">
        <f t="shared" ref="D58:T58" si="22">D56*($AL$52/10)</f>
        <v>9.1617023399690627</v>
      </c>
      <c r="E58" s="348">
        <f t="shared" si="22"/>
        <v>9.2538093556361769</v>
      </c>
      <c r="F58" s="348">
        <f t="shared" si="22"/>
        <v>9.3970194712005455</v>
      </c>
      <c r="G58" s="348">
        <f t="shared" si="22"/>
        <v>9.4051012949039272</v>
      </c>
      <c r="H58" s="348">
        <f t="shared" si="22"/>
        <v>9.2557232470032886</v>
      </c>
      <c r="I58" s="348">
        <f t="shared" si="22"/>
        <v>8.8709155613070187</v>
      </c>
      <c r="J58" s="348">
        <f t="shared" si="22"/>
        <v>9.1185149987349323</v>
      </c>
      <c r="K58" s="351">
        <f t="shared" si="22"/>
        <v>8.5732620247354756</v>
      </c>
      <c r="L58" s="351">
        <f t="shared" si="22"/>
        <v>9.1151160712870851</v>
      </c>
      <c r="M58" s="351">
        <f t="shared" si="22"/>
        <v>8.3524374915309565</v>
      </c>
      <c r="N58" s="351">
        <f t="shared" si="22"/>
        <v>8.2513883869175029</v>
      </c>
      <c r="O58" s="351">
        <f t="shared" si="22"/>
        <v>8.4294855608341059</v>
      </c>
      <c r="P58" s="351">
        <f t="shared" si="22"/>
        <v>8.3604128141420482</v>
      </c>
      <c r="Q58" s="351">
        <f t="shared" si="22"/>
        <v>8.3457253554971995</v>
      </c>
      <c r="R58" s="351">
        <f t="shared" si="22"/>
        <v>8.4913103043419191</v>
      </c>
      <c r="S58" s="351">
        <f t="shared" si="22"/>
        <v>8.729366628990805</v>
      </c>
      <c r="T58" s="351">
        <f t="shared" si="22"/>
        <v>8.9200005355463574</v>
      </c>
      <c r="U58" s="351">
        <v>8.6241649999999996</v>
      </c>
      <c r="V58" s="351">
        <v>8.37744</v>
      </c>
      <c r="W58" s="351">
        <v>8.1108849999999997</v>
      </c>
      <c r="X58" s="351">
        <v>8.1775000000000002</v>
      </c>
      <c r="Y58" s="351">
        <v>7.9141009999999996</v>
      </c>
      <c r="Z58" s="351">
        <v>7.8814997108988507</v>
      </c>
      <c r="AA58" s="351">
        <v>7.8547651546365591</v>
      </c>
      <c r="AB58" s="351">
        <v>7.9743909177155672</v>
      </c>
      <c r="AC58" s="351">
        <v>7.934194265104713</v>
      </c>
      <c r="AD58" s="351">
        <v>7.4841606898443978</v>
      </c>
      <c r="AE58" s="396">
        <v>7.4841606898443978</v>
      </c>
      <c r="AK58" t="s">
        <v>182</v>
      </c>
      <c r="AN58" t="s">
        <v>169</v>
      </c>
    </row>
    <row r="59" spans="1:43">
      <c r="A59" t="str">
        <f>AK59</f>
        <v>MJ/kWh cogenerative</v>
      </c>
      <c r="C59" s="348"/>
      <c r="D59" s="348">
        <f t="shared" ref="D59:J59" si="23">D57*($AL$52/10)</f>
        <v>3.2226180236128217</v>
      </c>
      <c r="E59" s="348">
        <f t="shared" si="23"/>
        <v>3.2945613787658741</v>
      </c>
      <c r="F59" s="348">
        <f t="shared" si="23"/>
        <v>3.2789193052331664</v>
      </c>
      <c r="G59" s="348">
        <f t="shared" si="23"/>
        <v>3.1858733600518216</v>
      </c>
      <c r="H59" s="348">
        <f t="shared" si="23"/>
        <v>3.9263294406986158</v>
      </c>
      <c r="I59" s="348">
        <f t="shared" si="23"/>
        <v>3.4346621029739688</v>
      </c>
      <c r="J59" s="348">
        <f t="shared" si="23"/>
        <v>6.4278259091291847</v>
      </c>
      <c r="K59" s="352">
        <f t="shared" ref="K59:T59" si="24">K55*($AL$52/10)</f>
        <v>7.1309117052</v>
      </c>
      <c r="L59" s="352">
        <f t="shared" si="24"/>
        <v>7.0045164</v>
      </c>
      <c r="M59" s="352">
        <f t="shared" si="24"/>
        <v>7.1091863999999996</v>
      </c>
      <c r="N59" s="352">
        <f t="shared" si="24"/>
        <v>6.9793956000000001</v>
      </c>
      <c r="O59" s="352">
        <f t="shared" si="24"/>
        <v>6.891472799999999</v>
      </c>
      <c r="P59" s="352">
        <f t="shared" si="24"/>
        <v>6.9779134728000001</v>
      </c>
      <c r="Q59" s="352">
        <f t="shared" si="24"/>
        <v>6.8789123999999999</v>
      </c>
      <c r="R59" s="352">
        <f t="shared" si="24"/>
        <v>6.9668351999999993</v>
      </c>
      <c r="S59" s="352">
        <f t="shared" si="24"/>
        <v>6.5355947999999993</v>
      </c>
      <c r="T59" s="352">
        <f t="shared" si="24"/>
        <v>6.6905064000000003</v>
      </c>
      <c r="U59" s="352">
        <v>6.5018254999999998</v>
      </c>
      <c r="V59" s="352">
        <v>6.4739750000000003</v>
      </c>
      <c r="W59" s="352">
        <v>6.4697570000000004</v>
      </c>
      <c r="X59" s="351">
        <v>6.5075250000000002</v>
      </c>
      <c r="Y59" s="351">
        <v>6.506818</v>
      </c>
      <c r="Z59" s="351">
        <v>6.5023637637689449</v>
      </c>
      <c r="AA59" s="351">
        <v>6.4576435685092521</v>
      </c>
      <c r="AB59" s="351">
        <v>6.3962077751170066</v>
      </c>
      <c r="AC59" s="351">
        <v>6.4557970136359293</v>
      </c>
      <c r="AD59" s="351">
        <v>6.4413676964799587</v>
      </c>
      <c r="AE59" s="396">
        <v>6.4413676964799587</v>
      </c>
      <c r="AK59" t="s">
        <v>183</v>
      </c>
    </row>
    <row r="60" spans="1:43">
      <c r="C60" s="345"/>
      <c r="D60" s="345">
        <f>(D52)/D58</f>
        <v>176842.07509048839</v>
      </c>
      <c r="E60" s="345">
        <f t="shared" ref="E60:J60" si="25">(E52)/E58</f>
        <v>174488.46832391727</v>
      </c>
      <c r="F60" s="345">
        <f t="shared" si="25"/>
        <v>180540.15258383541</v>
      </c>
      <c r="G60" s="345">
        <f t="shared" si="25"/>
        <v>175349.53633223919</v>
      </c>
      <c r="H60" s="345">
        <f t="shared" si="25"/>
        <v>190767.17296812008</v>
      </c>
      <c r="I60" s="345">
        <f t="shared" si="25"/>
        <v>197840.31487821124</v>
      </c>
      <c r="J60" s="345">
        <f t="shared" si="25"/>
        <v>220646.31579584314</v>
      </c>
      <c r="K60" s="347">
        <f t="shared" ref="K60:T60" si="26">(K52)/K58</f>
        <v>236068.13758412405</v>
      </c>
      <c r="L60" s="347">
        <f t="shared" si="26"/>
        <v>226613.46333336702</v>
      </c>
      <c r="M60" s="347">
        <f t="shared" si="26"/>
        <v>248699.53563929661</v>
      </c>
      <c r="N60" s="347">
        <f t="shared" si="26"/>
        <v>244559.3116425651</v>
      </c>
      <c r="O60" s="347">
        <f t="shared" si="26"/>
        <v>207733.58224089872</v>
      </c>
      <c r="P60" s="347">
        <f t="shared" si="26"/>
        <v>212043.43716153249</v>
      </c>
      <c r="Q60" s="347">
        <f t="shared" si="26"/>
        <v>209847.0540306516</v>
      </c>
      <c r="R60" s="347">
        <f t="shared" si="26"/>
        <v>198704.74547812017</v>
      </c>
      <c r="S60" s="347">
        <f t="shared" si="26"/>
        <v>169281.77601023027</v>
      </c>
      <c r="T60" s="347">
        <f t="shared" si="26"/>
        <v>154217.85863331702</v>
      </c>
      <c r="U60" s="347">
        <f t="shared" ref="U60:Z60" si="27">(U52)/U58</f>
        <v>167864.45644302957</v>
      </c>
      <c r="V60" s="347">
        <f t="shared" si="27"/>
        <v>174803.33796481983</v>
      </c>
      <c r="W60" s="347">
        <f t="shared" si="27"/>
        <v>186540.10351477089</v>
      </c>
      <c r="X60" s="365">
        <f t="shared" si="27"/>
        <v>170703.72155205879</v>
      </c>
      <c r="Y60" s="365">
        <f t="shared" si="27"/>
        <v>176016.37813933252</v>
      </c>
      <c r="Z60" s="365">
        <f t="shared" si="27"/>
        <v>163208.33523829846</v>
      </c>
      <c r="AA60" s="365">
        <f>(AA52)/AA58</f>
        <v>171062.93338093651</v>
      </c>
      <c r="AB60" s="365">
        <f>(AB52)/AB58</f>
        <v>177651.97566086642</v>
      </c>
      <c r="AC60" s="365">
        <f>(AC52)/AC58</f>
        <v>144035.60335055817</v>
      </c>
      <c r="AD60" s="365">
        <f>(AD52)/AD58</f>
        <v>138753.17170115068</v>
      </c>
      <c r="AE60" s="365">
        <f>(AE52)/AE58</f>
        <v>145518.44000493072</v>
      </c>
    </row>
    <row r="61" spans="1:43">
      <c r="C61" s="353"/>
      <c r="D61" s="353">
        <f t="shared" ref="D61:J61" si="28">(1/D58 - 1 / D59)</f>
        <v>-0.20115669039392442</v>
      </c>
      <c r="E61" s="353">
        <f t="shared" si="28"/>
        <v>-0.19546693659876013</v>
      </c>
      <c r="F61" s="353">
        <f t="shared" si="28"/>
        <v>-0.19856181206702506</v>
      </c>
      <c r="G61" s="353">
        <f t="shared" si="28"/>
        <v>-0.20756039487651856</v>
      </c>
      <c r="H61" s="353">
        <f t="shared" si="28"/>
        <v>-0.14664954368179034</v>
      </c>
      <c r="I61" s="353">
        <f t="shared" si="28"/>
        <v>-0.17842151936431894</v>
      </c>
      <c r="J61" s="353">
        <f t="shared" si="28"/>
        <v>-4.5906617596464971E-2</v>
      </c>
      <c r="K61" s="134">
        <f t="shared" ref="K61:T61" si="29">(1/K58 - 1 / K59)</f>
        <v>-2.3592806118036547E-2</v>
      </c>
      <c r="L61" s="134">
        <f t="shared" si="29"/>
        <v>-3.3057157456497344E-2</v>
      </c>
      <c r="M61" s="134">
        <f t="shared" si="29"/>
        <v>-2.0937542873134055E-2</v>
      </c>
      <c r="N61" s="134">
        <f t="shared" si="29"/>
        <v>-2.2087156261488175E-2</v>
      </c>
      <c r="O61" s="134">
        <f t="shared" si="29"/>
        <v>-2.647566159156256E-2</v>
      </c>
      <c r="P61" s="134">
        <f t="shared" si="29"/>
        <v>-2.369799650050021E-2</v>
      </c>
      <c r="Q61" s="134">
        <f t="shared" si="29"/>
        <v>-2.5549997946766947E-2</v>
      </c>
      <c r="R61" s="134">
        <f t="shared" si="29"/>
        <v>-2.576974298211826E-2</v>
      </c>
      <c r="S61" s="134">
        <f t="shared" si="29"/>
        <v>-3.8452413393369342E-2</v>
      </c>
      <c r="T61" s="134">
        <f t="shared" si="29"/>
        <v>-3.7357900701220359E-2</v>
      </c>
      <c r="U61" s="134">
        <f t="shared" ref="U61:Z61" si="30">(1/U58 - 1 / U59)</f>
        <v>-3.7849704271764609E-2</v>
      </c>
      <c r="V61" s="134">
        <f t="shared" si="30"/>
        <v>-3.509639841729105E-2</v>
      </c>
      <c r="W61" s="134">
        <f t="shared" si="30"/>
        <v>-3.1274202383673441E-2</v>
      </c>
      <c r="X61" s="397">
        <f t="shared" si="30"/>
        <v>-3.1381490833417972E-2</v>
      </c>
      <c r="Y61" s="397">
        <f t="shared" si="30"/>
        <v>-2.7328210457446239E-2</v>
      </c>
      <c r="Z61" s="397">
        <f t="shared" si="30"/>
        <v>-2.6910821329501983E-2</v>
      </c>
      <c r="AA61" s="397">
        <f>(1/AA58 - 1 / AA59)</f>
        <v>-2.7543994791405735E-2</v>
      </c>
      <c r="AB61" s="397">
        <f>(1/AB58 - 1 / AB59)</f>
        <v>-3.0941211574265076E-2</v>
      </c>
      <c r="AC61" s="397">
        <f>(1/AC58 - 1 / AC59)</f>
        <v>-2.8862799339720552E-2</v>
      </c>
      <c r="AD61" s="397">
        <f>(1/AD58 - 1 / AD59)</f>
        <v>-2.1631015572140561E-2</v>
      </c>
      <c r="AE61" s="397">
        <f>(1/AE58 - 1 / AE59)</f>
        <v>-2.1631015572140561E-2</v>
      </c>
      <c r="AN61" s="354" t="s">
        <v>170</v>
      </c>
    </row>
    <row r="62" spans="1:43">
      <c r="A62" t="s">
        <v>529</v>
      </c>
      <c r="B62" s="355"/>
      <c r="C62" s="345"/>
      <c r="D62" s="345">
        <v>207974</v>
      </c>
      <c r="E62" s="345">
        <v>209067</v>
      </c>
      <c r="F62" s="345">
        <v>220455.8</v>
      </c>
      <c r="G62" s="345">
        <v>219380.3</v>
      </c>
      <c r="H62" s="345">
        <v>231926.8</v>
      </c>
      <c r="I62" s="345">
        <v>242785.4</v>
      </c>
      <c r="J62" s="345">
        <v>246127.2</v>
      </c>
      <c r="K62" s="347">
        <v>253072.25000000003</v>
      </c>
      <c r="L62" s="347">
        <v>262164.40000000002</v>
      </c>
      <c r="M62" s="347">
        <v>265764.28000000003</v>
      </c>
      <c r="N62" s="347">
        <v>261328.00000000003</v>
      </c>
      <c r="O62" s="347">
        <v>226638.83000000002</v>
      </c>
      <c r="P62" s="674">
        <v>231247.86</v>
      </c>
      <c r="Q62" s="347">
        <v>228517.19999999998</v>
      </c>
      <c r="R62" s="347">
        <v>217561.75</v>
      </c>
      <c r="S62" s="674">
        <v>192987.7</v>
      </c>
      <c r="T62" s="347">
        <v>176170.55000000002</v>
      </c>
      <c r="U62" s="674">
        <v>192053.5</v>
      </c>
      <c r="V62" s="347">
        <v>199429.6</v>
      </c>
      <c r="W62" s="347">
        <v>209484.49317200002</v>
      </c>
      <c r="X62" s="675">
        <v>192730.01972702003</v>
      </c>
      <c r="Y62" s="365">
        <v>195733.88719754</v>
      </c>
      <c r="Z62" s="675">
        <v>181306.58567227997</v>
      </c>
      <c r="AA62" s="365">
        <v>189711.10605539999</v>
      </c>
      <c r="AB62" s="675">
        <v>199209.73216483003</v>
      </c>
      <c r="AC62" s="675">
        <v>162587.72462643901</v>
      </c>
      <c r="AD62" s="675">
        <v>152080.22410961188</v>
      </c>
      <c r="AE62" s="675">
        <v>159948.93692009454</v>
      </c>
      <c r="AF62" s="672">
        <v>129170.2179462043</v>
      </c>
      <c r="AH62" s="672">
        <v>120092.10280214529</v>
      </c>
      <c r="AJ62" s="672">
        <v>102311.84490724948</v>
      </c>
      <c r="AK62" s="672">
        <v>97873.797733448562</v>
      </c>
      <c r="AL62" s="672">
        <v>79948.201832712701</v>
      </c>
      <c r="AM62" s="672">
        <v>74796.133287654666</v>
      </c>
      <c r="AN62" s="672">
        <v>60564.266102754613</v>
      </c>
      <c r="AO62" s="672">
        <v>56294.89768645673</v>
      </c>
      <c r="AP62" s="672">
        <v>137090.4698548434</v>
      </c>
      <c r="AQ62" s="672">
        <v>180210.03233267853</v>
      </c>
    </row>
    <row r="63" spans="1:43">
      <c r="A63" t="str">
        <f>AK63</f>
        <v>TJ input cogen</v>
      </c>
      <c r="B63" s="355"/>
      <c r="C63" s="345"/>
      <c r="D63" s="345">
        <f t="shared" ref="D63:K63" si="31">-(D62-D60)/D61</f>
        <v>154764.55119909794</v>
      </c>
      <c r="E63" s="345">
        <f t="shared" si="31"/>
        <v>176902.20288796435</v>
      </c>
      <c r="F63" s="345">
        <f t="shared" si="31"/>
        <v>201023.78700437598</v>
      </c>
      <c r="G63" s="345">
        <f t="shared" si="31"/>
        <v>212134.70755803626</v>
      </c>
      <c r="H63" s="345">
        <f t="shared" si="31"/>
        <v>280666.58782921772</v>
      </c>
      <c r="I63" s="345">
        <f t="shared" si="31"/>
        <v>251903.94792017984</v>
      </c>
      <c r="J63" s="345">
        <f t="shared" si="31"/>
        <v>555059.0642103639</v>
      </c>
      <c r="K63" s="347">
        <f t="shared" si="31"/>
        <v>720732.93574334274</v>
      </c>
      <c r="L63" s="347">
        <f t="shared" ref="L63:T63" si="32">-(L62-L60)/L61</f>
        <v>1075438.4043279411</v>
      </c>
      <c r="M63" s="347">
        <f t="shared" si="32"/>
        <v>815030.89756534889</v>
      </c>
      <c r="N63" s="347">
        <f t="shared" si="32"/>
        <v>759205.40240272216</v>
      </c>
      <c r="O63" s="347">
        <f t="shared" si="32"/>
        <v>714061.39158109471</v>
      </c>
      <c r="P63" s="347">
        <f t="shared" si="32"/>
        <v>810381.70623673324</v>
      </c>
      <c r="Q63" s="347">
        <f t="shared" si="32"/>
        <v>730729.8422585926</v>
      </c>
      <c r="R63" s="347">
        <f t="shared" si="32"/>
        <v>731749.80964943243</v>
      </c>
      <c r="S63" s="347">
        <f t="shared" si="32"/>
        <v>616500.28952038533</v>
      </c>
      <c r="T63" s="347">
        <f t="shared" si="32"/>
        <v>587631.8249854407</v>
      </c>
      <c r="U63" s="347">
        <f t="shared" ref="U63:Z63" si="33">-(U62-U60)/U61</f>
        <v>639081.44125224091</v>
      </c>
      <c r="V63" s="347">
        <f t="shared" si="33"/>
        <v>701674.90528166213</v>
      </c>
      <c r="W63" s="347">
        <f t="shared" si="33"/>
        <v>733652.27275011642</v>
      </c>
      <c r="X63" s="365">
        <f t="shared" si="33"/>
        <v>701888.20193034166</v>
      </c>
      <c r="Y63" s="365">
        <f t="shared" si="33"/>
        <v>721507.5092059297</v>
      </c>
      <c r="Z63" s="365">
        <f t="shared" si="33"/>
        <v>672526.86985590553</v>
      </c>
      <c r="AA63" s="365">
        <f>-(AA62-AA60)/AA61</f>
        <v>677032.24661812943</v>
      </c>
      <c r="AB63" s="365">
        <f>-(AB62-AB60)/AB61</f>
        <v>696732.7847592748</v>
      </c>
      <c r="AC63" s="365">
        <f>-(AC62-AC60)/AC61</f>
        <v>642769.29820697219</v>
      </c>
      <c r="AD63" s="365">
        <f>-(AD62-AD60)/AD61</f>
        <v>616108.49310402398</v>
      </c>
      <c r="AE63" s="365">
        <f>-(AE62-AE60)/AE61</f>
        <v>667120.63828151592</v>
      </c>
      <c r="AK63" t="s">
        <v>232</v>
      </c>
      <c r="AL63" s="107">
        <f>U63/6.502</f>
        <v>98289.978660756839</v>
      </c>
      <c r="AM63" t="s">
        <v>175</v>
      </c>
      <c r="AN63" t="s">
        <v>171</v>
      </c>
    </row>
    <row r="64" spans="1:43">
      <c r="A64" t="str">
        <f>AK64</f>
        <v>TJ input non cog</v>
      </c>
      <c r="B64" s="356"/>
      <c r="C64" s="356"/>
      <c r="D64" s="356">
        <f t="shared" ref="D64:I64" si="34">D52-D63</f>
        <v>1465409.9019624144</v>
      </c>
      <c r="E64" s="356">
        <f t="shared" si="34"/>
        <v>1437780.8177385279</v>
      </c>
      <c r="F64" s="356">
        <f t="shared" si="34"/>
        <v>1495515.5421594428</v>
      </c>
      <c r="G64" s="356">
        <f t="shared" si="34"/>
        <v>1437045.4436611098</v>
      </c>
      <c r="H64" s="356">
        <f t="shared" si="34"/>
        <v>1485021.5697769087</v>
      </c>
      <c r="I64" s="356">
        <f t="shared" si="34"/>
        <v>1503120.7799868246</v>
      </c>
      <c r="J64" s="356">
        <f t="shared" ref="J64:T64" si="35">J52-J63</f>
        <v>1456907.6757896361</v>
      </c>
      <c r="K64" s="119">
        <f t="shared" si="35"/>
        <v>1303141.0634566573</v>
      </c>
      <c r="L64" s="119">
        <f t="shared" si="35"/>
        <v>990169.6172720592</v>
      </c>
      <c r="M64" s="119">
        <f t="shared" si="35"/>
        <v>1262216.4280346516</v>
      </c>
      <c r="N64" s="119">
        <f t="shared" si="35"/>
        <v>1258748.4615972778</v>
      </c>
      <c r="O64" s="119">
        <f t="shared" si="35"/>
        <v>1037025.8404189054</v>
      </c>
      <c r="P64" s="119">
        <f t="shared" si="35"/>
        <v>962388.96296326711</v>
      </c>
      <c r="Q64" s="119">
        <f t="shared" si="35"/>
        <v>1020596.0373414073</v>
      </c>
      <c r="R64" s="119">
        <f t="shared" si="35"/>
        <v>955513.84315056761</v>
      </c>
      <c r="S64" s="119">
        <f t="shared" si="35"/>
        <v>861222.39687961491</v>
      </c>
      <c r="T64" s="119">
        <f t="shared" si="35"/>
        <v>787991.55661455949</v>
      </c>
      <c r="U64" s="119">
        <f t="shared" ref="U64:Z64" si="36">U52-U63</f>
        <v>808609.32874775911</v>
      </c>
      <c r="V64" s="119">
        <f t="shared" si="36"/>
        <v>762729.57031833811</v>
      </c>
      <c r="W64" s="119">
        <f t="shared" si="36"/>
        <v>779353.05474628601</v>
      </c>
      <c r="X64" s="398">
        <f t="shared" si="36"/>
        <v>694041.48106161912</v>
      </c>
      <c r="Y64" s="398">
        <f t="shared" si="36"/>
        <v>671503.8850429398</v>
      </c>
      <c r="Z64" s="398">
        <f t="shared" si="36"/>
        <v>613799.57714102638</v>
      </c>
      <c r="AA64" s="398">
        <f>AA52-AA63</f>
        <v>666626.92175236566</v>
      </c>
      <c r="AB64" s="398">
        <f>AB52-AB63</f>
        <v>719933.5164649653</v>
      </c>
      <c r="AC64" s="398">
        <f>AC52-AC63</f>
        <v>500037.15986792371</v>
      </c>
      <c r="AD64" s="398">
        <f>AD52-AD63</f>
        <v>422342.54013295809</v>
      </c>
      <c r="AE64" s="398">
        <f>AE52-AE63</f>
        <v>421962.75005086686</v>
      </c>
      <c r="AK64" t="s">
        <v>231</v>
      </c>
      <c r="AL64" s="107">
        <f>U64/8.624</f>
        <v>93762.677266669649</v>
      </c>
      <c r="AM64" t="s">
        <v>175</v>
      </c>
      <c r="AN64" t="s">
        <v>174</v>
      </c>
    </row>
    <row r="65" spans="1:41">
      <c r="B65" s="357"/>
      <c r="C65" s="357"/>
      <c r="D65" s="357">
        <f t="shared" ref="D65:I65" si="37">SUM(D63:D64)</f>
        <v>1620174.4531615123</v>
      </c>
      <c r="E65" s="357">
        <f t="shared" si="37"/>
        <v>1614683.0206264923</v>
      </c>
      <c r="F65" s="357">
        <f t="shared" si="37"/>
        <v>1696539.3291638189</v>
      </c>
      <c r="G65" s="357">
        <f t="shared" si="37"/>
        <v>1649180.1512191461</v>
      </c>
      <c r="H65" s="357">
        <f t="shared" si="37"/>
        <v>1765688.1576061265</v>
      </c>
      <c r="I65" s="357">
        <f t="shared" si="37"/>
        <v>1755024.7279070045</v>
      </c>
      <c r="J65" s="357">
        <f t="shared" ref="J65:T65" si="38">SUM(J63:J64)</f>
        <v>2011966.74</v>
      </c>
      <c r="K65" s="358">
        <f>SUM(K63:K64)</f>
        <v>2023873.9992</v>
      </c>
      <c r="L65" s="358">
        <f t="shared" si="38"/>
        <v>2065608.0216000003</v>
      </c>
      <c r="M65" s="358">
        <f t="shared" si="38"/>
        <v>2077247.3256000006</v>
      </c>
      <c r="N65" s="358">
        <f t="shared" si="38"/>
        <v>2017953.8640000001</v>
      </c>
      <c r="O65" s="358">
        <f t="shared" si="38"/>
        <v>1751087.2320000001</v>
      </c>
      <c r="P65" s="358">
        <f t="shared" si="38"/>
        <v>1772770.6692000004</v>
      </c>
      <c r="Q65" s="358">
        <f t="shared" si="38"/>
        <v>1751325.8795999999</v>
      </c>
      <c r="R65" s="358">
        <f t="shared" si="38"/>
        <v>1687263.6528</v>
      </c>
      <c r="S65" s="358">
        <f t="shared" si="38"/>
        <v>1477722.6864000002</v>
      </c>
      <c r="T65" s="358">
        <f t="shared" si="38"/>
        <v>1375623.3816000002</v>
      </c>
      <c r="U65" s="358">
        <f t="shared" ref="U65:Z65" si="39">SUM(U63:U64)</f>
        <v>1447690.77</v>
      </c>
      <c r="V65" s="358">
        <f t="shared" si="39"/>
        <v>1464404.4756000002</v>
      </c>
      <c r="W65" s="358">
        <f t="shared" si="39"/>
        <v>1513005.3274964024</v>
      </c>
      <c r="X65" s="399">
        <f t="shared" si="39"/>
        <v>1395929.6829919608</v>
      </c>
      <c r="Y65" s="399">
        <f t="shared" si="39"/>
        <v>1393011.3942488695</v>
      </c>
      <c r="Z65" s="399">
        <f t="shared" si="39"/>
        <v>1286326.4469969319</v>
      </c>
      <c r="AA65" s="399">
        <f>SUM(AA63:AA64)</f>
        <v>1343659.1683704951</v>
      </c>
      <c r="AB65" s="399">
        <f>SUM(AB63:AB64)</f>
        <v>1416666.3012242401</v>
      </c>
      <c r="AC65" s="399">
        <f>SUM(AC63:AC64)</f>
        <v>1142806.4580748959</v>
      </c>
      <c r="AD65" s="399">
        <f>SUM(AD63:AD64)</f>
        <v>1038451.0332369821</v>
      </c>
      <c r="AE65" s="399">
        <f>SUM(AE63:AE64)</f>
        <v>1089083.3883323828</v>
      </c>
    </row>
    <row r="66" spans="1:41">
      <c r="A66" t="str">
        <f>AK66</f>
        <v>ktep cogen</v>
      </c>
      <c r="B66" s="359"/>
      <c r="C66" s="359"/>
      <c r="D66" s="359">
        <f t="shared" ref="D66:AD66" si="40">D63/$AL$52</f>
        <v>3696.487799730055</v>
      </c>
      <c r="E66" s="359">
        <f t="shared" si="40"/>
        <v>4225.2365264155042</v>
      </c>
      <c r="F66" s="359">
        <f t="shared" si="40"/>
        <v>4801.3706650514941</v>
      </c>
      <c r="G66" s="359">
        <f t="shared" si="40"/>
        <v>5066.7504432510805</v>
      </c>
      <c r="H66" s="359">
        <f t="shared" si="40"/>
        <v>6703.6062823449347</v>
      </c>
      <c r="I66" s="359">
        <f t="shared" si="40"/>
        <v>6016.6224305001388</v>
      </c>
      <c r="J66" s="359">
        <f t="shared" si="40"/>
        <v>13257.35798725432</v>
      </c>
      <c r="K66" s="119">
        <f t="shared" si="40"/>
        <v>17214.410426658611</v>
      </c>
      <c r="L66" s="169">
        <f t="shared" si="40"/>
        <v>25686.404994935059</v>
      </c>
      <c r="M66" s="169">
        <f t="shared" si="40"/>
        <v>19466.678550810855</v>
      </c>
      <c r="N66" s="169">
        <f t="shared" si="40"/>
        <v>18133.309506131704</v>
      </c>
      <c r="O66" s="169">
        <f t="shared" si="40"/>
        <v>17055.063331926405</v>
      </c>
      <c r="P66" s="169">
        <f t="shared" si="40"/>
        <v>19355.634523663255</v>
      </c>
      <c r="Q66" s="169">
        <f t="shared" si="40"/>
        <v>17453.182436672221</v>
      </c>
      <c r="R66" s="169">
        <f t="shared" si="40"/>
        <v>17477.543939271814</v>
      </c>
      <c r="S66" s="169">
        <f t="shared" si="40"/>
        <v>14724.856442160726</v>
      </c>
      <c r="T66" s="169">
        <f t="shared" si="40"/>
        <v>14035.345012549935</v>
      </c>
      <c r="U66" s="169">
        <f t="shared" si="40"/>
        <v>15264.197985388384</v>
      </c>
      <c r="V66" s="169">
        <f t="shared" si="40"/>
        <v>16759.217189301187</v>
      </c>
      <c r="W66" s="169">
        <f t="shared" si="40"/>
        <v>17522.983489780174</v>
      </c>
      <c r="X66" s="400">
        <f t="shared" si="40"/>
        <v>16764.311692231338</v>
      </c>
      <c r="Y66" s="400">
        <f t="shared" si="40"/>
        <v>17232.910795976157</v>
      </c>
      <c r="Z66" s="400">
        <f t="shared" si="40"/>
        <v>16063.028323681701</v>
      </c>
      <c r="AA66" s="400">
        <f t="shared" si="40"/>
        <v>16170.637398923507</v>
      </c>
      <c r="AB66" s="400">
        <f t="shared" si="40"/>
        <v>16641.176668560111</v>
      </c>
      <c r="AC66" s="400">
        <f t="shared" si="40"/>
        <v>15352.280935487059</v>
      </c>
      <c r="AD66" s="400">
        <f t="shared" si="40"/>
        <v>14715.498545524601</v>
      </c>
      <c r="AE66" s="400">
        <f>AE63/$AL$52</f>
        <v>15933.902700905604</v>
      </c>
      <c r="AK66" t="s">
        <v>233</v>
      </c>
      <c r="AN66" t="s">
        <v>180</v>
      </c>
    </row>
    <row r="67" spans="1:41">
      <c r="A67" t="str">
        <f>AK67</f>
        <v>ktep non cogen</v>
      </c>
      <c r="B67" s="359"/>
      <c r="C67" s="359"/>
      <c r="D67" s="359">
        <f t="shared" ref="D67:AD67" si="41">D64/$AL$52</f>
        <v>35000.714196102374</v>
      </c>
      <c r="E67" s="359">
        <f t="shared" si="41"/>
        <v>34340.804856657298</v>
      </c>
      <c r="F67" s="359">
        <f t="shared" si="41"/>
        <v>35719.77505874278</v>
      </c>
      <c r="G67" s="359">
        <f t="shared" si="41"/>
        <v>34323.240748569544</v>
      </c>
      <c r="H67" s="359">
        <f t="shared" si="41"/>
        <v>35469.130834453725</v>
      </c>
      <c r="I67" s="359">
        <f t="shared" si="41"/>
        <v>35901.423043537419</v>
      </c>
      <c r="J67" s="359">
        <f t="shared" si="41"/>
        <v>34797.64201274568</v>
      </c>
      <c r="K67" s="169">
        <f t="shared" si="41"/>
        <v>31124.98957334139</v>
      </c>
      <c r="L67" s="169">
        <f t="shared" si="41"/>
        <v>23649.795005064945</v>
      </c>
      <c r="M67" s="169">
        <f t="shared" si="41"/>
        <v>30147.521449189153</v>
      </c>
      <c r="N67" s="169">
        <f t="shared" si="41"/>
        <v>30064.690493868293</v>
      </c>
      <c r="O67" s="169">
        <f t="shared" si="41"/>
        <v>24768.936668073595</v>
      </c>
      <c r="P67" s="169">
        <f t="shared" si="41"/>
        <v>22986.26547633675</v>
      </c>
      <c r="Q67" s="169">
        <f t="shared" si="41"/>
        <v>24376.517563327772</v>
      </c>
      <c r="R67" s="169">
        <f t="shared" si="41"/>
        <v>22822.056060728184</v>
      </c>
      <c r="S67" s="169">
        <f t="shared" si="41"/>
        <v>20569.943557839277</v>
      </c>
      <c r="T67" s="169">
        <f t="shared" si="41"/>
        <v>18820.854987450068</v>
      </c>
      <c r="U67" s="169">
        <f t="shared" si="41"/>
        <v>19313.302014611614</v>
      </c>
      <c r="V67" s="169">
        <f t="shared" si="41"/>
        <v>18217.482810698817</v>
      </c>
      <c r="W67" s="169">
        <f t="shared" si="41"/>
        <v>18614.527915025461</v>
      </c>
      <c r="X67" s="400">
        <f t="shared" si="41"/>
        <v>16576.895984083767</v>
      </c>
      <c r="Y67" s="400">
        <f t="shared" si="41"/>
        <v>16038.594751192792</v>
      </c>
      <c r="Z67" s="400">
        <f t="shared" si="41"/>
        <v>14660.35103518263</v>
      </c>
      <c r="AA67" s="400">
        <f t="shared" si="41"/>
        <v>15922.110484197134</v>
      </c>
      <c r="AB67" s="400">
        <f t="shared" si="41"/>
        <v>17195.316625226074</v>
      </c>
      <c r="AC67" s="400">
        <f t="shared" si="41"/>
        <v>11943.182379572076</v>
      </c>
      <c r="AD67" s="400">
        <f t="shared" si="41"/>
        <v>10087.478268199056</v>
      </c>
      <c r="AE67" s="400">
        <f>AE64/$AL$52</f>
        <v>10078.407137930324</v>
      </c>
      <c r="AK67" t="s">
        <v>234</v>
      </c>
      <c r="AN67" t="s">
        <v>181</v>
      </c>
    </row>
    <row r="68" spans="1:41">
      <c r="A68" t="str">
        <f>AK68</f>
        <v>ktep</v>
      </c>
      <c r="B68" s="360"/>
      <c r="C68" s="360"/>
      <c r="D68" s="360">
        <f t="shared" ref="D68:I68" si="42">SUM(D66:D67)</f>
        <v>38697.201995832431</v>
      </c>
      <c r="E68" s="360">
        <f t="shared" si="42"/>
        <v>38566.041383072799</v>
      </c>
      <c r="F68" s="360">
        <f t="shared" si="42"/>
        <v>40521.145723794274</v>
      </c>
      <c r="G68" s="360">
        <f t="shared" si="42"/>
        <v>39389.991191820627</v>
      </c>
      <c r="H68" s="360">
        <f t="shared" si="42"/>
        <v>42172.737116798657</v>
      </c>
      <c r="I68" s="360">
        <f t="shared" si="42"/>
        <v>41918.045474037557</v>
      </c>
      <c r="J68" s="360">
        <f t="shared" ref="J68:T68" si="43">SUM(J66:J67)</f>
        <v>48055</v>
      </c>
      <c r="K68" s="321">
        <f t="shared" si="43"/>
        <v>48339.4</v>
      </c>
      <c r="L68" s="321">
        <f t="shared" si="43"/>
        <v>49336.200000000004</v>
      </c>
      <c r="M68" s="321">
        <f t="shared" si="43"/>
        <v>49614.200000000012</v>
      </c>
      <c r="N68" s="321">
        <f t="shared" si="43"/>
        <v>48198</v>
      </c>
      <c r="O68" s="321">
        <f t="shared" si="43"/>
        <v>41824</v>
      </c>
      <c r="P68" s="321">
        <f t="shared" si="43"/>
        <v>42341.900000000009</v>
      </c>
      <c r="Q68" s="321">
        <f t="shared" si="43"/>
        <v>41829.699999999997</v>
      </c>
      <c r="R68" s="321">
        <f t="shared" si="43"/>
        <v>40299.599999999999</v>
      </c>
      <c r="S68" s="321">
        <f t="shared" si="43"/>
        <v>35294.800000000003</v>
      </c>
      <c r="T68" s="321">
        <f t="shared" si="43"/>
        <v>32856.200000000004</v>
      </c>
      <c r="U68" s="321">
        <f t="shared" ref="U68:Z68" si="44">SUM(U66:U67)</f>
        <v>34577.5</v>
      </c>
      <c r="V68" s="321">
        <f t="shared" si="44"/>
        <v>34976.700000000004</v>
      </c>
      <c r="W68" s="321">
        <f t="shared" si="44"/>
        <v>36137.511404805635</v>
      </c>
      <c r="X68" s="401">
        <f t="shared" si="44"/>
        <v>33341.207676315105</v>
      </c>
      <c r="Y68" s="401">
        <f t="shared" si="44"/>
        <v>33271.505547168948</v>
      </c>
      <c r="Z68" s="401">
        <f t="shared" si="44"/>
        <v>30723.379358864331</v>
      </c>
      <c r="AA68" s="401">
        <f>SUM(AA66:AA67)</f>
        <v>32092.747883120639</v>
      </c>
      <c r="AB68" s="401">
        <f>SUM(AB66:AB67)</f>
        <v>33836.493293786189</v>
      </c>
      <c r="AC68" s="401">
        <f>SUM(AC66:AC67)</f>
        <v>27295.463315059133</v>
      </c>
      <c r="AD68" s="401">
        <f>SUM(AD66:AD67)</f>
        <v>24802.976813723657</v>
      </c>
      <c r="AE68" s="401">
        <f>SUM(AE66:AE67)</f>
        <v>26012.309838835929</v>
      </c>
      <c r="AK68" s="68" t="s">
        <v>176</v>
      </c>
      <c r="AL68" s="169">
        <f>U68*$AL$52</f>
        <v>1447690.77</v>
      </c>
    </row>
    <row r="69" spans="1:41">
      <c r="A69" t="str">
        <f>AK69</f>
        <v>ktep input destinati al calore</v>
      </c>
      <c r="B69" s="356"/>
      <c r="C69" s="356"/>
      <c r="D69" s="356">
        <f t="shared" ref="D69:V69" si="45">D42-D66</f>
        <v>15111.912200269946</v>
      </c>
      <c r="E69" s="356">
        <f t="shared" si="45"/>
        <v>15008.363473584493</v>
      </c>
      <c r="F69" s="356">
        <f t="shared" si="45"/>
        <v>11207.429334948505</v>
      </c>
      <c r="G69" s="356">
        <f t="shared" si="45"/>
        <v>11966.149556748922</v>
      </c>
      <c r="H69" s="356">
        <f t="shared" si="45"/>
        <v>10848.493717655063</v>
      </c>
      <c r="I69" s="356">
        <f t="shared" si="45"/>
        <v>11733.377569499862</v>
      </c>
      <c r="J69" s="356">
        <f t="shared" si="45"/>
        <v>7427.6420127456804</v>
      </c>
      <c r="K69" s="173">
        <f t="shared" si="45"/>
        <v>3991.1895733413876</v>
      </c>
      <c r="L69" s="119">
        <f t="shared" si="45"/>
        <v>-3097.9049949350592</v>
      </c>
      <c r="M69" s="119">
        <f t="shared" si="45"/>
        <v>4261.7214491891464</v>
      </c>
      <c r="N69" s="119">
        <f t="shared" si="45"/>
        <v>4327.790493868295</v>
      </c>
      <c r="O69" s="119">
        <f t="shared" si="45"/>
        <v>4417.736668073594</v>
      </c>
      <c r="P69" s="119">
        <f t="shared" si="45"/>
        <v>4643.1654763367442</v>
      </c>
      <c r="Q69" s="119">
        <f t="shared" si="45"/>
        <v>5067.5175633277795</v>
      </c>
      <c r="R69" s="119">
        <f t="shared" si="45"/>
        <v>4669.1560607281863</v>
      </c>
      <c r="S69" s="119">
        <f t="shared" si="45"/>
        <v>5327.4435578392731</v>
      </c>
      <c r="T69" s="119">
        <f t="shared" si="45"/>
        <v>5009.5549874500666</v>
      </c>
      <c r="U69" s="119">
        <f t="shared" si="45"/>
        <v>5390.1020146116152</v>
      </c>
      <c r="V69" s="119">
        <f t="shared" si="45"/>
        <v>5404.9828106988134</v>
      </c>
      <c r="W69" s="119">
        <f t="shared" ref="W69:AB69" si="46">W42-W66</f>
        <v>5400.9165102198276</v>
      </c>
      <c r="X69" s="398">
        <f t="shared" si="46"/>
        <v>5311.1583077686628</v>
      </c>
      <c r="Y69" s="398">
        <f t="shared" si="46"/>
        <v>5262.7892040238439</v>
      </c>
      <c r="Z69" s="398">
        <f t="shared" si="46"/>
        <v>5269.8016763183005</v>
      </c>
      <c r="AA69" s="398">
        <f t="shared" si="46"/>
        <v>5050.5526010764952</v>
      </c>
      <c r="AB69" s="398">
        <f t="shared" si="46"/>
        <v>4947.2333314398893</v>
      </c>
      <c r="AC69" s="398">
        <f>AC42-AC66</f>
        <v>4442.6990645129408</v>
      </c>
      <c r="AD69" s="398">
        <f>AD42-AD66</f>
        <v>4333.7014544754002</v>
      </c>
      <c r="AE69" s="398">
        <f>AE42-AE66</f>
        <v>3371.6373855183738</v>
      </c>
      <c r="AK69" t="s">
        <v>177</v>
      </c>
    </row>
    <row r="70" spans="1:41">
      <c r="A70" t="str">
        <f>AK70</f>
        <v>ktep</v>
      </c>
      <c r="B70" s="360"/>
      <c r="C70" s="360"/>
      <c r="D70" s="360">
        <f t="shared" ref="D70:I70" si="47">SUM(D66:D67,D69)</f>
        <v>53809.114196102375</v>
      </c>
      <c r="E70" s="360">
        <f t="shared" si="47"/>
        <v>53574.404856657289</v>
      </c>
      <c r="F70" s="360">
        <f t="shared" si="47"/>
        <v>51728.575058742776</v>
      </c>
      <c r="G70" s="360">
        <f t="shared" si="47"/>
        <v>51356.140748569553</v>
      </c>
      <c r="H70" s="360">
        <f t="shared" si="47"/>
        <v>53021.230834453716</v>
      </c>
      <c r="I70" s="360">
        <f t="shared" si="47"/>
        <v>53651.423043537419</v>
      </c>
      <c r="J70" s="360">
        <f t="shared" ref="J70:T70" si="48">SUM(J66:J67,J69)</f>
        <v>55482.64201274568</v>
      </c>
      <c r="K70" s="321">
        <f>SUM(K66:K67,K69)</f>
        <v>52330.589573341393</v>
      </c>
      <c r="L70" s="321">
        <f t="shared" si="48"/>
        <v>46238.295005064945</v>
      </c>
      <c r="M70" s="321">
        <f t="shared" si="48"/>
        <v>53875.921449189162</v>
      </c>
      <c r="N70" s="321">
        <f t="shared" si="48"/>
        <v>52525.790493868291</v>
      </c>
      <c r="O70" s="321">
        <f t="shared" si="48"/>
        <v>46241.736668073594</v>
      </c>
      <c r="P70" s="321">
        <f t="shared" si="48"/>
        <v>46985.065476336749</v>
      </c>
      <c r="Q70" s="321">
        <f t="shared" si="48"/>
        <v>46897.21756332778</v>
      </c>
      <c r="R70" s="321">
        <f t="shared" si="48"/>
        <v>44968.756060728185</v>
      </c>
      <c r="S70" s="321">
        <f t="shared" si="48"/>
        <v>40622.243557839276</v>
      </c>
      <c r="T70" s="321">
        <f t="shared" si="48"/>
        <v>37865.754987450069</v>
      </c>
      <c r="U70" s="321">
        <f t="shared" ref="U70:Z70" si="49">SUM(U66:U67,U69)</f>
        <v>39967.602014611613</v>
      </c>
      <c r="V70" s="321">
        <f t="shared" si="49"/>
        <v>40381.682810698818</v>
      </c>
      <c r="W70" s="321">
        <f t="shared" si="49"/>
        <v>41538.427915025459</v>
      </c>
      <c r="X70" s="401">
        <f t="shared" si="49"/>
        <v>38652.365984083764</v>
      </c>
      <c r="Y70" s="401">
        <f t="shared" si="49"/>
        <v>38534.294751192792</v>
      </c>
      <c r="Z70" s="401">
        <f t="shared" si="49"/>
        <v>35993.181035182628</v>
      </c>
      <c r="AA70" s="401">
        <f>SUM(AA66:AA67,AA69)</f>
        <v>37143.300484197134</v>
      </c>
      <c r="AB70" s="401">
        <f>SUM(AB66:AB67,AB69)</f>
        <v>38783.726625226074</v>
      </c>
      <c r="AC70" s="401">
        <f>SUM(AC66:AC67,AC69)</f>
        <v>31738.162379572073</v>
      </c>
      <c r="AD70" s="401">
        <f>SUM(AD66:AD67,AD69)</f>
        <v>29136.678268199059</v>
      </c>
      <c r="AE70" s="401">
        <f>SUM(AE66:AE67,AE69)</f>
        <v>29383.947224354302</v>
      </c>
      <c r="AK70" s="68" t="s">
        <v>176</v>
      </c>
      <c r="AL70" s="169">
        <f>U70*$AL$52</f>
        <v>1673363.5611477592</v>
      </c>
      <c r="AN70" s="361" t="s">
        <v>49</v>
      </c>
      <c r="AO70" s="134">
        <f>U69/U70</f>
        <v>0.13486178161604659</v>
      </c>
    </row>
    <row r="71" spans="1:41">
      <c r="F71" s="68">
        <f t="shared" ref="F71:V71" si="50">F4</f>
        <v>2000</v>
      </c>
      <c r="G71" s="68">
        <f t="shared" si="50"/>
        <v>2001</v>
      </c>
      <c r="H71" s="68">
        <f t="shared" si="50"/>
        <v>2002</v>
      </c>
      <c r="I71" s="68">
        <f t="shared" si="50"/>
        <v>2003</v>
      </c>
      <c r="J71" s="68">
        <f t="shared" si="50"/>
        <v>2004</v>
      </c>
      <c r="K71" s="68">
        <f t="shared" si="50"/>
        <v>2005</v>
      </c>
      <c r="L71" s="68">
        <f t="shared" si="50"/>
        <v>2006</v>
      </c>
      <c r="M71" s="68">
        <f t="shared" si="50"/>
        <v>2007</v>
      </c>
      <c r="N71" s="68">
        <f t="shared" si="50"/>
        <v>2008</v>
      </c>
      <c r="O71" s="68">
        <f t="shared" si="50"/>
        <v>2009</v>
      </c>
      <c r="P71" s="68">
        <f t="shared" si="50"/>
        <v>2010</v>
      </c>
      <c r="Q71" s="68">
        <f t="shared" si="50"/>
        <v>2011</v>
      </c>
      <c r="R71" s="68">
        <f t="shared" si="50"/>
        <v>2012</v>
      </c>
      <c r="S71" s="68">
        <f t="shared" si="50"/>
        <v>2013</v>
      </c>
      <c r="T71" s="68">
        <f t="shared" si="50"/>
        <v>2014</v>
      </c>
      <c r="U71" s="68">
        <f t="shared" si="50"/>
        <v>2015</v>
      </c>
      <c r="V71" s="68">
        <f t="shared" si="50"/>
        <v>2016</v>
      </c>
      <c r="W71" s="68">
        <f t="shared" ref="W71:AB71" si="51">W4</f>
        <v>2017</v>
      </c>
      <c r="X71" s="402">
        <f t="shared" si="51"/>
        <v>2018</v>
      </c>
      <c r="Y71" s="402">
        <f t="shared" si="51"/>
        <v>2019</v>
      </c>
      <c r="Z71" s="402">
        <f t="shared" si="51"/>
        <v>2020</v>
      </c>
      <c r="AA71" s="402">
        <f t="shared" si="51"/>
        <v>2021</v>
      </c>
      <c r="AB71" s="402">
        <f t="shared" si="51"/>
        <v>2022</v>
      </c>
      <c r="AC71" s="402">
        <f>AC4</f>
        <v>2023</v>
      </c>
      <c r="AD71" s="402">
        <f>AD4</f>
        <v>2024</v>
      </c>
      <c r="AE71" s="402">
        <f>AE4</f>
        <v>2025</v>
      </c>
    </row>
    <row r="72" spans="1:41">
      <c r="B72" s="252">
        <f>V72-F72</f>
        <v>9.121621194637114E-2</v>
      </c>
      <c r="C72" s="252">
        <f>V72-K72</f>
        <v>5.0687615627222904E-2</v>
      </c>
      <c r="D72" t="s">
        <v>521</v>
      </c>
      <c r="F72" s="362">
        <f t="shared" ref="F72:V72" si="52">((F62+F46)*3.6)/(F70*41.868)</f>
        <v>0.46341285703619967</v>
      </c>
      <c r="G72" s="362">
        <f t="shared" si="52"/>
        <v>0.46149126586750766</v>
      </c>
      <c r="H72" s="362">
        <f t="shared" si="52"/>
        <v>0.46516112189598591</v>
      </c>
      <c r="I72" s="363">
        <f t="shared" si="52"/>
        <v>0.48187327179381556</v>
      </c>
      <c r="J72" s="362">
        <f t="shared" si="52"/>
        <v>0.46304711045252883</v>
      </c>
      <c r="K72" s="362">
        <f>((K62+K46)*3.6)/(K70*41.868)</f>
        <v>0.5039414533553479</v>
      </c>
      <c r="L72" s="362">
        <f t="shared" si="52"/>
        <v>0.59542745263983221</v>
      </c>
      <c r="M72" s="362">
        <f t="shared" si="52"/>
        <v>0.51477337807505708</v>
      </c>
      <c r="N72" s="362">
        <f t="shared" si="52"/>
        <v>0.51799810426070203</v>
      </c>
      <c r="O72" s="362">
        <f t="shared" si="52"/>
        <v>0.51482146205454937</v>
      </c>
      <c r="P72" s="362">
        <f t="shared" si="52"/>
        <v>0.52613597734693252</v>
      </c>
      <c r="Q72" s="362">
        <f t="shared" si="52"/>
        <v>0.52890426988413786</v>
      </c>
      <c r="R72" s="362">
        <f t="shared" si="52"/>
        <v>0.52394910953838258</v>
      </c>
      <c r="S72" s="362">
        <f t="shared" si="52"/>
        <v>0.53357839617943303</v>
      </c>
      <c r="T72" s="362">
        <f t="shared" si="52"/>
        <v>0.52774167941638761</v>
      </c>
      <c r="U72" s="362">
        <f t="shared" si="52"/>
        <v>0.54068604883166949</v>
      </c>
      <c r="V72" s="362">
        <f t="shared" si="52"/>
        <v>0.55462906898257081</v>
      </c>
      <c r="W72" s="362">
        <f t="shared" ref="W72:AB72" si="53">((W62+W46)*3.6)/(W70*41.868)</f>
        <v>0.56006751687601253</v>
      </c>
      <c r="X72" s="369">
        <f t="shared" si="53"/>
        <v>0.56137051953094619</v>
      </c>
      <c r="Y72" s="369">
        <f t="shared" si="53"/>
        <v>0.57118691354478768</v>
      </c>
      <c r="Z72" s="369">
        <f t="shared" si="53"/>
        <v>0.57478276864680111</v>
      </c>
      <c r="AA72" s="369">
        <f t="shared" si="53"/>
        <v>0.57269841668863508</v>
      </c>
      <c r="AB72" s="369">
        <f t="shared" si="53"/>
        <v>0.56730748867552694</v>
      </c>
      <c r="AC72" s="369">
        <f>((AC62+AC46)*3.6)/(AC70*41.868)</f>
        <v>0.57828759011661313</v>
      </c>
      <c r="AD72" s="369">
        <f>((AD62+AD46)*3.6)/(AD70*41.868)</f>
        <v>0.60143210700849958</v>
      </c>
      <c r="AE72" s="369">
        <f>((AE62+AE46)*3.6)/(AE70*41.868)</f>
        <v>0.62143339098816908</v>
      </c>
      <c r="AK72" s="68"/>
    </row>
    <row r="73" spans="1:41">
      <c r="B73" s="252">
        <f>V73-F73</f>
        <v>2.2465333308992586E-2</v>
      </c>
      <c r="C73" s="252">
        <f>V73-K73</f>
        <v>4.0108673042731802E-2</v>
      </c>
      <c r="D73" t="s">
        <v>520</v>
      </c>
      <c r="F73" s="362">
        <f t="shared" ref="F73:V73" si="54">F62*3.6/F65</f>
        <v>0.46779987139535717</v>
      </c>
      <c r="G73" s="362">
        <f t="shared" si="54"/>
        <v>0.4788858751520676</v>
      </c>
      <c r="H73" s="362">
        <f t="shared" si="54"/>
        <v>0.472867463262587</v>
      </c>
      <c r="I73" s="362">
        <f t="shared" si="54"/>
        <v>0.4980143163238171</v>
      </c>
      <c r="J73" s="362">
        <f t="shared" si="54"/>
        <v>0.44039392022951634</v>
      </c>
      <c r="K73" s="362">
        <f t="shared" si="54"/>
        <v>0.45015653166161795</v>
      </c>
      <c r="L73" s="362">
        <f t="shared" si="54"/>
        <v>0.45690752075456598</v>
      </c>
      <c r="M73" s="362">
        <f t="shared" si="54"/>
        <v>0.46058617874193108</v>
      </c>
      <c r="N73" s="362">
        <f t="shared" si="54"/>
        <v>0.46620530666403787</v>
      </c>
      <c r="O73" s="362">
        <f t="shared" si="54"/>
        <v>0.46593897385004746</v>
      </c>
      <c r="P73" s="362">
        <f t="shared" si="54"/>
        <v>0.46959954294352096</v>
      </c>
      <c r="Q73" s="362">
        <f t="shared" si="54"/>
        <v>0.4697366318756705</v>
      </c>
      <c r="R73" s="362">
        <f t="shared" si="54"/>
        <v>0.46419674761573221</v>
      </c>
      <c r="S73" s="362">
        <f t="shared" si="54"/>
        <v>0.47015297687047813</v>
      </c>
      <c r="T73" s="362">
        <f t="shared" si="54"/>
        <v>0.46103751105359958</v>
      </c>
      <c r="U73" s="362">
        <f t="shared" si="54"/>
        <v>0.47758306837861514</v>
      </c>
      <c r="V73" s="362">
        <f t="shared" si="54"/>
        <v>0.49026520470434976</v>
      </c>
      <c r="W73" s="362">
        <f t="shared" ref="W73:AB73" si="55">W62*3.6/W65</f>
        <v>0.49844118967320244</v>
      </c>
      <c r="X73" s="369">
        <f t="shared" si="55"/>
        <v>0.49703654809471365</v>
      </c>
      <c r="Y73" s="369">
        <f t="shared" si="55"/>
        <v>0.50584079701020424</v>
      </c>
      <c r="Z73" s="369">
        <f t="shared" si="55"/>
        <v>0.50741684581236368</v>
      </c>
      <c r="AA73" s="369">
        <f t="shared" si="55"/>
        <v>0.50828364653492497</v>
      </c>
      <c r="AB73" s="369">
        <f t="shared" si="55"/>
        <v>0.50622721467549869</v>
      </c>
      <c r="AC73" s="369">
        <f>AC62*3.6/AC65</f>
        <v>0.51217404707457537</v>
      </c>
      <c r="AD73" s="369">
        <f>AD62*3.6/AD65</f>
        <v>0.52721677697985581</v>
      </c>
      <c r="AE73" s="369">
        <f>AE62*3.6/AE65</f>
        <v>0.52871633070635371</v>
      </c>
      <c r="AK73" s="68"/>
    </row>
    <row r="74" spans="1:41">
      <c r="B74" s="252">
        <f>V74-F74</f>
        <v>1.4680183423144255E-2</v>
      </c>
      <c r="C74" s="252">
        <f>V74-K74</f>
        <v>3.0011150359256056E-2</v>
      </c>
      <c r="D74" t="s">
        <v>523</v>
      </c>
      <c r="F74" s="362">
        <f t="shared" ref="F74:AD74" si="56">(F63/F59*3.6+F43*$AL$52)/(F63+F69*$AL$52)</f>
        <v>0.64261118491011859</v>
      </c>
      <c r="G74" s="362">
        <f t="shared" si="56"/>
        <v>0.62012160705659469</v>
      </c>
      <c r="H74" s="362">
        <f t="shared" si="56"/>
        <v>0.61917085323586851</v>
      </c>
      <c r="I74" s="363">
        <f t="shared" si="56"/>
        <v>0.63569863850917541</v>
      </c>
      <c r="J74" s="362">
        <f t="shared" si="56"/>
        <v>0.57785490806490802</v>
      </c>
      <c r="K74" s="362">
        <f t="shared" si="56"/>
        <v>0.62728021797400679</v>
      </c>
      <c r="L74" s="362">
        <f t="shared" si="56"/>
        <v>0.80532584413202324</v>
      </c>
      <c r="M74" s="362">
        <f t="shared" si="56"/>
        <v>0.62119440885339305</v>
      </c>
      <c r="N74" s="362">
        <f t="shared" si="56"/>
        <v>0.62736596470696948</v>
      </c>
      <c r="O74" s="362">
        <f t="shared" si="56"/>
        <v>0.61604034406453378</v>
      </c>
      <c r="P74" s="362">
        <f t="shared" si="56"/>
        <v>0.61764047654439869</v>
      </c>
      <c r="Q74" s="362">
        <f t="shared" si="56"/>
        <v>0.63448824014554128</v>
      </c>
      <c r="R74" s="362">
        <f t="shared" si="56"/>
        <v>0.62698443013152227</v>
      </c>
      <c r="S74" s="362">
        <f t="shared" si="56"/>
        <v>0.65788389159387239</v>
      </c>
      <c r="T74" s="362">
        <f t="shared" si="56"/>
        <v>0.65043538313281068</v>
      </c>
      <c r="U74" s="362">
        <f t="shared" si="56"/>
        <v>0.6559379887874498</v>
      </c>
      <c r="V74" s="362">
        <f t="shared" si="56"/>
        <v>0.65729136833326285</v>
      </c>
      <c r="W74" s="362">
        <f t="shared" si="56"/>
        <v>0.65443940112504517</v>
      </c>
      <c r="X74" s="369">
        <f t="shared" si="56"/>
        <v>0.65233551014767399</v>
      </c>
      <c r="Y74" s="369">
        <f t="shared" si="56"/>
        <v>0.65410636401669919</v>
      </c>
      <c r="Z74" s="369">
        <f t="shared" si="56"/>
        <v>0.65588636797375877</v>
      </c>
      <c r="AA74" s="369">
        <f t="shared" si="56"/>
        <v>0.65851535766534874</v>
      </c>
      <c r="AB74" s="369">
        <f t="shared" si="56"/>
        <v>0.65959264644010474</v>
      </c>
      <c r="AC74" s="369">
        <f t="shared" si="56"/>
        <v>0.65343729302889741</v>
      </c>
      <c r="AD74" s="369">
        <f t="shared" si="56"/>
        <v>0.66519836817283107</v>
      </c>
      <c r="AE74" s="369">
        <f>(AE63/AE59*3.6+AE43*$AL$52)/(AE63+AE69*$AL$52)</f>
        <v>0.69473799824665972</v>
      </c>
      <c r="AK74" s="68"/>
    </row>
    <row r="75" spans="1:41">
      <c r="B75" s="252">
        <f>V75-F75</f>
        <v>-0.54185013639157409</v>
      </c>
      <c r="C75" s="252">
        <f>V75-K75</f>
        <v>5.1228300892881107E-2</v>
      </c>
      <c r="D75" t="s">
        <v>524</v>
      </c>
      <c r="F75" s="362">
        <f t="shared" ref="F75:V75" si="57">(F63/F59*3.6)/F63</f>
        <v>1.0979227193101055</v>
      </c>
      <c r="G75" s="362">
        <f t="shared" si="57"/>
        <v>1.1299884186047628</v>
      </c>
      <c r="H75" s="362">
        <f t="shared" si="57"/>
        <v>0.91688689254752098</v>
      </c>
      <c r="I75" s="362">
        <f t="shared" si="57"/>
        <v>1.0481380386393382</v>
      </c>
      <c r="J75" s="362">
        <f t="shared" si="57"/>
        <v>0.56006495055926508</v>
      </c>
      <c r="K75" s="362">
        <f t="shared" si="57"/>
        <v>0.50484428202565035</v>
      </c>
      <c r="L75" s="362">
        <f t="shared" si="57"/>
        <v>0.51395411109323696</v>
      </c>
      <c r="M75" s="362">
        <f t="shared" si="57"/>
        <v>0.5063870599876239</v>
      </c>
      <c r="N75" s="362">
        <f t="shared" si="57"/>
        <v>0.51580397592020721</v>
      </c>
      <c r="O75" s="362">
        <f t="shared" si="57"/>
        <v>0.52238470708322338</v>
      </c>
      <c r="P75" s="362">
        <f t="shared" si="57"/>
        <v>0.51591353404321338</v>
      </c>
      <c r="Q75" s="362">
        <f t="shared" si="57"/>
        <v>0.52333854404077018</v>
      </c>
      <c r="R75" s="362">
        <f t="shared" si="57"/>
        <v>0.51673391097294796</v>
      </c>
      <c r="S75" s="362">
        <f t="shared" si="57"/>
        <v>0.55082974238243787</v>
      </c>
      <c r="T75" s="362">
        <f t="shared" si="57"/>
        <v>0.53807586223966541</v>
      </c>
      <c r="U75" s="362">
        <f t="shared" si="57"/>
        <v>0.55369065195613143</v>
      </c>
      <c r="V75" s="362">
        <f t="shared" si="57"/>
        <v>0.55607258291853146</v>
      </c>
      <c r="W75" s="362">
        <f t="shared" ref="W75:AB75" si="58">(W63/W59*3.6)/W63</f>
        <v>0.5564351180423005</v>
      </c>
      <c r="X75" s="369">
        <f t="shared" si="58"/>
        <v>0.55320571184897482</v>
      </c>
      <c r="Y75" s="369">
        <f t="shared" si="58"/>
        <v>0.55326582055929641</v>
      </c>
      <c r="Z75" s="369">
        <f t="shared" si="58"/>
        <v>0.55364481760604289</v>
      </c>
      <c r="AA75" s="369">
        <f t="shared" si="58"/>
        <v>0.5574788948642857</v>
      </c>
      <c r="AB75" s="369">
        <f t="shared" si="58"/>
        <v>0.56283349862476051</v>
      </c>
      <c r="AC75" s="369">
        <f>(AC63/AC59*3.6)/AC63</f>
        <v>0.55763835083353497</v>
      </c>
      <c r="AD75" s="369">
        <f>(AD63/AD59*3.6)/AD63</f>
        <v>0.55888751731519803</v>
      </c>
      <c r="AE75" s="369">
        <f>(AE63/AE59*3.6)/AE63</f>
        <v>0.55888751731519803</v>
      </c>
      <c r="AK75" s="68"/>
    </row>
    <row r="76" spans="1:41">
      <c r="B76" s="252">
        <f>V76-F76</f>
        <v>4.6625352747468429E-2</v>
      </c>
      <c r="C76" s="252">
        <f>V76-K76</f>
        <v>9.8153686155649789E-3</v>
      </c>
      <c r="D76" t="s">
        <v>525</v>
      </c>
      <c r="F76" s="362">
        <f t="shared" ref="F76:V76" si="59">(F64/F58*3.6)/F64</f>
        <v>0.38310019586881527</v>
      </c>
      <c r="G76" s="362">
        <f t="shared" si="59"/>
        <v>0.3827709970492959</v>
      </c>
      <c r="H76" s="362">
        <f t="shared" si="59"/>
        <v>0.38894853529307577</v>
      </c>
      <c r="I76" s="362">
        <f t="shared" si="59"/>
        <v>0.40582056892778995</v>
      </c>
      <c r="J76" s="362">
        <f t="shared" si="59"/>
        <v>0.39480112721199123</v>
      </c>
      <c r="K76" s="362">
        <f t="shared" si="59"/>
        <v>0.41991018000071872</v>
      </c>
      <c r="L76" s="362">
        <f t="shared" si="59"/>
        <v>0.39494834424984648</v>
      </c>
      <c r="M76" s="362">
        <f t="shared" si="59"/>
        <v>0.43101190564434133</v>
      </c>
      <c r="N76" s="362">
        <f t="shared" si="59"/>
        <v>0.43629021337884971</v>
      </c>
      <c r="O76" s="362">
        <f t="shared" si="59"/>
        <v>0.42707232535359801</v>
      </c>
      <c r="P76" s="362">
        <f t="shared" si="59"/>
        <v>0.43060074664141268</v>
      </c>
      <c r="Q76" s="362">
        <f t="shared" si="59"/>
        <v>0.43135855143240914</v>
      </c>
      <c r="R76" s="362">
        <f t="shared" si="59"/>
        <v>0.42396283623732223</v>
      </c>
      <c r="S76" s="362">
        <f t="shared" si="59"/>
        <v>0.41240105416630818</v>
      </c>
      <c r="T76" s="362">
        <f t="shared" si="59"/>
        <v>0.40358741971527212</v>
      </c>
      <c r="U76" s="362">
        <f t="shared" si="59"/>
        <v>0.41743171657777889</v>
      </c>
      <c r="V76" s="362">
        <f t="shared" si="59"/>
        <v>0.4297255486162837</v>
      </c>
      <c r="W76" s="362">
        <f t="shared" ref="W76:AB76" si="60">(W64/W58*3.6)/W64</f>
        <v>0.44384798946107606</v>
      </c>
      <c r="X76" s="369">
        <f t="shared" si="60"/>
        <v>0.44023234484867013</v>
      </c>
      <c r="Y76" s="369">
        <f t="shared" si="60"/>
        <v>0.45488426291249001</v>
      </c>
      <c r="Z76" s="369">
        <f t="shared" si="60"/>
        <v>0.45676586081983578</v>
      </c>
      <c r="AA76" s="369">
        <f t="shared" si="60"/>
        <v>0.45832051361522497</v>
      </c>
      <c r="AB76" s="369">
        <f t="shared" si="60"/>
        <v>0.45144513695740623</v>
      </c>
      <c r="AC76" s="369">
        <f>(AC64/AC58*3.6)/AC64</f>
        <v>0.45373227321054116</v>
      </c>
      <c r="AD76" s="369">
        <f>(AD64/AD58*3.6)/AD64</f>
        <v>0.48101586125549201</v>
      </c>
      <c r="AE76" s="369">
        <f>(AE64/AE58*3.6)/AE64</f>
        <v>0.48101586125549201</v>
      </c>
      <c r="AK76" s="68"/>
    </row>
    <row r="77" spans="1:41">
      <c r="U77" s="168"/>
      <c r="X77" s="403"/>
      <c r="Y77" s="403"/>
      <c r="Z77" s="403"/>
      <c r="AA77" s="403"/>
      <c r="AB77" s="403"/>
      <c r="AC77" s="403"/>
      <c r="AD77" s="403"/>
      <c r="AE77" s="403"/>
    </row>
    <row r="78" spans="1:41">
      <c r="F78" s="362">
        <f>F68/E68-1</f>
        <v>5.0694970772385162E-2</v>
      </c>
      <c r="G78" s="362">
        <f>G68/F68-1</f>
        <v>-2.7915166557332172E-2</v>
      </c>
      <c r="H78" s="362">
        <f>H68/G68-1</f>
        <v>7.0646015416115926E-2</v>
      </c>
      <c r="I78" s="362">
        <f>I68/H68-1</f>
        <v>-6.0392485803262286E-3</v>
      </c>
      <c r="J78" s="362">
        <f>J68/I68-1</f>
        <v>0.14640364207256362</v>
      </c>
      <c r="K78" s="321">
        <f t="shared" ref="K78:AE78" si="61">(K65+K69*$AL$52)/1000</f>
        <v>2190.9771242566571</v>
      </c>
      <c r="L78" s="321">
        <f t="shared" si="61"/>
        <v>1935.9049352720592</v>
      </c>
      <c r="M78" s="321">
        <f t="shared" si="61"/>
        <v>2255.677079234652</v>
      </c>
      <c r="N78" s="321">
        <f t="shared" si="61"/>
        <v>2199.1497963972779</v>
      </c>
      <c r="O78" s="321">
        <f t="shared" si="61"/>
        <v>1936.0490308189053</v>
      </c>
      <c r="P78" s="321">
        <f t="shared" si="61"/>
        <v>1967.1707213632671</v>
      </c>
      <c r="Q78" s="321">
        <f t="shared" si="61"/>
        <v>1963.4927049414073</v>
      </c>
      <c r="R78" s="321">
        <f t="shared" si="61"/>
        <v>1882.7518787505678</v>
      </c>
      <c r="S78" s="321">
        <f t="shared" si="61"/>
        <v>1700.7720932796151</v>
      </c>
      <c r="T78" s="321">
        <f t="shared" si="61"/>
        <v>1585.3634298145596</v>
      </c>
      <c r="U78" s="321">
        <f t="shared" si="61"/>
        <v>1673.3635611477591</v>
      </c>
      <c r="V78" s="321">
        <f t="shared" si="61"/>
        <v>1690.7002959183383</v>
      </c>
      <c r="W78" s="321">
        <f t="shared" si="61"/>
        <v>1739.130899946286</v>
      </c>
      <c r="X78" s="401">
        <f t="shared" si="61"/>
        <v>1618.2972590216191</v>
      </c>
      <c r="Y78" s="401">
        <f t="shared" si="61"/>
        <v>1613.35385264294</v>
      </c>
      <c r="Z78" s="401">
        <f t="shared" si="61"/>
        <v>1506.9625035810266</v>
      </c>
      <c r="AA78" s="401">
        <f t="shared" si="61"/>
        <v>1555.1157046723658</v>
      </c>
      <c r="AB78" s="401">
        <f t="shared" si="61"/>
        <v>1623.7970663449655</v>
      </c>
      <c r="AC78" s="401">
        <f t="shared" si="61"/>
        <v>1328.8133825079237</v>
      </c>
      <c r="AD78" s="401">
        <f t="shared" si="61"/>
        <v>1219.894445732958</v>
      </c>
      <c r="AE78" s="401">
        <f t="shared" si="61"/>
        <v>1230.247102389266</v>
      </c>
      <c r="AK78" s="68" t="s">
        <v>250</v>
      </c>
    </row>
    <row r="79" spans="1:41">
      <c r="D79" s="119">
        <f t="shared" ref="D79:AE79" si="62">SUM(D81:D82)</f>
        <v>3609.9356383739696</v>
      </c>
      <c r="E79" s="119">
        <f t="shared" si="62"/>
        <v>4144.8773780718848</v>
      </c>
      <c r="F79" s="119">
        <f t="shared" si="62"/>
        <v>4706.8484084221491</v>
      </c>
      <c r="G79" s="119">
        <f t="shared" si="62"/>
        <v>4972.0108727225106</v>
      </c>
      <c r="H79" s="119">
        <f t="shared" si="62"/>
        <v>6578.4867663983759</v>
      </c>
      <c r="I79" s="119">
        <f t="shared" si="62"/>
        <v>5897.6958036448968</v>
      </c>
      <c r="J79" s="119">
        <f t="shared" si="62"/>
        <v>12762.615071794906</v>
      </c>
      <c r="K79" s="119">
        <f t="shared" si="62"/>
        <v>16082.7027703</v>
      </c>
      <c r="L79" s="119">
        <f t="shared" si="62"/>
        <v>17005.02447</v>
      </c>
      <c r="M79" s="119">
        <f t="shared" si="62"/>
        <v>18279.037919999999</v>
      </c>
      <c r="N79" s="119">
        <f t="shared" si="62"/>
        <v>17157.547490000001</v>
      </c>
      <c r="O79" s="119">
        <f t="shared" si="62"/>
        <v>16532.308779999996</v>
      </c>
      <c r="P79" s="119">
        <f t="shared" si="62"/>
        <v>18577.769632800002</v>
      </c>
      <c r="Q79" s="119">
        <f t="shared" si="62"/>
        <v>16677.895840000001</v>
      </c>
      <c r="R79" s="119">
        <f t="shared" si="62"/>
        <v>16779.57632</v>
      </c>
      <c r="S79" s="119">
        <f t="shared" si="62"/>
        <v>14250.812323999997</v>
      </c>
      <c r="T79" s="119">
        <f t="shared" si="62"/>
        <v>13607.08186</v>
      </c>
      <c r="U79" s="119">
        <f t="shared" si="62"/>
        <v>14888.680350142113</v>
      </c>
      <c r="V79" s="119">
        <f t="shared" si="62"/>
        <v>16255.571678370117</v>
      </c>
      <c r="W79" s="119">
        <f t="shared" si="62"/>
        <v>17017.818999515144</v>
      </c>
      <c r="X79" s="398">
        <f t="shared" si="62"/>
        <v>16307.778691781314</v>
      </c>
      <c r="Y79" s="398">
        <f t="shared" si="62"/>
        <v>16669.688166007454</v>
      </c>
      <c r="Z79" s="398">
        <f t="shared" si="62"/>
        <v>15600.905129932167</v>
      </c>
      <c r="AA79" s="398">
        <f t="shared" si="62"/>
        <v>15668.931976927488</v>
      </c>
      <c r="AB79" s="398">
        <f t="shared" si="62"/>
        <v>16108.382108531572</v>
      </c>
      <c r="AC79" s="398">
        <f t="shared" si="62"/>
        <v>14849.566683863572</v>
      </c>
      <c r="AD79" s="398">
        <f t="shared" si="62"/>
        <v>14031.519813222509</v>
      </c>
      <c r="AE79" s="398">
        <f t="shared" si="62"/>
        <v>14757.516399930915</v>
      </c>
    </row>
    <row r="80" spans="1:41">
      <c r="F80" s="362" t="e">
        <f t="shared" ref="F80:K80" si="63">F71/E71-1</f>
        <v>#DIV/0!</v>
      </c>
      <c r="G80" s="362">
        <f t="shared" si="63"/>
        <v>4.9999999999994493E-4</v>
      </c>
      <c r="H80" s="362">
        <f t="shared" si="63"/>
        <v>4.997501249375258E-4</v>
      </c>
      <c r="I80" s="362">
        <f t="shared" si="63"/>
        <v>4.995004995005381E-4</v>
      </c>
      <c r="J80" s="362">
        <f t="shared" si="63"/>
        <v>4.9925112331505872E-4</v>
      </c>
      <c r="K80" s="362">
        <f t="shared" si="63"/>
        <v>4.9900199600805273E-4</v>
      </c>
      <c r="X80" s="403"/>
      <c r="Y80" s="403"/>
      <c r="Z80" s="403"/>
      <c r="AA80" s="403"/>
      <c r="AB80" s="403"/>
      <c r="AC80" s="403"/>
      <c r="AD80" s="403"/>
      <c r="AE80" s="403"/>
    </row>
    <row r="81" spans="1:43">
      <c r="A81" s="364" t="s">
        <v>317</v>
      </c>
      <c r="B81" s="340"/>
      <c r="C81" s="340"/>
      <c r="D81" s="340"/>
      <c r="E81" s="340"/>
      <c r="F81" s="340"/>
      <c r="G81" s="340"/>
      <c r="H81" s="340"/>
      <c r="I81" s="340"/>
      <c r="J81" s="340"/>
      <c r="K81" s="340"/>
      <c r="L81" s="340"/>
      <c r="M81" s="340"/>
      <c r="N81" s="340"/>
      <c r="O81" s="340"/>
      <c r="P81" s="340"/>
      <c r="Q81" s="340"/>
      <c r="R81" s="340"/>
      <c r="S81" s="340"/>
      <c r="T81" s="340"/>
      <c r="U81" s="340"/>
      <c r="V81" s="340"/>
      <c r="W81" s="340"/>
      <c r="X81" s="392"/>
      <c r="Y81" s="392"/>
      <c r="Z81" s="392"/>
      <c r="AA81" s="392"/>
      <c r="AB81" s="392"/>
      <c r="AC81" s="392"/>
      <c r="AD81" s="392"/>
      <c r="AE81" s="392"/>
    </row>
    <row r="82" spans="1:43">
      <c r="A82" t="str">
        <f>A66</f>
        <v>ktep cogen</v>
      </c>
      <c r="B82" s="345"/>
      <c r="C82" s="365"/>
      <c r="D82" s="365">
        <f>D57*'6-y'!C14*100</f>
        <v>3609.9356383739696</v>
      </c>
      <c r="E82" s="365">
        <f>E57*'6-y'!D14*100</f>
        <v>4144.8773780718848</v>
      </c>
      <c r="F82" s="365">
        <f>F57*'6-y'!E14*100</f>
        <v>4706.8484084221491</v>
      </c>
      <c r="G82" s="365">
        <f>G57*'6-y'!F14*100</f>
        <v>4972.0108727225106</v>
      </c>
      <c r="H82" s="365">
        <f>H57*'6-y'!G14*100</f>
        <v>6578.4867663983759</v>
      </c>
      <c r="I82" s="365">
        <f>I57*'6-y'!H14*100</f>
        <v>5897.6958036448968</v>
      </c>
      <c r="J82" s="365">
        <f>J57*'6-y'!I14*100</f>
        <v>12762.615071794906</v>
      </c>
      <c r="K82" s="336">
        <f>K55*'6-y'!J14*100</f>
        <v>16082.7027703</v>
      </c>
      <c r="L82" s="365">
        <f>L55*'6-y'!K14*100</f>
        <v>17005.02447</v>
      </c>
      <c r="M82" s="365">
        <f>M55*'6-y'!L14*100</f>
        <v>18279.037919999999</v>
      </c>
      <c r="N82" s="365">
        <f>N55*'6-y'!M14*100</f>
        <v>17157.547490000001</v>
      </c>
      <c r="O82" s="365">
        <f>O55*'6-y'!N14*100</f>
        <v>16532.308779999996</v>
      </c>
      <c r="P82" s="336">
        <f>P55*'6-y'!O14*100</f>
        <v>18577.769632800002</v>
      </c>
      <c r="Q82" s="365">
        <f>Q55*'6-y'!P14*100</f>
        <v>16677.895840000001</v>
      </c>
      <c r="R82" s="365">
        <f>R55*'6-y'!Q14*100</f>
        <v>16779.57632</v>
      </c>
      <c r="S82" s="365">
        <f>S55*'6-y'!R14*100</f>
        <v>14250.812323999997</v>
      </c>
      <c r="T82" s="365">
        <f>T55*'6-y'!S14*100</f>
        <v>13607.08186</v>
      </c>
      <c r="U82" s="336">
        <f>U55*'6-y'!T14*100</f>
        <v>14888.680350142113</v>
      </c>
      <c r="V82" s="336">
        <f>V55*'6-y'!U14*100</f>
        <v>16255.571678370117</v>
      </c>
      <c r="W82" s="336">
        <f>W55*'6-y'!V14*100</f>
        <v>17017.818999515144</v>
      </c>
      <c r="X82" s="336">
        <f>X55*'6-y'!W14*100</f>
        <v>16307.778691781314</v>
      </c>
      <c r="Y82" s="336">
        <f>Y55*'6-y'!X14*100</f>
        <v>16669.688166007454</v>
      </c>
      <c r="Z82" s="336">
        <f>Z55*'6-y'!Y14*100</f>
        <v>15600.905129932167</v>
      </c>
      <c r="AA82" s="336">
        <f>AA55*'6-y'!Z14*100</f>
        <v>15668.931976927488</v>
      </c>
      <c r="AB82" s="336">
        <f>AB55*'6-y'!AA14*100</f>
        <v>16108.382108531572</v>
      </c>
      <c r="AC82" s="336">
        <f>AC55*'6-y'!AB14*100</f>
        <v>14849.566683863572</v>
      </c>
      <c r="AD82" s="336">
        <f>AD55*'6-y'!AC14*100</f>
        <v>14031.519813222509</v>
      </c>
      <c r="AE82" s="336">
        <f>AE55*'6-y'!AD14*100</f>
        <v>14757.516399930915</v>
      </c>
    </row>
    <row r="83" spans="1:43">
      <c r="A83" t="str">
        <f>A67</f>
        <v>ktep non cogen</v>
      </c>
      <c r="B83" s="345"/>
      <c r="C83" s="365"/>
      <c r="D83" s="365">
        <f>D56*'6-y'!C6*100</f>
        <v>35086.816621230049</v>
      </c>
      <c r="E83" s="365">
        <f>E56*'6-y'!D6*100</f>
        <v>34421.527362632834</v>
      </c>
      <c r="F83" s="365">
        <f>F56*'6-y'!E6*100</f>
        <v>35814.297315372125</v>
      </c>
      <c r="G83" s="365">
        <f>G56*'6-y'!F6*100</f>
        <v>34417.980319098118</v>
      </c>
      <c r="H83" s="365">
        <f>H56*'6-y'!G6*100</f>
        <v>35594.543091404463</v>
      </c>
      <c r="I83" s="365">
        <f>I56*'6-y'!H6*100</f>
        <v>36020.137792214548</v>
      </c>
      <c r="J83" s="365">
        <f>J56*'6-y'!I6*100</f>
        <v>35292.538454189358</v>
      </c>
      <c r="K83" s="336">
        <f>K54*'6-y'!J6*100</f>
        <v>32256.693437099999</v>
      </c>
      <c r="L83" s="365">
        <f>L54*'6-y'!K6*100</f>
        <v>32329.312180000004</v>
      </c>
      <c r="M83" s="365">
        <f>M54*'6-y'!L6*100</f>
        <v>31339.993650000004</v>
      </c>
      <c r="N83" s="365">
        <f>N54*'6-y'!M6*100</f>
        <v>31040.766540000004</v>
      </c>
      <c r="O83" s="365">
        <f>O54*'6-y'!N6*100</f>
        <v>25282.535189999999</v>
      </c>
      <c r="P83" s="336">
        <f>P54*'6-y'!O6*100</f>
        <v>23764.129818239995</v>
      </c>
      <c r="Q83" s="365">
        <f>Q54*'6-y'!P6*100</f>
        <v>25149.965950000005</v>
      </c>
      <c r="R83" s="365">
        <f>R54*'6-y'!Q6*100</f>
        <v>23519.06076</v>
      </c>
      <c r="S83" s="365">
        <f>S54*'6-y'!R6*100</f>
        <v>21046.34028</v>
      </c>
      <c r="T83" s="365">
        <f>T54*'6-y'!S6*100</f>
        <v>19255.588139999996</v>
      </c>
      <c r="U83" s="336">
        <f>U54*'6-y'!T6*100</f>
        <v>19688.815442426192</v>
      </c>
      <c r="V83" s="336">
        <f>V54*'6-y'!U6*100</f>
        <v>18722.021686443106</v>
      </c>
      <c r="W83" s="336">
        <f>W54*'6-y'!V6*100</f>
        <v>19119.782158904174</v>
      </c>
      <c r="X83" s="336">
        <f>X54*'6-y'!W6*100</f>
        <v>17032.844983041941</v>
      </c>
      <c r="Y83" s="336">
        <f>Y54*'6-y'!X6*100</f>
        <v>16600.785204528522</v>
      </c>
      <c r="Z83" s="336">
        <f>Z54*'6-y'!Y6*100</f>
        <v>15126.067773000857</v>
      </c>
      <c r="AA83" s="336">
        <f>AA54*'6-y'!Z6*100</f>
        <v>16423.755242189738</v>
      </c>
      <c r="AB83" s="336">
        <f>AB54*'6-y'!AA6*100</f>
        <v>17727.249285373073</v>
      </c>
      <c r="AC83" s="336">
        <f>AC54*'6-y'!AB6*100</f>
        <v>12444.772713528231</v>
      </c>
      <c r="AD83" s="336">
        <f>AD54*'6-y'!AC6*100</f>
        <v>10769.401202230825</v>
      </c>
      <c r="AE83" s="336">
        <f>AE54*'6-y'!AD6*100</f>
        <v>11326.614434851943</v>
      </c>
    </row>
    <row r="84" spans="1:43">
      <c r="A84" t="str">
        <f>A69</f>
        <v>ktep input destinati al calore</v>
      </c>
      <c r="B84" s="356"/>
      <c r="C84" s="356"/>
      <c r="D84" s="366">
        <f t="shared" ref="D84:I84" si="64">D42-D82</f>
        <v>15198.464361626033</v>
      </c>
      <c r="E84" s="366">
        <f t="shared" si="64"/>
        <v>15088.722621928115</v>
      </c>
      <c r="F84" s="119">
        <f t="shared" si="64"/>
        <v>11301.95159157785</v>
      </c>
      <c r="G84" s="119">
        <f>G42-G82</f>
        <v>12060.889127277491</v>
      </c>
      <c r="H84" s="119">
        <f t="shared" si="64"/>
        <v>10973.613233601624</v>
      </c>
      <c r="I84" s="119">
        <f t="shared" si="64"/>
        <v>11852.304196355104</v>
      </c>
      <c r="J84" s="366">
        <f t="shared" ref="J84:V84" si="65">J42-J82</f>
        <v>7922.3849282050942</v>
      </c>
      <c r="K84" s="173">
        <f t="shared" si="65"/>
        <v>5122.8972296999982</v>
      </c>
      <c r="L84" s="119">
        <f t="shared" si="65"/>
        <v>5583.4755299999997</v>
      </c>
      <c r="M84" s="119">
        <f t="shared" si="65"/>
        <v>5449.3620800000026</v>
      </c>
      <c r="N84" s="119">
        <f t="shared" si="65"/>
        <v>5303.5525099999977</v>
      </c>
      <c r="O84" s="119">
        <f t="shared" si="65"/>
        <v>4940.4912200000035</v>
      </c>
      <c r="P84" s="173">
        <f t="shared" si="65"/>
        <v>5421.0303671999973</v>
      </c>
      <c r="Q84" s="119">
        <f t="shared" si="65"/>
        <v>5842.8041599999997</v>
      </c>
      <c r="R84" s="119">
        <f t="shared" si="65"/>
        <v>5367.1236800000006</v>
      </c>
      <c r="S84" s="119">
        <f t="shared" si="65"/>
        <v>5801.4876760000025</v>
      </c>
      <c r="T84" s="119">
        <f t="shared" si="65"/>
        <v>5437.8181400000012</v>
      </c>
      <c r="U84" s="173">
        <f t="shared" si="65"/>
        <v>5765.6196498578865</v>
      </c>
      <c r="V84" s="173">
        <f t="shared" si="65"/>
        <v>5908.6283216298834</v>
      </c>
      <c r="W84" s="173">
        <f t="shared" ref="W84:AB84" si="66">W42-W82</f>
        <v>5906.0810004848572</v>
      </c>
      <c r="X84" s="404">
        <f t="shared" si="66"/>
        <v>5767.6913082186875</v>
      </c>
      <c r="Y84" s="404">
        <f t="shared" si="66"/>
        <v>5826.0118339925466</v>
      </c>
      <c r="Z84" s="404">
        <f t="shared" si="66"/>
        <v>5731.9248700678345</v>
      </c>
      <c r="AA84" s="404">
        <f t="shared" si="66"/>
        <v>5552.2580230725143</v>
      </c>
      <c r="AB84" s="216">
        <f t="shared" si="66"/>
        <v>5480.0278914684277</v>
      </c>
      <c r="AC84" s="216">
        <f>AC42-AC82</f>
        <v>4945.413316136428</v>
      </c>
      <c r="AD84" s="216">
        <f>AD42-AD82</f>
        <v>5017.6801867774921</v>
      </c>
      <c r="AE84" s="216">
        <f>AE42-AE82</f>
        <v>4548.023686493063</v>
      </c>
    </row>
    <row r="85" spans="1:43">
      <c r="B85" s="357"/>
      <c r="C85" s="357"/>
      <c r="D85" s="357">
        <f t="shared" ref="D85:I85" si="67">SUM(D82:D84)</f>
        <v>53895.216621230051</v>
      </c>
      <c r="E85" s="357">
        <f t="shared" si="67"/>
        <v>53655.127362632833</v>
      </c>
      <c r="F85" s="357">
        <f t="shared" si="67"/>
        <v>51823.097315372128</v>
      </c>
      <c r="G85" s="357">
        <f t="shared" si="67"/>
        <v>51450.88031909812</v>
      </c>
      <c r="H85" s="357">
        <f t="shared" si="67"/>
        <v>53146.643091404461</v>
      </c>
      <c r="I85" s="357">
        <f t="shared" si="67"/>
        <v>53770.137792214548</v>
      </c>
      <c r="J85" s="357">
        <f t="shared" ref="J85:O85" si="68">SUM(J82:J84)</f>
        <v>55977.538454189358</v>
      </c>
      <c r="K85" s="173">
        <f t="shared" si="68"/>
        <v>53462.293437100001</v>
      </c>
      <c r="L85" s="119">
        <f t="shared" si="68"/>
        <v>54917.812180000008</v>
      </c>
      <c r="M85" s="119">
        <f t="shared" si="68"/>
        <v>55068.393650000013</v>
      </c>
      <c r="N85" s="119">
        <f t="shared" si="68"/>
        <v>53501.866540000003</v>
      </c>
      <c r="O85" s="119">
        <f t="shared" si="68"/>
        <v>46755.335189999998</v>
      </c>
      <c r="P85" s="173">
        <f>SUM(P82:P84)</f>
        <v>47762.929818239994</v>
      </c>
      <c r="Q85" s="119">
        <f t="shared" ref="Q85:X85" si="69">SUM(Q82:Q84)</f>
        <v>47670.66595000001</v>
      </c>
      <c r="R85" s="119">
        <f t="shared" si="69"/>
        <v>45665.760760000005</v>
      </c>
      <c r="S85" s="119">
        <f t="shared" si="69"/>
        <v>41098.64028</v>
      </c>
      <c r="T85" s="119">
        <f t="shared" si="69"/>
        <v>38300.488140000001</v>
      </c>
      <c r="U85" s="173">
        <f t="shared" si="69"/>
        <v>40343.115442426191</v>
      </c>
      <c r="V85" s="173">
        <f t="shared" si="69"/>
        <v>40886.221686443103</v>
      </c>
      <c r="W85" s="173">
        <f t="shared" si="69"/>
        <v>42043.682158904179</v>
      </c>
      <c r="X85" s="404">
        <f t="shared" si="69"/>
        <v>39108.314983041942</v>
      </c>
      <c r="Y85" s="404">
        <f t="shared" ref="Y85:AD85" si="70">SUM(Y82:Y84)</f>
        <v>39096.485204528522</v>
      </c>
      <c r="Z85" s="404">
        <f t="shared" si="70"/>
        <v>36458.897773000863</v>
      </c>
      <c r="AA85" s="404">
        <f t="shared" si="70"/>
        <v>37644.945242189744</v>
      </c>
      <c r="AB85" s="404">
        <f t="shared" si="70"/>
        <v>39315.659285373069</v>
      </c>
      <c r="AC85" s="404">
        <f t="shared" si="70"/>
        <v>32239.752713528229</v>
      </c>
      <c r="AD85" s="404">
        <f t="shared" si="70"/>
        <v>29818.601202230828</v>
      </c>
      <c r="AE85" s="404">
        <f>SUM(AE82:AE84)</f>
        <v>30632.154521275923</v>
      </c>
    </row>
    <row r="86" spans="1:43">
      <c r="X86" s="342"/>
      <c r="Y86" s="342"/>
      <c r="Z86" s="342"/>
      <c r="AA86" s="342"/>
      <c r="AB86" s="342"/>
      <c r="AC86" s="342"/>
      <c r="AD86" s="342"/>
    </row>
    <row r="87" spans="1:43" ht="15.5">
      <c r="D87" s="313">
        <f t="shared" ref="D87:J87" si="71">D50</f>
        <v>1998</v>
      </c>
      <c r="E87" s="313">
        <f t="shared" si="71"/>
        <v>1999</v>
      </c>
      <c r="F87" s="313">
        <f t="shared" si="71"/>
        <v>2000</v>
      </c>
      <c r="G87" s="313">
        <f t="shared" si="71"/>
        <v>2001</v>
      </c>
      <c r="H87" s="313">
        <f t="shared" si="71"/>
        <v>2002</v>
      </c>
      <c r="I87" s="313">
        <f t="shared" si="71"/>
        <v>2003</v>
      </c>
      <c r="J87" s="313">
        <f t="shared" si="71"/>
        <v>2004</v>
      </c>
      <c r="K87" s="313">
        <f>K50</f>
        <v>2005</v>
      </c>
      <c r="L87" s="313">
        <f t="shared" ref="L87:X87" si="72">L50</f>
        <v>2006</v>
      </c>
      <c r="M87" s="313">
        <f t="shared" si="72"/>
        <v>2007</v>
      </c>
      <c r="N87" s="313">
        <f t="shared" si="72"/>
        <v>2008</v>
      </c>
      <c r="O87" s="313">
        <f t="shared" si="72"/>
        <v>2009</v>
      </c>
      <c r="P87" s="313">
        <f t="shared" si="72"/>
        <v>2010</v>
      </c>
      <c r="Q87" s="313">
        <f t="shared" si="72"/>
        <v>2011</v>
      </c>
      <c r="R87" s="313">
        <f t="shared" si="72"/>
        <v>2012</v>
      </c>
      <c r="S87" s="313">
        <f t="shared" si="72"/>
        <v>2013</v>
      </c>
      <c r="T87" s="313">
        <f t="shared" si="72"/>
        <v>2014</v>
      </c>
      <c r="U87" s="313">
        <f t="shared" si="72"/>
        <v>2015</v>
      </c>
      <c r="V87" s="313">
        <f t="shared" si="72"/>
        <v>2016</v>
      </c>
      <c r="W87" s="313">
        <f t="shared" si="72"/>
        <v>2017</v>
      </c>
      <c r="X87" s="313">
        <f t="shared" si="72"/>
        <v>2018</v>
      </c>
      <c r="Y87" s="313">
        <v>2019</v>
      </c>
      <c r="Z87" s="313">
        <v>2020</v>
      </c>
      <c r="AA87" s="313">
        <v>2021</v>
      </c>
      <c r="AB87" s="313">
        <f>AB4</f>
        <v>2022</v>
      </c>
      <c r="AC87" s="313">
        <f>AC4</f>
        <v>2023</v>
      </c>
      <c r="AD87" s="313">
        <f>AD4</f>
        <v>2024</v>
      </c>
      <c r="AE87" s="313">
        <v>2025</v>
      </c>
      <c r="AF87" s="68">
        <v>2026</v>
      </c>
      <c r="AG87" s="68">
        <v>2027</v>
      </c>
      <c r="AH87" s="68">
        <v>2028</v>
      </c>
      <c r="AI87" s="68">
        <v>2029</v>
      </c>
      <c r="AJ87" s="68">
        <v>2030</v>
      </c>
      <c r="AK87" s="68">
        <v>2032</v>
      </c>
      <c r="AL87" s="68">
        <v>2035</v>
      </c>
      <c r="AM87" s="68">
        <v>2040</v>
      </c>
      <c r="AN87" s="68">
        <v>2045</v>
      </c>
      <c r="AO87" s="68">
        <v>2050</v>
      </c>
      <c r="AP87" s="68">
        <v>2060</v>
      </c>
      <c r="AQ87" s="68">
        <v>2080</v>
      </c>
    </row>
    <row r="88" spans="1:43">
      <c r="A88" s="68" t="str">
        <f>D72 &amp;" - "&amp;C88</f>
        <v>Rend tot - elc+heat/fuel tot</v>
      </c>
      <c r="B88" s="367"/>
      <c r="C88" s="369" t="s">
        <v>514</v>
      </c>
      <c r="D88" s="367">
        <f t="shared" ref="D88:V88" si="73">((D62+D46)*3.6)/(D85*41.868)</f>
        <v>0.49435268679074817</v>
      </c>
      <c r="E88" s="367">
        <f t="shared" si="73"/>
        <v>0.50015772106747303</v>
      </c>
      <c r="F88" s="367">
        <f t="shared" si="73"/>
        <v>0.46256761946323965</v>
      </c>
      <c r="G88" s="367">
        <f t="shared" si="73"/>
        <v>0.46064149451160835</v>
      </c>
      <c r="H88" s="367">
        <f t="shared" si="73"/>
        <v>0.46406346261311482</v>
      </c>
      <c r="I88" s="362">
        <f t="shared" si="73"/>
        <v>0.48080938267795925</v>
      </c>
      <c r="J88" s="362">
        <f t="shared" si="73"/>
        <v>0.45895331902275249</v>
      </c>
      <c r="K88" s="667">
        <f>((K62+K46)*3.6)/(K85*41.868)</f>
        <v>0.49327388836318448</v>
      </c>
      <c r="L88" s="667">
        <f>((L62+L46)*3.6)/(L85*41.868)</f>
        <v>0.50132277882878495</v>
      </c>
      <c r="M88" s="667">
        <f t="shared" si="73"/>
        <v>0.50362627712685271</v>
      </c>
      <c r="N88" s="667">
        <f t="shared" si="73"/>
        <v>0.50854786309701294</v>
      </c>
      <c r="O88" s="667">
        <f t="shared" si="73"/>
        <v>0.50916624557726997</v>
      </c>
      <c r="P88" s="669">
        <f t="shared" si="73"/>
        <v>0.5175673569267023</v>
      </c>
      <c r="Q88" s="667">
        <f t="shared" si="73"/>
        <v>0.52032288873299115</v>
      </c>
      <c r="R88" s="667">
        <f t="shared" si="73"/>
        <v>0.51595198027896105</v>
      </c>
      <c r="S88" s="669">
        <f>((S62+S46)*3.6)/(S85*41.868)</f>
        <v>0.527393398397904</v>
      </c>
      <c r="T88" s="667">
        <f t="shared" si="73"/>
        <v>0.52175149978248692</v>
      </c>
      <c r="U88" s="669">
        <f t="shared" si="73"/>
        <v>0.53565334698547584</v>
      </c>
      <c r="V88" s="667">
        <f t="shared" si="73"/>
        <v>0.54778490693048398</v>
      </c>
      <c r="W88" s="667">
        <f t="shared" ref="W88:AB88" si="74">((W62+W46)*3.6)/(W85*41.868)</f>
        <v>0.55333698150827981</v>
      </c>
      <c r="X88" s="669">
        <f t="shared" si="74"/>
        <v>0.55482571373873157</v>
      </c>
      <c r="Y88" s="667">
        <f>((Y62+Y46)*3.6)/(Y85*41.868)</f>
        <v>0.56297349414953257</v>
      </c>
      <c r="Z88" s="669">
        <f t="shared" si="74"/>
        <v>0.56744063895228924</v>
      </c>
      <c r="AA88" s="667">
        <f t="shared" si="74"/>
        <v>0.56506681683388105</v>
      </c>
      <c r="AB88" s="669">
        <f t="shared" si="74"/>
        <v>0.55963193682016843</v>
      </c>
      <c r="AC88" s="669">
        <f>((AC62+AC46)*3.6)/(AC85*41.868)</f>
        <v>0.56929051535531749</v>
      </c>
      <c r="AD88" s="669">
        <f>((AD62+AD46)*3.6)/(AD85*41.868)</f>
        <v>0.5876779290626386</v>
      </c>
      <c r="AE88" s="669">
        <f>((AE62+AE46)*3.6)/(AE85*41.868)</f>
        <v>0.59611105551080579</v>
      </c>
      <c r="AF88" s="671">
        <v>0.60810287604869273</v>
      </c>
      <c r="AH88" s="671">
        <v>0.61661775054908741</v>
      </c>
      <c r="AJ88" s="671">
        <v>0.63398408717697585</v>
      </c>
      <c r="AK88" s="671">
        <v>0.63348170329299558</v>
      </c>
      <c r="AL88" s="671">
        <v>0.66535661333173146</v>
      </c>
      <c r="AM88" s="671">
        <v>0.67015288623140512</v>
      </c>
      <c r="AN88" s="671">
        <v>0.67418592317741033</v>
      </c>
      <c r="AO88" s="671">
        <v>0.71748322800905007</v>
      </c>
      <c r="AP88" s="671">
        <v>0.63420753713329681</v>
      </c>
      <c r="AQ88" s="671">
        <v>0.71793933284061295</v>
      </c>
    </row>
    <row r="89" spans="1:43">
      <c r="A89" t="str">
        <f>D73 &amp;" - "&amp;C89</f>
        <v>Rend el. eq. - elc/fuel elc</v>
      </c>
      <c r="B89" s="367"/>
      <c r="C89" s="362" t="s">
        <v>515</v>
      </c>
      <c r="D89" s="367">
        <f>D62*3.6/((D82+D83)*41.868)</f>
        <v>0.46212005136519563</v>
      </c>
      <c r="E89" s="367">
        <f>E62*3.6/((E82+E83)*41.868)</f>
        <v>0.466118798113069</v>
      </c>
      <c r="F89" s="367">
        <f>F62*3.6/((F82+F83)*41.868)</f>
        <v>0.46779987139535717</v>
      </c>
      <c r="G89" s="367">
        <f t="shared" ref="G89:V89" si="75">G62*3.6/((G82+G83)*41.868)</f>
        <v>0.4788858751520676</v>
      </c>
      <c r="H89" s="367">
        <f t="shared" si="75"/>
        <v>0.47286418088765442</v>
      </c>
      <c r="I89" s="362">
        <f>I62*3.6/((I82+I83)*41.868)</f>
        <v>0.49801683359050203</v>
      </c>
      <c r="J89" s="362">
        <f t="shared" si="75"/>
        <v>0.44039251326470386</v>
      </c>
      <c r="K89" s="334">
        <f>K62*3.6/((K82+K83)*41.868)</f>
        <v>0.4501565669798841</v>
      </c>
      <c r="L89" s="334">
        <f t="shared" si="75"/>
        <v>0.45692477807850318</v>
      </c>
      <c r="M89" s="334">
        <f t="shared" si="75"/>
        <v>0.46054132993506786</v>
      </c>
      <c r="N89" s="334">
        <f t="shared" si="75"/>
        <v>0.46620226916251101</v>
      </c>
      <c r="O89" s="334">
        <f t="shared" si="75"/>
        <v>0.46604099865314857</v>
      </c>
      <c r="P89" s="334">
        <f>P62*3.6/((P82+P83)*41.868)</f>
        <v>0.46959954903184897</v>
      </c>
      <c r="Q89" s="334">
        <f t="shared" si="75"/>
        <v>0.46975727540218898</v>
      </c>
      <c r="R89" s="334">
        <f t="shared" si="75"/>
        <v>0.46420783941348526</v>
      </c>
      <c r="S89" s="334">
        <f t="shared" si="75"/>
        <v>0.47012164052484134</v>
      </c>
      <c r="T89" s="334">
        <f t="shared" si="75"/>
        <v>0.4609467420230699</v>
      </c>
      <c r="U89" s="334">
        <f t="shared" si="75"/>
        <v>0.47758312649150308</v>
      </c>
      <c r="V89" s="334">
        <f t="shared" si="75"/>
        <v>0.49025268281130641</v>
      </c>
      <c r="W89" s="334">
        <f t="shared" ref="W89:AB89" si="76">W62*3.6/((W82+W83)*41.868)</f>
        <v>0.49843995171338923</v>
      </c>
      <c r="X89" s="334">
        <f t="shared" si="76"/>
        <v>0.49704525429314655</v>
      </c>
      <c r="Y89" s="334">
        <f t="shared" si="76"/>
        <v>0.5058564901157655</v>
      </c>
      <c r="Z89" s="334">
        <f t="shared" si="76"/>
        <v>0.50735750300621152</v>
      </c>
      <c r="AA89" s="334">
        <f t="shared" si="76"/>
        <v>0.5082846073307804</v>
      </c>
      <c r="AB89" s="334">
        <f t="shared" si="76"/>
        <v>0.50624010987379675</v>
      </c>
      <c r="AC89" s="334">
        <f>AC62*3.6/((AC82+AC83)*41.868)</f>
        <v>0.51219513721535048</v>
      </c>
      <c r="AD89" s="334">
        <f>AD62*3.6/((AD82+AD83)*41.868)</f>
        <v>0.52726047903985274</v>
      </c>
      <c r="AE89" s="334">
        <f>AE62*3.6/((AE82+AE83)*41.868)</f>
        <v>0.52726054390305721</v>
      </c>
      <c r="AF89" s="673">
        <v>0.51734677134693197</v>
      </c>
      <c r="AH89" s="673">
        <v>0.54983140579711065</v>
      </c>
      <c r="AJ89" s="673">
        <v>0.57416538568994779</v>
      </c>
      <c r="AK89" s="673">
        <v>0.56866515378371796</v>
      </c>
      <c r="AL89" s="673">
        <v>0.51140082276167342</v>
      </c>
      <c r="AM89" s="673">
        <v>0.50192157434355411</v>
      </c>
      <c r="AN89" s="673">
        <v>0.53411907150429228</v>
      </c>
      <c r="AO89" s="673">
        <v>0.51242786773782178</v>
      </c>
      <c r="AP89" s="673">
        <v>0.52323127344784104</v>
      </c>
      <c r="AQ89" s="673">
        <v>0.53081205958100874</v>
      </c>
    </row>
    <row r="90" spans="1:43">
      <c r="A90" t="str">
        <f>D74 &amp;" - "&amp;C90</f>
        <v>Rend totale CHP - elc+heat/fuel tot</v>
      </c>
      <c r="B90" s="367"/>
      <c r="C90" s="369" t="s">
        <v>514</v>
      </c>
      <c r="D90" s="368">
        <f>(('6-y'!C14+D46/1000)*3.6)/((D82+D84)*41.868)*1000</f>
        <v>0.68019470654912917</v>
      </c>
      <c r="E90" s="368">
        <f>(('6-y'!D14+E46/1000)*3.6)/((E82+E84)*41.868)*1000</f>
        <v>0.696107268177794</v>
      </c>
      <c r="F90" s="367">
        <f>(('6-y'!E14+F46/1000)*3.6)/((F82+F84)*41.868)*1000</f>
        <v>0.63612861700785117</v>
      </c>
      <c r="G90" s="367">
        <f>(('6-y'!F14+G46/1000)*3.6)/((G82+G84)*41.868)*1000</f>
        <v>0.61383644026286743</v>
      </c>
      <c r="H90" s="367">
        <f>(('6-y'!G14+H46/1000)*3.6)/((H82+H84)*41.868)*1000</f>
        <v>0.61263485787501193</v>
      </c>
      <c r="I90" s="369">
        <f>(('6-y'!H14+I46/1000)*3.6)/((I82+I84)*41.868)*1000</f>
        <v>0.62867601758444036</v>
      </c>
      <c r="J90" s="370">
        <f>(('6-y'!I14+J46/1000)*3.6)/((J82+J84)*41.868)*1000</f>
        <v>0.56445929933943895</v>
      </c>
      <c r="K90" s="665">
        <f>(('6-y'!J14+K46/1000)*3.6)/((K82+K84)*41.868)*1000</f>
        <v>0.60033751702532845</v>
      </c>
      <c r="L90" s="665">
        <f>(('6-y'!K14+L46/1000)*3.6)/((L82+L84)*41.868)*1000</f>
        <v>0.60779917300489494</v>
      </c>
      <c r="M90" s="665">
        <f>(('6-y'!L14+M46/1000)*3.6)/((M82+M84)*41.868)*1000</f>
        <v>0.59584900640914251</v>
      </c>
      <c r="N90" s="665">
        <f>(('6-y'!M14+N46/1000)*3.6)/((N82+N84)*41.868)*1000</f>
        <v>0.60495824970313383</v>
      </c>
      <c r="O90" s="665">
        <f>(('6-y'!N14+O46/1000)*3.6)/((O82+O84)*41.868)*1000</f>
        <v>0.60332290695877699</v>
      </c>
      <c r="P90" s="665">
        <f>(('6-y'!O14+P46/1000)*3.6)/((P82+P84)*41.868)*1000</f>
        <v>0.60091834773573316</v>
      </c>
      <c r="Q90" s="665">
        <f>(('6-y'!P14+Q46/1000)*3.6)/((Q82+Q84)*41.868)*1000</f>
        <v>0.6164720435478882</v>
      </c>
      <c r="R90" s="665">
        <f>(('6-y'!Q14+R46/1000)*3.6)/((R82+R84)*41.868)*1000</f>
        <v>0.61069922567041512</v>
      </c>
      <c r="S90" s="665">
        <f>(('6-y'!R14+S46/1000)*3.6)/((S82+S84)*41.868)*1000</f>
        <v>0.64486206369959664</v>
      </c>
      <c r="T90" s="665">
        <f>(('6-y'!S14+T46/1000)*3.6)/((T82+T84)*41.868)*1000</f>
        <v>0.63833565748060017</v>
      </c>
      <c r="U90" s="665">
        <f>(('6-y'!T14+U46/1000)*3.6)/((U82+U84)*41.868)*1000</f>
        <v>0.64587129060447934</v>
      </c>
      <c r="V90" s="665">
        <f>(('6-y'!U14+V46/1000)*3.6)/((V82+V84)*41.868)*1000</f>
        <v>0.64465552042813812</v>
      </c>
      <c r="W90" s="665">
        <f>(('6-y'!V14+W46/1000)*3.6)/((W82+W84)*41.868)*1000</f>
        <v>0.64217747087882182</v>
      </c>
      <c r="X90" s="665">
        <f>(('6-y'!W14+X46/1000)*3.6)/((X82+X84)*41.868)*1000</f>
        <v>0.64089490827163231</v>
      </c>
      <c r="Y90" s="665">
        <f>(('6-y'!X14+Y46/1000)*3.6)/((Y82+Y84)*41.868)*1000</f>
        <v>0.64025430204364653</v>
      </c>
      <c r="Z90" s="665">
        <f>(('6-y'!Y14+Z46/1000)*3.6)/((Z82+Z84)*41.868)*1000</f>
        <v>0.64389301728775117</v>
      </c>
      <c r="AA90" s="665">
        <f>(('6-y'!Z14+AA46/1000)*3.6)/((AA82+AA84)*41.868)*1000</f>
        <v>0.64533559799109108</v>
      </c>
      <c r="AB90" s="665">
        <f>(('6-y'!AA14+AB46/1000)*3.6)/((AB82+AB84)*41.868)*1000</f>
        <v>0.64570210858812294</v>
      </c>
      <c r="AC90" s="665">
        <f>(('6-y'!AB14+AC46/1000)*3.6)/((AC82+AC84)*41.868)*1000</f>
        <v>0.63927548300353576</v>
      </c>
      <c r="AD90" s="665">
        <f>(('6-y'!AC14+AD46/1000)*3.6)/((AD82+AD84)*41.868)*1000</f>
        <v>0.64513100704518722</v>
      </c>
      <c r="AE90" s="665">
        <f>(('6-y'!AD14+AE46/1000)*3.6)/((AE82+AE84)*41.868)*1000</f>
        <v>0.66068209428271407</v>
      </c>
    </row>
    <row r="91" spans="1:43">
      <c r="A91" t="str">
        <f>D75 &amp;" - "&amp;C91</f>
        <v>Rend el. eq. CHP - elc/fuel elc</v>
      </c>
      <c r="B91" s="362"/>
      <c r="C91" s="362" t="s">
        <v>515</v>
      </c>
      <c r="D91" s="371">
        <f>(('6-y'!C14)*3.6)/(D82*41.868)*1000</f>
        <v>1.1171041599165703</v>
      </c>
      <c r="E91" s="371">
        <f>(('6-y'!D14)*3.6)/(E82*41.868)*1000</f>
        <v>1.0927099501629383</v>
      </c>
      <c r="F91" s="362">
        <f>(('6-y'!E14)*3.6)/(F82*41.868)*1000</f>
        <v>1.0979227193101053</v>
      </c>
      <c r="G91" s="362">
        <f>(('6-y'!F14)*3.6)/(G82*41.868)*1000</f>
        <v>1.1299884186047628</v>
      </c>
      <c r="H91" s="362">
        <f>(('6-y'!G14)*3.6)/(H82*41.868)*1000</f>
        <v>0.91688689254752087</v>
      </c>
      <c r="I91" s="362">
        <f>(('6-y'!H14)*3.6)/(I82*41.868)*1000</f>
        <v>1.0481380386393382</v>
      </c>
      <c r="J91" s="371">
        <f>(('6-y'!I14)*3.6)/(J82*41.868)*1000</f>
        <v>0.56006495055926508</v>
      </c>
      <c r="K91" s="666">
        <f>(('6-y'!J14)*3.6)/(K82*41.868)*1000</f>
        <v>0.50484428202565024</v>
      </c>
      <c r="L91" s="666">
        <f>(('6-y'!K14)*3.6)/(L82*41.868)*1000</f>
        <v>0.51395411109323685</v>
      </c>
      <c r="M91" s="666">
        <f>(('6-y'!L14)*3.6)/(M82*41.868)*1000</f>
        <v>0.50638705998762401</v>
      </c>
      <c r="N91" s="666">
        <f>(('6-y'!M14)*3.6)/(N82*41.868)*1000</f>
        <v>0.51580397592020721</v>
      </c>
      <c r="O91" s="666">
        <f>(('6-y'!N14)*3.6)/(O82*41.868)*1000</f>
        <v>0.52238470708322327</v>
      </c>
      <c r="P91" s="666">
        <f>(('6-y'!O14)*3.6)/(P82*41.868)*1000</f>
        <v>0.51591353404321327</v>
      </c>
      <c r="Q91" s="666">
        <f>(('6-y'!P14)*3.6)/(Q82*41.868)*1000</f>
        <v>0.52333854404077007</v>
      </c>
      <c r="R91" s="666">
        <f>(('6-y'!Q14)*3.6)/(R82*41.868)*1000</f>
        <v>0.51673391097294807</v>
      </c>
      <c r="S91" s="666">
        <f>(('6-y'!R14)*3.6)/(S82*41.868)*1000</f>
        <v>0.55082974238243787</v>
      </c>
      <c r="T91" s="666">
        <f>(('6-y'!S14)*3.6)/(T82*41.868)*1000</f>
        <v>0.53807586223966541</v>
      </c>
      <c r="U91" s="666">
        <f>(('6-y'!T14)*3.6)/(U82*41.868)*1000</f>
        <v>0.55369065195613132</v>
      </c>
      <c r="V91" s="666">
        <f>(('6-y'!U14)*3.6)/(V82*41.868)*1000</f>
        <v>0.55607258291853134</v>
      </c>
      <c r="W91" s="666">
        <f>(('6-y'!V14)*3.6)/(W82*41.868)*1000</f>
        <v>0.55643511804230039</v>
      </c>
      <c r="X91" s="666">
        <f>(('6-y'!W14)*3.6)/(X82*41.868)*1000</f>
        <v>0.55320571184897482</v>
      </c>
      <c r="Y91" s="666">
        <f>(('6-y'!X14)*3.6)/(Y82*41.868)*1000</f>
        <v>0.5532658205592963</v>
      </c>
      <c r="Z91" s="666">
        <f>(('6-y'!Y14)*3.6)/(Z82*41.868)*1000</f>
        <v>0.55364481760604289</v>
      </c>
      <c r="AA91" s="666">
        <f>(('6-y'!Z14)*3.6)/(AA82*41.868)*1000</f>
        <v>0.5574788948642857</v>
      </c>
      <c r="AB91" s="666">
        <f>(('6-y'!AA14)*3.6)/(AB82*41.868)*1000</f>
        <v>0.5628334986247604</v>
      </c>
      <c r="AC91" s="666">
        <f>(('6-y'!AB14)*3.6)/(AC82*41.868)*1000</f>
        <v>0.55763835083353497</v>
      </c>
      <c r="AD91" s="666">
        <f>(('6-y'!AC14)*3.6)/(AD82*41.868)*1000</f>
        <v>0.55888751731519792</v>
      </c>
      <c r="AE91" s="666">
        <f>(('6-y'!AD14)*3.6)/(AE82*41.868)*1000</f>
        <v>0.55888751731519792</v>
      </c>
    </row>
    <row r="92" spans="1:43">
      <c r="A92" t="str">
        <f>D76 &amp;" - "&amp;C92</f>
        <v>Rend el. no CHP - elc/fuel tot</v>
      </c>
      <c r="B92" s="362"/>
      <c r="C92" t="s">
        <v>513</v>
      </c>
      <c r="D92" s="362">
        <f>(('6-y'!C6)*3.6)/(D83*41.868)*1000</f>
        <v>0.39294007449844259</v>
      </c>
      <c r="E92" s="362">
        <f>(('6-y'!D6)*3.6)/(E83*41.868)*1000</f>
        <v>0.38902897840740192</v>
      </c>
      <c r="F92" s="362">
        <f>(('6-y'!E6)*3.6)/(F83*41.868)*1000</f>
        <v>0.38310019586881522</v>
      </c>
      <c r="G92" s="362">
        <f>(('6-y'!F6)*3.6)/(G83*41.868)*1000</f>
        <v>0.38277099704929601</v>
      </c>
      <c r="H92" s="362">
        <f>(('6-y'!G6)*3.6)/(H83*41.868)*1000</f>
        <v>0.3889485352930756</v>
      </c>
      <c r="I92" s="362">
        <f>(('6-y'!H6)*3.6)/(I83*41.868)*1000</f>
        <v>0.40582056892779</v>
      </c>
      <c r="J92" s="362">
        <f>(('6-y'!I6)*3.6)/(J83*41.868)*1000</f>
        <v>0.39480112721199112</v>
      </c>
      <c r="K92" s="666">
        <f>(('6-y'!J6)*3.6)/(K83*41.868)*1000</f>
        <v>0.4199199116734747</v>
      </c>
      <c r="L92" s="666">
        <f>(('6-y'!K6)*3.6)/(L83*41.868)*1000</f>
        <v>0.4241959683566775</v>
      </c>
      <c r="M92" s="666">
        <f>(('6-y'!L6)*3.6)/(M83*41.868)*1000</f>
        <v>0.43100011421503026</v>
      </c>
      <c r="N92" s="666">
        <f>(('6-y'!M6)*3.6)/(N83*41.868)*1000</f>
        <v>0.43624821301825734</v>
      </c>
      <c r="O92" s="666">
        <f>(('6-y'!N6)*3.6)/(O83*41.868)*1000</f>
        <v>0.42714616386437421</v>
      </c>
      <c r="P92" s="666">
        <f>(('6-y'!O6)*3.6)/(P83*41.868)*1000</f>
        <v>0.4305831284485328</v>
      </c>
      <c r="Q92" s="666">
        <f>(('6-y'!P6)*3.6)/(Q83*41.868)*1000</f>
        <v>0.43143262812794042</v>
      </c>
      <c r="R92" s="666">
        <f>(('6-y'!Q6)*3.6)/(R83*41.868)*1000</f>
        <v>0.42398679874703415</v>
      </c>
      <c r="S92" s="666">
        <f>(('6-y'!R6)*3.6)/(S83*41.868)*1000</f>
        <v>0.41239579273812249</v>
      </c>
      <c r="T92" s="666">
        <f>(('6-y'!S6)*3.6)/(T83*41.868)*1000</f>
        <v>0.40349377187188434</v>
      </c>
      <c r="U92" s="666">
        <f>(('6-y'!T6)*3.6)/(U83*41.868)*1000</f>
        <v>0.41743171657777883</v>
      </c>
      <c r="V92" s="666">
        <f>(('6-y'!U6)*3.6)/(V83*41.868)*1000</f>
        <v>0.42972554861628376</v>
      </c>
      <c r="W92" s="666">
        <f>(('6-y'!V6)*3.6)/(W83*41.868)*1000</f>
        <v>0.44384798946107612</v>
      </c>
      <c r="X92" s="666">
        <f>(('6-y'!W6)*3.6)/(X83*41.868)*1000</f>
        <v>0.44023234484867019</v>
      </c>
      <c r="Y92" s="666">
        <f>(('6-y'!X6)*3.6)/(Y83*41.868)*1000</f>
        <v>0.45488426291248996</v>
      </c>
      <c r="Z92" s="666">
        <f>(('6-y'!Y6)*3.6)/(Z83*41.868)*1000</f>
        <v>0.45676586081983572</v>
      </c>
      <c r="AA92" s="666">
        <f>(('6-y'!Z6)*3.6)/(AA83*41.868)*1000</f>
        <v>0.45832051361522497</v>
      </c>
      <c r="AB92" s="666">
        <f>(('6-y'!AA6)*3.6)/(AB83*41.868)*1000</f>
        <v>0.45144513695740618</v>
      </c>
      <c r="AC92" s="666">
        <f>(('6-y'!AB6)*3.6)/(AC83*41.868)*1000</f>
        <v>0.4537322732105411</v>
      </c>
      <c r="AD92" s="666">
        <f>(('6-y'!AC6)*3.6)/(AD83*41.868)*1000</f>
        <v>0.48101586125549195</v>
      </c>
      <c r="AE92" s="666">
        <f>(('6-y'!AD6)*3.6)/(AE83*41.868)*1000</f>
        <v>0.48101586125549195</v>
      </c>
      <c r="AF92" s="56"/>
      <c r="AH92" s="56"/>
      <c r="AK92" s="56"/>
      <c r="AL92" s="56"/>
      <c r="AM92" s="56"/>
      <c r="AN92" s="56"/>
    </row>
    <row r="93" spans="1:43">
      <c r="A93" s="68" t="s">
        <v>434</v>
      </c>
      <c r="K93" s="256">
        <f>K43/K84</f>
        <v>0.90012672735156551</v>
      </c>
      <c r="L93" s="256">
        <f t="shared" ref="L93:AA93" si="77">L43/L84</f>
        <v>0.89361354894725875</v>
      </c>
      <c r="M93" s="256">
        <f t="shared" si="77"/>
        <v>0.89593519760529505</v>
      </c>
      <c r="N93" s="256">
        <f t="shared" si="77"/>
        <v>0.89338165712349837</v>
      </c>
      <c r="O93" s="256">
        <f t="shared" si="77"/>
        <v>0.87416547156513735</v>
      </c>
      <c r="P93" s="256">
        <f t="shared" si="77"/>
        <v>0.89222825369266801</v>
      </c>
      <c r="Q93" s="256">
        <f t="shared" si="77"/>
        <v>0.88231542310665256</v>
      </c>
      <c r="R93" s="256">
        <f t="shared" si="77"/>
        <v>0.9044688988520414</v>
      </c>
      <c r="S93" s="256">
        <f t="shared" si="77"/>
        <v>0.8758436736449996</v>
      </c>
      <c r="T93" s="256">
        <f t="shared" si="77"/>
        <v>0.88921628753974336</v>
      </c>
      <c r="U93" s="256">
        <f t="shared" si="77"/>
        <v>0.88391128398854402</v>
      </c>
      <c r="V93" s="256">
        <f t="shared" si="77"/>
        <v>0.88836120164295862</v>
      </c>
      <c r="W93" s="256">
        <f t="shared" si="77"/>
        <v>0.88923602646664657</v>
      </c>
      <c r="X93" s="256">
        <f t="shared" si="77"/>
        <v>0.8888305089309696</v>
      </c>
      <c r="Y93" s="256">
        <f t="shared" si="77"/>
        <v>0.8891502709666792</v>
      </c>
      <c r="Z93" s="256">
        <f t="shared" si="77"/>
        <v>0.88952666275541148</v>
      </c>
      <c r="AA93" s="256">
        <f t="shared" si="77"/>
        <v>0.89327449047239349</v>
      </c>
      <c r="AB93" s="256">
        <f>AB43/AB84</f>
        <v>0.88929196990450687</v>
      </c>
      <c r="AC93" s="256">
        <f>AC43/AC84</f>
        <v>0.88440687254427697</v>
      </c>
      <c r="AD93" s="256">
        <f>AD43/AD84</f>
        <v>0.88630365852199933</v>
      </c>
      <c r="AE93" s="256">
        <f>AE43/AE84</f>
        <v>0.99098713281704709</v>
      </c>
    </row>
    <row r="94" spans="1:43">
      <c r="A94" t="s">
        <v>519</v>
      </c>
      <c r="B94" s="252"/>
      <c r="F94" s="362"/>
      <c r="G94" s="362"/>
      <c r="H94" s="362"/>
      <c r="I94" s="362"/>
      <c r="J94" s="362"/>
      <c r="K94" s="361">
        <f>(SUM(K82,K84)*(K46/(K46+'6-y'!J14*1000))/K84)</f>
        <v>1.4993677753336034</v>
      </c>
      <c r="L94" s="361">
        <f>(SUM(L82,L84)*(L46/(L46+'6-y'!K14*1000))/L84)</f>
        <v>1.4702447595137844</v>
      </c>
      <c r="M94" s="361">
        <f>(SUM(M82,M84)*(M46/(M46+'6-y'!L14*1000))/M84)</f>
        <v>1.5036279123877518</v>
      </c>
      <c r="N94" s="361">
        <f>(SUM(N82,N84)*(N46/(N46+'6-y'!M14*1000))/N84)</f>
        <v>1.4767658058418085</v>
      </c>
      <c r="O94" s="361">
        <f>(SUM(O82,O84)*(O46/(O46+'6-y'!N14*1000))/O84)</f>
        <v>1.4489180859576851</v>
      </c>
      <c r="P94" s="361">
        <f>(SUM(P82,P84)*(P46/(P46+'6-y'!O14*1000))/P84)</f>
        <v>1.4847745239508723</v>
      </c>
      <c r="Q94" s="361">
        <f>(SUM(Q82,Q84)*(Q46/(Q46+'6-y'!P14*1000))/Q84)</f>
        <v>1.4312334717220856</v>
      </c>
      <c r="R94" s="361">
        <f>(SUM(R82,R84)*(R46/(R46+'6-y'!Q14*1000))/R84)</f>
        <v>1.4810382277120642</v>
      </c>
      <c r="S94" s="361">
        <f>(SUM(S82,S84)*(S46/(S46+'6-y'!R14*1000))/S84)</f>
        <v>1.3581876232883869</v>
      </c>
      <c r="T94" s="361">
        <f>(SUM(T82,T84)*(T46/(T46+'6-y'!S14*1000))/T84)</f>
        <v>1.3930230547504199</v>
      </c>
      <c r="U94" s="361">
        <f>(SUM(U82,U84)*(U46/(U46+'6-y'!T14*1000))/U84)</f>
        <v>1.368556393273465</v>
      </c>
      <c r="V94" s="361">
        <f>(SUM(V82,V84)*(V46/(V46+'6-y'!U14*1000))/V84)</f>
        <v>1.3780401679535252</v>
      </c>
      <c r="W94" s="361">
        <f>(SUM(W82,W84)*(W46/(W46+'6-y'!V14*1000))/W84)</f>
        <v>1.384720060717366</v>
      </c>
      <c r="X94" s="361">
        <f>(SUM(X82,X84)*(X46/(X46+'6-y'!W14*1000))/X84)</f>
        <v>1.3868584341354357</v>
      </c>
      <c r="Y94" s="361">
        <f>(SUM(Y82,Y84)*(Y46/(Y46+'6-y'!X14*1000))/Y84)</f>
        <v>1.3887454846122462</v>
      </c>
      <c r="Z94" s="361">
        <f>(SUM(Z82,Z84)*(Z46/(Z46+'6-y'!Y14*1000))/Z84)</f>
        <v>1.3814820767933382</v>
      </c>
      <c r="AA94" s="361">
        <f>(SUM(AA82,AA84)*(AA46/(AA46+'6-y'!Z14*1000))/AA84)</f>
        <v>1.384201480986216</v>
      </c>
      <c r="AB94" s="361">
        <f>(SUM(AB82,AB84)*(AB46/(AB46+'6-y'!AA14*1000))/AB84)</f>
        <v>1.3772480499545092</v>
      </c>
      <c r="AC94" s="361">
        <f>(SUM(AC82,AC84)*(AC46/(AC46+'6-y'!AB14*1000))/AC84)</f>
        <v>1.383451885858394</v>
      </c>
      <c r="AD94" s="361">
        <f>(SUM(AD82,AD84)*(AD46/(AD46+'6-y'!AC14*1000))/AD84)</f>
        <v>1.3738351572673977</v>
      </c>
      <c r="AE94" s="361">
        <f>(SUM(AE82,AE84)*(AE46/(AE46+'6-y'!AD14*1000))/AE84)</f>
        <v>1.4999454978312021</v>
      </c>
    </row>
    <row r="95" spans="1:43">
      <c r="A95" t="s">
        <v>520</v>
      </c>
      <c r="F95" s="362">
        <f>F54/E54-1</f>
        <v>3.3644859813084071E-2</v>
      </c>
      <c r="G95" s="362">
        <f t="shared" ref="G95:Z95" si="78">G54/F54-1</f>
        <v>-3.3001808318264159E-2</v>
      </c>
      <c r="H95" s="362">
        <f t="shared" si="78"/>
        <v>1.4025245441795287E-2</v>
      </c>
      <c r="I95" s="362">
        <f t="shared" si="78"/>
        <v>-2.0746887966804906E-2</v>
      </c>
      <c r="J95" s="362">
        <f>J56/I56-1</f>
        <v>2.7911373489776903E-2</v>
      </c>
      <c r="K95" s="362">
        <f>K56/J56-1</f>
        <v>-5.9796246875187697E-2</v>
      </c>
      <c r="L95" s="362">
        <f t="shared" si="78"/>
        <v>-1.0080380301039082E-2</v>
      </c>
      <c r="M95" s="362">
        <f t="shared" si="78"/>
        <v>-1.5786877158362134E-2</v>
      </c>
      <c r="N95" s="362">
        <f t="shared" si="78"/>
        <v>-1.2030075187969946E-2</v>
      </c>
      <c r="O95" s="362">
        <f t="shared" si="78"/>
        <v>2.130898021308969E-2</v>
      </c>
      <c r="P95" s="362">
        <f t="shared" si="78"/>
        <v>-7.9821162444113636E-3</v>
      </c>
      <c r="Q95" s="362">
        <f t="shared" si="78"/>
        <v>-1.9690204774122089E-3</v>
      </c>
      <c r="R95" s="362">
        <f t="shared" si="78"/>
        <v>1.7561465127947873E-2</v>
      </c>
      <c r="S95" s="362">
        <f t="shared" si="78"/>
        <v>2.8106508875739511E-2</v>
      </c>
      <c r="T95" s="362">
        <f t="shared" si="78"/>
        <v>2.2062350119903984E-2</v>
      </c>
      <c r="U95" s="362">
        <f t="shared" si="78"/>
        <v>-3.3389759695697463E-2</v>
      </c>
      <c r="V95" s="362">
        <f t="shared" si="78"/>
        <v>-2.8608566742403418E-2</v>
      </c>
      <c r="W95" s="362">
        <f t="shared" si="78"/>
        <v>-3.1818192669837098E-2</v>
      </c>
      <c r="X95" s="362">
        <f t="shared" si="78"/>
        <v>8.2130371716526707E-3</v>
      </c>
      <c r="Y95" s="362">
        <f t="shared" si="78"/>
        <v>-3.2210210944665363E-2</v>
      </c>
      <c r="Z95" s="362">
        <f t="shared" si="78"/>
        <v>-4.1193926007703219E-3</v>
      </c>
      <c r="AA95" s="362">
        <f t="shared" ref="AA95:AE96" si="79">AA54/Z54-1</f>
        <v>-3.3920646124393494E-3</v>
      </c>
      <c r="AB95" s="362">
        <f t="shared" si="79"/>
        <v>1.5229705882217948E-2</v>
      </c>
      <c r="AC95" s="362">
        <f t="shared" si="79"/>
        <v>-5.040717595315769E-3</v>
      </c>
      <c r="AD95" s="362">
        <f t="shared" si="79"/>
        <v>-5.6720765867758205E-2</v>
      </c>
      <c r="AE95" s="362">
        <f t="shared" si="79"/>
        <v>0</v>
      </c>
    </row>
    <row r="96" spans="1:43">
      <c r="A96" t="s">
        <v>523</v>
      </c>
      <c r="F96" s="362">
        <f t="shared" ref="F96:Z96" si="80">F55/E55-1</f>
        <v>-2.5238362310712192E-2</v>
      </c>
      <c r="G96" s="362">
        <f t="shared" si="80"/>
        <v>3.4522439585730647E-2</v>
      </c>
      <c r="H96" s="362">
        <f t="shared" si="80"/>
        <v>-2.2803114571746441E-2</v>
      </c>
      <c r="I96" s="362">
        <f t="shared" si="80"/>
        <v>-1.821286283437662E-2</v>
      </c>
      <c r="J96" s="362">
        <f>J57/I57-1</f>
        <v>0.87145801141938461</v>
      </c>
      <c r="K96" s="362">
        <f>K57/J57-1</f>
        <v>0.10933265792335423</v>
      </c>
      <c r="L96" s="362">
        <f t="shared" si="80"/>
        <v>-1.7724985306974195E-2</v>
      </c>
      <c r="M96" s="362">
        <f t="shared" si="80"/>
        <v>1.4943215780035768E-2</v>
      </c>
      <c r="N96" s="362">
        <f t="shared" si="80"/>
        <v>-1.8256772673733712E-2</v>
      </c>
      <c r="O96" s="362">
        <f t="shared" si="80"/>
        <v>-1.2597480503899305E-2</v>
      </c>
      <c r="P96" s="362">
        <f t="shared" si="80"/>
        <v>1.2543134872418094E-2</v>
      </c>
      <c r="Q96" s="362">
        <f t="shared" si="80"/>
        <v>-1.4187775928421575E-2</v>
      </c>
      <c r="R96" s="362">
        <f t="shared" si="80"/>
        <v>1.2781497261107777E-2</v>
      </c>
      <c r="S96" s="372">
        <f t="shared" si="80"/>
        <v>-6.1899038461538436E-2</v>
      </c>
      <c r="T96" s="362">
        <f t="shared" si="80"/>
        <v>2.3702754644458812E-2</v>
      </c>
      <c r="U96" s="362">
        <f t="shared" si="80"/>
        <v>-2.8201288321015539E-2</v>
      </c>
      <c r="V96" s="362">
        <f t="shared" si="80"/>
        <v>-4.2834893061957091E-3</v>
      </c>
      <c r="W96" s="362">
        <f t="shared" si="80"/>
        <v>-6.5153170965281948E-4</v>
      </c>
      <c r="X96" s="362">
        <f t="shared" si="80"/>
        <v>5.8376226495060468E-3</v>
      </c>
      <c r="Y96" s="362">
        <f t="shared" si="80"/>
        <v>-1.0864345507699547E-4</v>
      </c>
      <c r="Z96" s="362">
        <f t="shared" si="80"/>
        <v>-6.845490731498538E-4</v>
      </c>
      <c r="AA96" s="362">
        <f t="shared" si="79"/>
        <v>-6.8775289855165234E-3</v>
      </c>
      <c r="AB96" s="362">
        <f t="shared" si="79"/>
        <v>-9.5136550570611433E-3</v>
      </c>
      <c r="AC96" s="362">
        <f t="shared" si="79"/>
        <v>9.316338776664157E-3</v>
      </c>
      <c r="AD96" s="362">
        <f t="shared" si="79"/>
        <v>-2.2350946173637087E-3</v>
      </c>
      <c r="AE96" s="362">
        <f t="shared" si="79"/>
        <v>0</v>
      </c>
    </row>
    <row r="97" spans="1:44">
      <c r="A97" t="s">
        <v>526</v>
      </c>
      <c r="X97" s="342"/>
      <c r="Y97" s="342"/>
      <c r="Z97" s="342"/>
      <c r="AA97" s="342"/>
      <c r="AB97" s="342"/>
      <c r="AC97" s="342"/>
      <c r="AD97" s="342"/>
      <c r="AE97" s="342"/>
    </row>
    <row r="98" spans="1:44">
      <c r="A98" t="s">
        <v>525</v>
      </c>
      <c r="K98" s="147">
        <f>'6-x'!P1021</f>
        <v>16082.700285999998</v>
      </c>
      <c r="P98" s="147">
        <f>'6-x'!P938</f>
        <v>18577.766493060095</v>
      </c>
      <c r="U98" s="147">
        <f>'6-x'!P854</f>
        <v>14888.680118467564</v>
      </c>
      <c r="V98" s="147">
        <f>'6-x'!P769</f>
        <v>16255.576133467088</v>
      </c>
      <c r="W98" s="147">
        <f>'6-x'!P684</f>
        <v>17017.822170679276</v>
      </c>
      <c r="X98" s="405">
        <f>'6-x'!P596</f>
        <v>16307.777706840547</v>
      </c>
      <c r="Y98" s="405">
        <f>'6-x'!P504</f>
        <v>16669.686949937895</v>
      </c>
      <c r="Z98" s="405">
        <f>'6-x'!P412</f>
        <v>15600.905129932169</v>
      </c>
      <c r="AA98" s="405">
        <f>'6-x'!P320</f>
        <v>15668.931976927488</v>
      </c>
      <c r="AB98" s="405">
        <f>'6-x'!P228</f>
        <v>16108.382108531574</v>
      </c>
      <c r="AC98" s="405">
        <f>'6-x'!P136</f>
        <v>14849.566683863573</v>
      </c>
      <c r="AD98" s="405">
        <f>'6-x'!$P$42</f>
        <v>14031.519813222509</v>
      </c>
      <c r="AE98" s="715">
        <f>'6-x'!$P$42</f>
        <v>14031.519813222509</v>
      </c>
    </row>
    <row r="99" spans="1:44">
      <c r="K99" s="147">
        <f>'6-x'!P1022</f>
        <v>32256.689559999992</v>
      </c>
      <c r="P99" s="147">
        <f>'6-x'!P939</f>
        <v>23764.132703118368</v>
      </c>
      <c r="U99" s="147">
        <f>'6-x'!P855</f>
        <v>19688.820441688164</v>
      </c>
      <c r="V99" s="147">
        <f>'6-x'!P770</f>
        <v>18722.018514426287</v>
      </c>
      <c r="W99" s="147">
        <f>'6-x'!P685</f>
        <v>19119.779453162319</v>
      </c>
      <c r="X99" s="405">
        <f>'6-x'!P597</f>
        <v>17032.840165997899</v>
      </c>
      <c r="Y99" s="405">
        <f>'6-x'!P505</f>
        <v>16600.785035110344</v>
      </c>
      <c r="Z99" s="405">
        <f>'6-x'!P413</f>
        <v>15126.067773000857</v>
      </c>
      <c r="AA99" s="405">
        <f>'6-x'!P321</f>
        <v>16423.755242189738</v>
      </c>
      <c r="AB99" s="405">
        <f>'6-x'!P229</f>
        <v>17727.249285373076</v>
      </c>
      <c r="AC99" s="405">
        <f>'6-x'!P137</f>
        <v>12444.772713528231</v>
      </c>
      <c r="AD99" s="405">
        <f>'6-x'!$P$43</f>
        <v>10769.401202230822</v>
      </c>
      <c r="AE99" s="715">
        <f>'6-x'!$P$43</f>
        <v>10769.401202230822</v>
      </c>
    </row>
    <row r="100" spans="1:44">
      <c r="K100" s="147">
        <f>'6-x'!P1023</f>
        <v>5122.8997140000047</v>
      </c>
      <c r="P100" s="147">
        <f>'6-x'!P940</f>
        <v>5421.033506939908</v>
      </c>
      <c r="U100" s="147">
        <f>'6-x'!P856</f>
        <v>5765.6198815324315</v>
      </c>
      <c r="V100" s="147">
        <f>'6-x'!P771</f>
        <v>5908.6238665329092</v>
      </c>
      <c r="W100" s="147">
        <f>'6-x'!P686</f>
        <v>5906.0778293207259</v>
      </c>
      <c r="X100" s="405">
        <f>'6-x'!P598</f>
        <v>5767.6922931594545</v>
      </c>
      <c r="Y100" s="405">
        <f>'6-x'!P506</f>
        <v>5826.0130500621053</v>
      </c>
      <c r="Z100" s="405">
        <f>'6-x'!P414</f>
        <v>5731.9248700678327</v>
      </c>
      <c r="AA100" s="405">
        <f>'6-x'!P322</f>
        <v>5552.2580230725143</v>
      </c>
      <c r="AB100" s="405">
        <f>'6-x'!P230</f>
        <v>5480.0278914684259</v>
      </c>
      <c r="AC100" s="405">
        <f>'6-x'!P138</f>
        <v>4945.4133161364261</v>
      </c>
      <c r="AD100" s="405">
        <f>'6-x'!$P$44</f>
        <v>5017.6801867774921</v>
      </c>
      <c r="AE100" s="715">
        <f>'6-x'!$P$44</f>
        <v>5017.6801867774921</v>
      </c>
    </row>
    <row r="101" spans="1:44">
      <c r="K101" s="168">
        <f>K82-K98</f>
        <v>2.4843000028340612E-3</v>
      </c>
      <c r="P101" s="168">
        <f>P82-P98</f>
        <v>3.1397399070556276E-3</v>
      </c>
      <c r="U101" s="168">
        <f t="shared" ref="U101:AA101" si="81">U82-U98</f>
        <v>2.3167454855865799E-4</v>
      </c>
      <c r="V101" s="168">
        <f t="shared" si="81"/>
        <v>-4.4550969705596799E-3</v>
      </c>
      <c r="W101" s="168">
        <f t="shared" si="81"/>
        <v>-3.1711641313449945E-3</v>
      </c>
      <c r="X101" s="215">
        <f t="shared" si="81"/>
        <v>9.8494076701172162E-4</v>
      </c>
      <c r="Y101" s="215">
        <f t="shared" si="81"/>
        <v>1.2160695587226655E-3</v>
      </c>
      <c r="Z101" s="215">
        <f t="shared" si="81"/>
        <v>0</v>
      </c>
      <c r="AA101" s="215">
        <f t="shared" si="81"/>
        <v>0</v>
      </c>
      <c r="AB101" s="215">
        <f t="shared" ref="AB101:AC103" si="82">AB82-AB98</f>
        <v>0</v>
      </c>
      <c r="AC101" s="215">
        <f t="shared" si="82"/>
        <v>0</v>
      </c>
      <c r="AD101" s="716">
        <f t="shared" ref="AD101:AE103" si="83">AD82-AD98</f>
        <v>0</v>
      </c>
      <c r="AE101" s="716">
        <f t="shared" si="83"/>
        <v>725.99658670840654</v>
      </c>
    </row>
    <row r="102" spans="1:44">
      <c r="K102" s="168">
        <f>K83-K99</f>
        <v>3.8771000072301831E-3</v>
      </c>
      <c r="P102" s="168">
        <f>P83-P99</f>
        <v>-2.8848783731518779E-3</v>
      </c>
      <c r="U102" s="168">
        <f t="shared" ref="U102:W103" si="84">U83-U99</f>
        <v>-4.999261971533997E-3</v>
      </c>
      <c r="V102" s="168">
        <f t="shared" si="84"/>
        <v>3.1720168190076947E-3</v>
      </c>
      <c r="W102" s="168">
        <f t="shared" si="84"/>
        <v>2.7057418556069024E-3</v>
      </c>
      <c r="X102" s="215">
        <f t="shared" ref="X102:Z103" si="85">X83-X99</f>
        <v>4.8170440422836691E-3</v>
      </c>
      <c r="Y102" s="215">
        <f t="shared" si="85"/>
        <v>1.6941817739279941E-4</v>
      </c>
      <c r="Z102" s="215">
        <f>Z83-Z99</f>
        <v>0</v>
      </c>
      <c r="AA102" s="215">
        <f>AA83-AA99</f>
        <v>0</v>
      </c>
      <c r="AB102" s="215">
        <f t="shared" si="82"/>
        <v>0</v>
      </c>
      <c r="AC102" s="215">
        <f t="shared" si="82"/>
        <v>0</v>
      </c>
      <c r="AD102" s="716">
        <f t="shared" si="83"/>
        <v>0</v>
      </c>
      <c r="AE102" s="716">
        <f t="shared" si="83"/>
        <v>557.21323262112128</v>
      </c>
    </row>
    <row r="103" spans="1:44">
      <c r="K103" s="168">
        <f>K84-K100</f>
        <v>-2.48430000647204E-3</v>
      </c>
      <c r="P103" s="168">
        <f>P84-P100</f>
        <v>-3.1397399106936064E-3</v>
      </c>
      <c r="U103" s="168">
        <f t="shared" si="84"/>
        <v>-2.3167454492067918E-4</v>
      </c>
      <c r="V103" s="168">
        <f t="shared" si="84"/>
        <v>4.4550969741976587E-3</v>
      </c>
      <c r="W103" s="168">
        <f t="shared" si="84"/>
        <v>3.1711641313449945E-3</v>
      </c>
      <c r="X103" s="215">
        <f t="shared" si="85"/>
        <v>-9.8494076701172162E-4</v>
      </c>
      <c r="Y103" s="215">
        <f t="shared" si="85"/>
        <v>-1.2160695587226655E-3</v>
      </c>
      <c r="Z103" s="215">
        <f t="shared" si="85"/>
        <v>0</v>
      </c>
      <c r="AA103" s="215">
        <f>AA84-AA100</f>
        <v>0</v>
      </c>
      <c r="AB103" s="215">
        <f t="shared" si="82"/>
        <v>0</v>
      </c>
      <c r="AC103" s="215">
        <f t="shared" si="82"/>
        <v>0</v>
      </c>
      <c r="AD103" s="716">
        <f t="shared" si="83"/>
        <v>0</v>
      </c>
      <c r="AE103" s="716">
        <f t="shared" si="83"/>
        <v>-469.65650028442906</v>
      </c>
    </row>
    <row r="104" spans="1:44">
      <c r="X104" s="342"/>
      <c r="Y104" s="342"/>
      <c r="Z104" s="342"/>
      <c r="AA104" s="342"/>
      <c r="AB104" s="342"/>
      <c r="AC104" s="342"/>
      <c r="AD104" s="342"/>
    </row>
    <row r="105" spans="1:44">
      <c r="A105" s="68" t="str">
        <f>"Rend el.  - "&amp;C92</f>
        <v>Rend el.  - elc/fuel tot</v>
      </c>
      <c r="B105" s="68"/>
      <c r="C105" s="68" t="s">
        <v>513</v>
      </c>
      <c r="D105" s="68"/>
      <c r="E105" s="68"/>
      <c r="F105" s="68"/>
      <c r="G105" s="68"/>
      <c r="H105" s="68"/>
      <c r="I105" s="68"/>
      <c r="J105" s="68"/>
      <c r="K105" s="667">
        <f>K62*3.6/((K82+K83+K84)*41.868)</f>
        <v>0.40702138362629836</v>
      </c>
      <c r="L105" s="667">
        <f t="shared" ref="L105:W105" si="86">L62*3.6/((L82+L83+L84)*41.868)</f>
        <v>0.41046938926785587</v>
      </c>
      <c r="M105" s="667">
        <f t="shared" si="86"/>
        <v>0.41496788402030887</v>
      </c>
      <c r="N105" s="667">
        <f t="shared" si="86"/>
        <v>0.41998840084941258</v>
      </c>
      <c r="O105" s="667">
        <f t="shared" si="86"/>
        <v>0.41679589212895529</v>
      </c>
      <c r="P105" s="669">
        <f>P62*3.6/((P82+P83+P84)*41.868)</f>
        <v>0.41630061143709302</v>
      </c>
      <c r="Q105" s="667">
        <f t="shared" si="86"/>
        <v>0.41218099220553739</v>
      </c>
      <c r="R105" s="667">
        <f t="shared" si="86"/>
        <v>0.40964921943446364</v>
      </c>
      <c r="S105" s="669">
        <f t="shared" si="86"/>
        <v>0.40375922840745021</v>
      </c>
      <c r="T105" s="667">
        <f t="shared" si="86"/>
        <v>0.39550254856567157</v>
      </c>
      <c r="U105" s="669">
        <f t="shared" si="86"/>
        <v>0.40932953158831331</v>
      </c>
      <c r="V105" s="667">
        <f t="shared" si="86"/>
        <v>0.41940434400834975</v>
      </c>
      <c r="W105" s="667">
        <f t="shared" si="86"/>
        <v>0.42842166174604429</v>
      </c>
      <c r="X105" s="670">
        <f t="shared" ref="X105:AC105" si="87">X62*3.6/((X82+X83+X84)*41.868)</f>
        <v>0.42374105813381252</v>
      </c>
      <c r="Y105" s="668">
        <f t="shared" si="87"/>
        <v>0.43047565006585176</v>
      </c>
      <c r="Z105" s="670">
        <f t="shared" si="87"/>
        <v>0.42759274687991955</v>
      </c>
      <c r="AA105" s="668">
        <f t="shared" si="87"/>
        <v>0.43331764241954573</v>
      </c>
      <c r="AB105" s="670">
        <f t="shared" si="87"/>
        <v>0.4356776425944916</v>
      </c>
      <c r="AC105" s="670">
        <f t="shared" si="87"/>
        <v>0.43362702056282326</v>
      </c>
      <c r="AD105" s="670">
        <f>AD62*3.6/((AD82+AD83+AD84)*41.868)</f>
        <v>0.43853651640302893</v>
      </c>
      <c r="AE105" s="670">
        <f>AE62*3.6/((AE82+AE83+AE84)*41.868)</f>
        <v>0.44897700557215842</v>
      </c>
      <c r="AF105" s="671">
        <v>0.43987326880343719</v>
      </c>
      <c r="AH105" s="671">
        <v>0.43835938233276989</v>
      </c>
      <c r="AK105" s="671">
        <v>0.42837225834561127</v>
      </c>
      <c r="AL105" s="671">
        <v>0.43688638906970484</v>
      </c>
      <c r="AM105" s="671">
        <v>0.43190317682934448</v>
      </c>
      <c r="AN105" s="671">
        <v>0.43504123577174636</v>
      </c>
      <c r="AO105" s="671">
        <v>0.43063545183958996</v>
      </c>
      <c r="AP105" s="671">
        <v>0.4438761830745756</v>
      </c>
      <c r="AQ105" s="671">
        <v>0.48105462833984464</v>
      </c>
      <c r="AR105" s="671">
        <v>0.53661033136680758</v>
      </c>
    </row>
    <row r="106" spans="1:44">
      <c r="A106" t="str">
        <f>"Rend el. CHP"&amp; " - "&amp;C106</f>
        <v>Rend el. CHP - elc/fuel tot</v>
      </c>
      <c r="C106" t="s">
        <v>513</v>
      </c>
      <c r="K106" s="666">
        <f>(('6-y'!J14)*3.6)/((K82+K84)*41.868)*1000</f>
        <v>0.38288284854491461</v>
      </c>
      <c r="L106" s="666">
        <f>(('6-y'!K14)*3.6)/((L82+L84)*41.868)*1000</f>
        <v>0.38691379399241171</v>
      </c>
      <c r="M106" s="666">
        <f>(('6-y'!L14)*3.6)/((M82+M84)*41.868)*1000</f>
        <v>0.39009239020376812</v>
      </c>
      <c r="N106" s="666">
        <f>(('6-y'!M14)*3.6)/((N82+N84)*41.868)*1000</f>
        <v>0.39401147817256377</v>
      </c>
      <c r="O106" s="666">
        <f>(('6-y'!N14)*3.6)/((O82+O84)*41.868)*1000</f>
        <v>0.40219371853925423</v>
      </c>
      <c r="P106" s="666">
        <f>(('6-y'!O14)*3.6)/((P82+P84)*41.868)*1000</f>
        <v>0.39937508483334744</v>
      </c>
      <c r="Q106" s="666">
        <f>(('6-y'!P14)*3.6)/((Q82+Q84)*41.868)*1000</f>
        <v>0.3875628078420838</v>
      </c>
      <c r="R106" s="666">
        <f>(('6-y'!Q14)*3.6)/((R82+R84)*41.868)*1000</f>
        <v>0.3915064590346492</v>
      </c>
      <c r="S106" s="666">
        <f>(('6-y'!R14)*3.6)/((S82+S84)*41.868)*1000</f>
        <v>0.39146488338840868</v>
      </c>
      <c r="T106" s="666">
        <f>(('6-y'!S14)*3.6)/((T82+T84)*41.868)*1000</f>
        <v>0.38444109994724096</v>
      </c>
      <c r="U106" s="666">
        <f>(('6-y'!T14)*3.6)/((U82+U84)*41.868)*1000</f>
        <v>0.39912866230453847</v>
      </c>
      <c r="V106" s="666">
        <f>(('6-y'!U14)*3.6)/((V82+V84)*41.868)*1000</f>
        <v>0.40783234811130548</v>
      </c>
      <c r="W106" s="666">
        <f>(('6-y'!V14)*3.6)/((W82+W84)*41.868)*1000</f>
        <v>0.41307596542550395</v>
      </c>
      <c r="X106" s="666">
        <f>(('6-y'!W14)*3.6)/((X82+X84)*41.868)*1000</f>
        <v>0.40866882199393367</v>
      </c>
      <c r="Y106" s="666">
        <f>(('6-y'!X14)*3.6)/((Y82+Y84)*41.868)*1000</f>
        <v>0.40997918276087014</v>
      </c>
      <c r="Z106" s="666">
        <f>(('6-y'!Y14)*3.6)/((Z82+Z84)*41.868)*1000</f>
        <v>0.40488581567239196</v>
      </c>
      <c r="AA106" s="666">
        <f>(('6-y'!Z14)*3.6)/((AA82+AA84)*41.868)*1000</f>
        <v>0.41162153876390545</v>
      </c>
      <c r="AB106" s="666">
        <f>(('6-y'!AA14)*3.6)/((AB82+AB84)*41.868)*1000</f>
        <v>0.41996316816890733</v>
      </c>
      <c r="AC106" s="666">
        <f>(('6-y'!AB14)*3.6)/((AC82+AC84)*41.868)*1000</f>
        <v>0.41832261897623979</v>
      </c>
      <c r="AD106" s="666">
        <f>(('6-y'!AC14)*3.6)/((AD82+AD84)*41.868)*1000</f>
        <v>0.41167299795114426</v>
      </c>
      <c r="AE106" s="666">
        <f>(('6-y'!AD14)*3.6)/((AE82+AE84)*41.868)*1000</f>
        <v>0.42722408518867133</v>
      </c>
      <c r="AF106" s="673">
        <v>0.42538256748298042</v>
      </c>
      <c r="AH106" s="673">
        <v>0.42948086251049999</v>
      </c>
      <c r="AK106" s="673">
        <v>0.44147089273726076</v>
      </c>
      <c r="AL106" s="673">
        <v>0.44582655340607064</v>
      </c>
      <c r="AM106" s="673">
        <v>0.40512108091811938</v>
      </c>
      <c r="AN106" s="673">
        <v>0.3932261198751133</v>
      </c>
      <c r="AO106" s="673">
        <v>0.41480278937617088</v>
      </c>
      <c r="AP106" s="673">
        <v>0.40452754752704673</v>
      </c>
      <c r="AQ106" s="673">
        <v>0.39449624050102877</v>
      </c>
      <c r="AR106" s="673">
        <v>0.38534670322182979</v>
      </c>
    </row>
    <row r="107" spans="1:44">
      <c r="X107" s="342"/>
      <c r="Y107" s="342"/>
      <c r="Z107" s="342"/>
      <c r="AA107" s="342"/>
      <c r="AB107" s="342"/>
      <c r="AC107" s="342"/>
      <c r="AD107" s="342"/>
    </row>
    <row r="108" spans="1:44">
      <c r="L108" s="68">
        <f>L87</f>
        <v>2006</v>
      </c>
      <c r="M108" s="68">
        <f t="shared" ref="M108:AB108" si="88">M87</f>
        <v>2007</v>
      </c>
      <c r="N108" s="68">
        <f t="shared" si="88"/>
        <v>2008</v>
      </c>
      <c r="O108" s="68">
        <f t="shared" si="88"/>
        <v>2009</v>
      </c>
      <c r="P108" s="68">
        <f t="shared" si="88"/>
        <v>2010</v>
      </c>
      <c r="Q108" s="68">
        <f t="shared" si="88"/>
        <v>2011</v>
      </c>
      <c r="R108" s="68">
        <f t="shared" si="88"/>
        <v>2012</v>
      </c>
      <c r="S108" s="68">
        <f t="shared" si="88"/>
        <v>2013</v>
      </c>
      <c r="T108" s="68">
        <f t="shared" si="88"/>
        <v>2014</v>
      </c>
      <c r="U108" s="68">
        <f t="shared" si="88"/>
        <v>2015</v>
      </c>
      <c r="V108" s="68">
        <f t="shared" si="88"/>
        <v>2016</v>
      </c>
      <c r="W108" s="68">
        <f t="shared" si="88"/>
        <v>2017</v>
      </c>
      <c r="X108" s="68">
        <f t="shared" si="88"/>
        <v>2018</v>
      </c>
      <c r="Y108" s="68">
        <f t="shared" si="88"/>
        <v>2019</v>
      </c>
      <c r="Z108" s="68">
        <f t="shared" si="88"/>
        <v>2020</v>
      </c>
      <c r="AA108" s="68">
        <f t="shared" si="88"/>
        <v>2021</v>
      </c>
      <c r="AB108" s="68">
        <f t="shared" si="88"/>
        <v>2022</v>
      </c>
      <c r="AC108" s="68">
        <f>AC87</f>
        <v>2023</v>
      </c>
      <c r="AD108" s="68">
        <f>AD87</f>
        <v>2024</v>
      </c>
      <c r="AE108" s="68">
        <f>AE87</f>
        <v>2025</v>
      </c>
    </row>
    <row r="109" spans="1:44">
      <c r="A109" s="68" t="str">
        <f t="shared" ref="A109:C115" si="89">G109</f>
        <v>Rend tot - elc+heat/fuel tot</v>
      </c>
      <c r="B109" s="68"/>
      <c r="C109" s="68" t="str">
        <f t="shared" si="89"/>
        <v>elc+heat/fuel tot</v>
      </c>
      <c r="G109" s="68" t="str">
        <f>A88</f>
        <v>Rend tot - elc+heat/fuel tot</v>
      </c>
      <c r="H109" s="68"/>
      <c r="I109" s="68" t="str">
        <f>C88</f>
        <v>elc+heat/fuel tot</v>
      </c>
      <c r="J109" t="s">
        <v>522</v>
      </c>
      <c r="K109" t="str">
        <f>A88</f>
        <v>Rend tot - elc+heat/fuel tot</v>
      </c>
      <c r="L109" s="56">
        <f>L88/K88-1</f>
        <v>1.6317284688043943E-2</v>
      </c>
      <c r="M109" s="56">
        <f t="shared" ref="M109:AE113" si="90">M88/L88-1</f>
        <v>4.5948406801887831E-3</v>
      </c>
      <c r="N109" s="56">
        <f t="shared" si="90"/>
        <v>9.7722978201961741E-3</v>
      </c>
      <c r="O109" s="56">
        <f t="shared" si="90"/>
        <v>1.215976951493003E-3</v>
      </c>
      <c r="P109" s="56">
        <f t="shared" si="90"/>
        <v>1.6499741336756468E-2</v>
      </c>
      <c r="Q109" s="56">
        <f t="shared" si="90"/>
        <v>5.3240061789272541E-3</v>
      </c>
      <c r="R109" s="56">
        <f t="shared" si="90"/>
        <v>-8.4003770517830922E-3</v>
      </c>
      <c r="S109" s="56">
        <f t="shared" si="90"/>
        <v>2.2175354599389019E-2</v>
      </c>
      <c r="T109" s="56">
        <f t="shared" si="90"/>
        <v>-1.0697704280250409E-2</v>
      </c>
      <c r="U109" s="56">
        <f t="shared" si="90"/>
        <v>2.6644575451693964E-2</v>
      </c>
      <c r="V109" s="56">
        <f t="shared" si="90"/>
        <v>2.2648154843578405E-2</v>
      </c>
      <c r="W109" s="56">
        <f t="shared" si="90"/>
        <v>1.0135501193172525E-2</v>
      </c>
      <c r="X109" s="56">
        <f t="shared" si="90"/>
        <v>2.6904621960994746E-3</v>
      </c>
      <c r="Y109" s="56">
        <f t="shared" si="90"/>
        <v>1.4685297038409706E-2</v>
      </c>
      <c r="Z109" s="56">
        <f t="shared" si="90"/>
        <v>7.934911410891754E-3</v>
      </c>
      <c r="AA109" s="56">
        <f t="shared" si="90"/>
        <v>-4.1833840501646069E-3</v>
      </c>
      <c r="AB109" s="56">
        <f t="shared" si="90"/>
        <v>-9.618119223784416E-3</v>
      </c>
      <c r="AC109" s="56">
        <f t="shared" si="90"/>
        <v>1.7258805117572829E-2</v>
      </c>
      <c r="AD109" s="56">
        <f t="shared" si="90"/>
        <v>3.2298823204255811E-2</v>
      </c>
      <c r="AE109" s="56">
        <f t="shared" si="90"/>
        <v>1.4349911798828607E-2</v>
      </c>
    </row>
    <row r="110" spans="1:44">
      <c r="A110" s="68" t="str">
        <f t="shared" si="89"/>
        <v>Rend el. eq. - elc/fuel elc</v>
      </c>
      <c r="B110" s="68"/>
      <c r="C110" s="68" t="str">
        <f t="shared" si="89"/>
        <v>elc/fuel elc</v>
      </c>
      <c r="G110" s="68" t="str">
        <f>A89</f>
        <v>Rend el. eq. - elc/fuel elc</v>
      </c>
      <c r="H110" s="68"/>
      <c r="I110" s="68" t="str">
        <f>C89</f>
        <v>elc/fuel elc</v>
      </c>
      <c r="J110" t="str">
        <f t="shared" ref="J110:J115" si="91">J109</f>
        <v>variazione annuale</v>
      </c>
      <c r="K110" t="str">
        <f>A89</f>
        <v>Rend el. eq. - elc/fuel elc</v>
      </c>
      <c r="L110" s="56">
        <f>L89/K89-1</f>
        <v>1.5035237948492597E-2</v>
      </c>
      <c r="M110" s="56">
        <f t="shared" ref="M110:AA110" si="92">M89/L89-1</f>
        <v>7.9149830126816756E-3</v>
      </c>
      <c r="N110" s="56">
        <f t="shared" si="92"/>
        <v>1.2291924436491408E-2</v>
      </c>
      <c r="O110" s="56">
        <f t="shared" si="92"/>
        <v>-3.4592390477239388E-4</v>
      </c>
      <c r="P110" s="56">
        <f t="shared" si="92"/>
        <v>7.6357024145612407E-3</v>
      </c>
      <c r="Q110" s="56">
        <f t="shared" si="92"/>
        <v>3.3587419465197499E-4</v>
      </c>
      <c r="R110" s="56">
        <f t="shared" si="92"/>
        <v>-1.1813411477134661E-2</v>
      </c>
      <c r="S110" s="56">
        <f t="shared" si="92"/>
        <v>1.2739554590090574E-2</v>
      </c>
      <c r="T110" s="56">
        <f t="shared" si="92"/>
        <v>-1.9516009710866866E-2</v>
      </c>
      <c r="U110" s="56">
        <f t="shared" si="92"/>
        <v>3.6091771460227795E-2</v>
      </c>
      <c r="V110" s="56">
        <f t="shared" si="92"/>
        <v>2.6528483979068485E-2</v>
      </c>
      <c r="W110" s="56">
        <f t="shared" si="92"/>
        <v>1.6700100150668584E-2</v>
      </c>
      <c r="X110" s="56">
        <f t="shared" si="92"/>
        <v>-2.7981252615252306E-3</v>
      </c>
      <c r="Y110" s="56">
        <f t="shared" si="92"/>
        <v>1.7727230562033069E-2</v>
      </c>
      <c r="Z110" s="56">
        <f t="shared" si="92"/>
        <v>2.9672702036549481E-3</v>
      </c>
      <c r="AA110" s="56">
        <f t="shared" si="92"/>
        <v>1.8273196297986516E-3</v>
      </c>
      <c r="AB110" s="56">
        <f t="shared" si="90"/>
        <v>-4.0223477703175137E-3</v>
      </c>
      <c r="AC110" s="56">
        <f t="shared" si="90"/>
        <v>1.1763246778368153E-2</v>
      </c>
      <c r="AD110" s="56">
        <f t="shared" si="90"/>
        <v>2.9413285542709167E-2</v>
      </c>
      <c r="AE110" s="56">
        <f t="shared" si="90"/>
        <v>1.2301927987401484E-7</v>
      </c>
    </row>
    <row r="111" spans="1:44">
      <c r="A111" s="165" t="str">
        <f t="shared" si="89"/>
        <v>Rend totale CHP - elc+heat/fuel tot</v>
      </c>
      <c r="B111" s="165"/>
      <c r="C111" s="165" t="str">
        <f t="shared" si="89"/>
        <v>elc+heat/fuel tot</v>
      </c>
      <c r="G111" s="165" t="str">
        <f>A90</f>
        <v>Rend totale CHP - elc+heat/fuel tot</v>
      </c>
      <c r="H111" s="165"/>
      <c r="I111" s="165" t="str">
        <f>C90</f>
        <v>elc+heat/fuel tot</v>
      </c>
      <c r="J111" t="str">
        <f t="shared" si="91"/>
        <v>variazione annuale</v>
      </c>
      <c r="K111" t="str">
        <f>A90</f>
        <v>Rend totale CHP - elc+heat/fuel tot</v>
      </c>
      <c r="L111" s="56">
        <f>L90/K90-1</f>
        <v>1.2429101576957979E-2</v>
      </c>
      <c r="M111" s="56">
        <f t="shared" si="90"/>
        <v>-1.966137356961517E-2</v>
      </c>
      <c r="N111" s="56">
        <f t="shared" si="90"/>
        <v>1.5287838355035221E-2</v>
      </c>
      <c r="O111" s="56">
        <f t="shared" si="90"/>
        <v>-2.7032324051442513E-3</v>
      </c>
      <c r="P111" s="56">
        <f t="shared" si="90"/>
        <v>-3.9855261507717454E-3</v>
      </c>
      <c r="Q111" s="56">
        <f t="shared" si="90"/>
        <v>2.5883210041366844E-2</v>
      </c>
      <c r="R111" s="56">
        <f t="shared" si="90"/>
        <v>-9.3642817024591762E-3</v>
      </c>
      <c r="S111" s="56">
        <f t="shared" si="90"/>
        <v>5.5940529467150002E-2</v>
      </c>
      <c r="T111" s="56">
        <f t="shared" si="90"/>
        <v>-1.0120623597478007E-2</v>
      </c>
      <c r="U111" s="56">
        <f t="shared" si="90"/>
        <v>1.1805126402653077E-2</v>
      </c>
      <c r="V111" s="56">
        <f t="shared" si="90"/>
        <v>-1.8823722218762606E-3</v>
      </c>
      <c r="W111" s="56">
        <f t="shared" si="90"/>
        <v>-3.8439902719991093E-3</v>
      </c>
      <c r="X111" s="56">
        <f t="shared" si="90"/>
        <v>-1.9972089731430387E-3</v>
      </c>
      <c r="Y111" s="56">
        <f t="shared" si="90"/>
        <v>-9.9954956689130015E-4</v>
      </c>
      <c r="Z111" s="56">
        <f t="shared" si="90"/>
        <v>5.6832343531159069E-3</v>
      </c>
      <c r="AA111" s="56">
        <f t="shared" si="90"/>
        <v>2.2404043289931952E-3</v>
      </c>
      <c r="AB111" s="56">
        <f t="shared" si="90"/>
        <v>5.6793798168386367E-4</v>
      </c>
      <c r="AC111" s="56">
        <f t="shared" si="90"/>
        <v>-9.9529264332735012E-3</v>
      </c>
      <c r="AD111" s="56">
        <f t="shared" si="90"/>
        <v>9.1596255406827254E-3</v>
      </c>
      <c r="AE111" s="56">
        <f t="shared" si="90"/>
        <v>2.4105316699554624E-2</v>
      </c>
    </row>
    <row r="112" spans="1:44">
      <c r="A112" s="165" t="str">
        <f t="shared" si="89"/>
        <v>Rend el. eq. CHP - elc/fuel elc</v>
      </c>
      <c r="B112" s="165"/>
      <c r="C112" s="165" t="str">
        <f t="shared" si="89"/>
        <v>elc/fuel elc</v>
      </c>
      <c r="G112" s="165" t="str">
        <f>A91</f>
        <v>Rend el. eq. CHP - elc/fuel elc</v>
      </c>
      <c r="H112" s="165"/>
      <c r="I112" s="165" t="str">
        <f>C91</f>
        <v>elc/fuel elc</v>
      </c>
      <c r="J112" t="str">
        <f t="shared" si="91"/>
        <v>variazione annuale</v>
      </c>
      <c r="K112" t="str">
        <f>A91</f>
        <v>Rend el. eq. CHP - elc/fuel elc</v>
      </c>
      <c r="L112" s="56">
        <f>L91/K91-1</f>
        <v>1.804482964734011E-2</v>
      </c>
      <c r="M112" s="56">
        <f t="shared" si="90"/>
        <v>-1.4723203769139825E-2</v>
      </c>
      <c r="N112" s="56">
        <f t="shared" si="90"/>
        <v>1.8596280743851112E-2</v>
      </c>
      <c r="O112" s="56">
        <f t="shared" si="90"/>
        <v>1.2758201701093652E-2</v>
      </c>
      <c r="P112" s="56">
        <f t="shared" si="90"/>
        <v>-1.2387753608145036E-2</v>
      </c>
      <c r="Q112" s="56">
        <f t="shared" si="90"/>
        <v>1.4391965916007221E-2</v>
      </c>
      <c r="R112" s="56">
        <f t="shared" si="90"/>
        <v>-1.2620192307691847E-2</v>
      </c>
      <c r="S112" s="56">
        <f t="shared" si="90"/>
        <v>6.5983344010249745E-2</v>
      </c>
      <c r="T112" s="56">
        <f t="shared" si="90"/>
        <v>-2.3153942428035257E-2</v>
      </c>
      <c r="U112" s="56">
        <f t="shared" si="90"/>
        <v>2.9019680703519235E-2</v>
      </c>
      <c r="V112" s="56">
        <f t="shared" si="90"/>
        <v>4.3019165196034326E-3</v>
      </c>
      <c r="W112" s="56">
        <f t="shared" si="90"/>
        <v>6.5195647997295936E-4</v>
      </c>
      <c r="X112" s="56">
        <f t="shared" si="90"/>
        <v>-5.8037425903086914E-3</v>
      </c>
      <c r="Y112" s="56">
        <f t="shared" si="90"/>
        <v>1.0865525975956025E-4</v>
      </c>
      <c r="Z112" s="56">
        <f t="shared" si="90"/>
        <v>6.8501800158826676E-4</v>
      </c>
      <c r="AA112" s="56">
        <f t="shared" si="90"/>
        <v>6.9251569531911805E-3</v>
      </c>
      <c r="AB112" s="56">
        <f t="shared" si="90"/>
        <v>9.605034037706961E-3</v>
      </c>
      <c r="AC112" s="56">
        <f t="shared" si="90"/>
        <v>-9.2303457486438978E-3</v>
      </c>
      <c r="AD112" s="56">
        <f t="shared" si="90"/>
        <v>2.2401014560704535E-3</v>
      </c>
      <c r="AE112" s="56">
        <f t="shared" si="90"/>
        <v>0</v>
      </c>
    </row>
    <row r="113" spans="1:31">
      <c r="A113" t="str">
        <f t="shared" si="89"/>
        <v>Rend el. no CHP - elc/fuel tot</v>
      </c>
      <c r="C113" t="str">
        <f t="shared" si="89"/>
        <v>elc/fuel tot</v>
      </c>
      <c r="G113" t="str">
        <f>A92</f>
        <v>Rend el. no CHP - elc/fuel tot</v>
      </c>
      <c r="I113" t="str">
        <f>C92</f>
        <v>elc/fuel tot</v>
      </c>
      <c r="J113" t="str">
        <f t="shared" si="91"/>
        <v>variazione annuale</v>
      </c>
      <c r="K113" t="str">
        <f>A92</f>
        <v>Rend el. no CHP - elc/fuel tot</v>
      </c>
      <c r="L113" s="56">
        <f>L92/K92-1</f>
        <v>1.0183029107054598E-2</v>
      </c>
      <c r="M113" s="56">
        <f t="shared" si="90"/>
        <v>1.6040100250626743E-2</v>
      </c>
      <c r="N113" s="56">
        <f t="shared" si="90"/>
        <v>1.2176560121765378E-2</v>
      </c>
      <c r="O113" s="56">
        <f t="shared" si="90"/>
        <v>-2.0864381520119157E-2</v>
      </c>
      <c r="P113" s="56">
        <f t="shared" si="90"/>
        <v>8.0463430903008337E-3</v>
      </c>
      <c r="Q113" s="56">
        <f t="shared" si="90"/>
        <v>1.9729051680881238E-3</v>
      </c>
      <c r="R113" s="56">
        <f t="shared" si="90"/>
        <v>-1.725838264299806E-2</v>
      </c>
      <c r="S113" s="56">
        <f t="shared" si="90"/>
        <v>-2.7338129496402686E-2</v>
      </c>
      <c r="T113" s="56">
        <f t="shared" si="90"/>
        <v>-2.1586109807601894E-2</v>
      </c>
      <c r="U113" s="56">
        <f t="shared" si="90"/>
        <v>3.4543147075687619E-2</v>
      </c>
      <c r="V113" s="56">
        <f t="shared" si="90"/>
        <v>2.9451121106209177E-2</v>
      </c>
      <c r="W113" s="56">
        <f t="shared" si="90"/>
        <v>3.2863861341888123E-2</v>
      </c>
      <c r="X113" s="56">
        <f t="shared" si="90"/>
        <v>-8.1461326811372858E-3</v>
      </c>
      <c r="Y113" s="56">
        <f t="shared" si="90"/>
        <v>3.3282238879690507E-2</v>
      </c>
      <c r="Z113" s="56">
        <f t="shared" si="90"/>
        <v>4.1364321889230116E-3</v>
      </c>
      <c r="AA113" s="56">
        <f t="shared" si="90"/>
        <v>3.4036098770577894E-3</v>
      </c>
      <c r="AB113" s="56">
        <f t="shared" si="90"/>
        <v>-1.5001241388010178E-2</v>
      </c>
      <c r="AC113" s="56">
        <f t="shared" si="90"/>
        <v>5.0662551568270153E-3</v>
      </c>
      <c r="AD113" s="56">
        <f t="shared" si="90"/>
        <v>6.0131468832702373E-2</v>
      </c>
      <c r="AE113" s="56">
        <f t="shared" si="90"/>
        <v>0</v>
      </c>
    </row>
    <row r="114" spans="1:31">
      <c r="A114" s="68" t="str">
        <f t="shared" si="89"/>
        <v>Rend el.  - elc/fuel tot</v>
      </c>
      <c r="B114" s="68"/>
      <c r="C114" s="68" t="str">
        <f t="shared" si="89"/>
        <v>elc/fuel tot</v>
      </c>
      <c r="G114" s="68" t="str">
        <f>A105</f>
        <v>Rend el.  - elc/fuel tot</v>
      </c>
      <c r="H114" s="68"/>
      <c r="I114" s="68" t="str">
        <f>C105</f>
        <v>elc/fuel tot</v>
      </c>
      <c r="J114" t="str">
        <f t="shared" si="91"/>
        <v>variazione annuale</v>
      </c>
      <c r="K114" t="str">
        <f>A105</f>
        <v>Rend el.  - elc/fuel tot</v>
      </c>
      <c r="L114" s="56">
        <f>L105/K105-1</f>
        <v>8.4713132534659508E-3</v>
      </c>
      <c r="M114" s="56">
        <f t="shared" ref="M114:AE114" si="93">M105/L105-1</f>
        <v>1.0959391540686703E-2</v>
      </c>
      <c r="N114" s="56">
        <f t="shared" si="93"/>
        <v>1.2098567196245913E-2</v>
      </c>
      <c r="O114" s="56">
        <f t="shared" si="93"/>
        <v>-7.6014211678240295E-3</v>
      </c>
      <c r="P114" s="56">
        <f t="shared" si="93"/>
        <v>-1.1883051182016713E-3</v>
      </c>
      <c r="Q114" s="56">
        <f t="shared" si="93"/>
        <v>-9.8957799205109387E-3</v>
      </c>
      <c r="R114" s="56">
        <f t="shared" si="93"/>
        <v>-6.1423811843590581E-3</v>
      </c>
      <c r="S114" s="56">
        <f t="shared" si="93"/>
        <v>-1.4378133162672224E-2</v>
      </c>
      <c r="T114" s="56">
        <f t="shared" si="93"/>
        <v>-2.0449513623120197E-2</v>
      </c>
      <c r="U114" s="56">
        <f t="shared" si="93"/>
        <v>3.4960540893571146E-2</v>
      </c>
      <c r="V114" s="56">
        <f t="shared" si="93"/>
        <v>2.4612962521769033E-2</v>
      </c>
      <c r="W114" s="56">
        <f t="shared" si="93"/>
        <v>2.1500296471690827E-2</v>
      </c>
      <c r="X114" s="56">
        <f t="shared" si="93"/>
        <v>-1.0925226313617808E-2</v>
      </c>
      <c r="Y114" s="56">
        <f t="shared" si="93"/>
        <v>1.5893177691344906E-2</v>
      </c>
      <c r="Z114" s="56">
        <f t="shared" si="93"/>
        <v>-6.6970180206271657E-3</v>
      </c>
      <c r="AA114" s="56">
        <f t="shared" si="93"/>
        <v>1.338866381948689E-2</v>
      </c>
      <c r="AB114" s="56">
        <f t="shared" si="93"/>
        <v>5.4463514611780006E-3</v>
      </c>
      <c r="AC114" s="56">
        <f t="shared" si="93"/>
        <v>-4.706741478531562E-3</v>
      </c>
      <c r="AD114" s="56">
        <f t="shared" si="93"/>
        <v>1.1321932461296758E-2</v>
      </c>
      <c r="AE114" s="56">
        <f t="shared" si="93"/>
        <v>2.3807570814774248E-2</v>
      </c>
    </row>
    <row r="115" spans="1:31">
      <c r="A115" s="165" t="str">
        <f t="shared" si="89"/>
        <v>Rend el. CHP - elc/fuel tot</v>
      </c>
      <c r="B115" s="165"/>
      <c r="C115" s="165" t="str">
        <f t="shared" si="89"/>
        <v>elc/fuel tot</v>
      </c>
      <c r="G115" s="165" t="str">
        <f>A106</f>
        <v>Rend el. CHP - elc/fuel tot</v>
      </c>
      <c r="H115" s="165"/>
      <c r="I115" s="165" t="str">
        <f>C106</f>
        <v>elc/fuel tot</v>
      </c>
      <c r="J115" t="str">
        <f t="shared" si="91"/>
        <v>variazione annuale</v>
      </c>
      <c r="K115" t="str">
        <f>A106</f>
        <v>Rend el. CHP - elc/fuel tot</v>
      </c>
      <c r="L115" s="56">
        <f>L106/K106-1</f>
        <v>1.0527881995278987E-2</v>
      </c>
      <c r="M115" s="56">
        <f t="shared" ref="M115:AE115" si="94">M106/L106-1</f>
        <v>8.2152568885118793E-3</v>
      </c>
      <c r="N115" s="56">
        <f t="shared" si="94"/>
        <v>1.0046563499350736E-2</v>
      </c>
      <c r="O115" s="56">
        <f t="shared" si="94"/>
        <v>2.0766502551245347E-2</v>
      </c>
      <c r="P115" s="56">
        <f t="shared" si="94"/>
        <v>-7.0081494960784196E-3</v>
      </c>
      <c r="Q115" s="56">
        <f t="shared" si="94"/>
        <v>-2.9576900111815241E-2</v>
      </c>
      <c r="R115" s="56">
        <f t="shared" si="94"/>
        <v>1.0175515072055719E-2</v>
      </c>
      <c r="S115" s="56">
        <f t="shared" si="94"/>
        <v>-1.0619402383049703E-4</v>
      </c>
      <c r="T115" s="56">
        <f t="shared" si="94"/>
        <v>-1.7942307826878001E-2</v>
      </c>
      <c r="U115" s="56">
        <f t="shared" si="94"/>
        <v>3.8204974336284891E-2</v>
      </c>
      <c r="V115" s="56">
        <f t="shared" si="94"/>
        <v>2.1806717053374669E-2</v>
      </c>
      <c r="W115" s="56">
        <f t="shared" si="94"/>
        <v>1.2857286427822467E-2</v>
      </c>
      <c r="X115" s="56">
        <f t="shared" si="94"/>
        <v>-1.0669087045600767E-2</v>
      </c>
      <c r="Y115" s="56">
        <f t="shared" si="94"/>
        <v>3.2064123721087245E-3</v>
      </c>
      <c r="Z115" s="56">
        <f t="shared" si="94"/>
        <v>-1.2423477343846079E-2</v>
      </c>
      <c r="AA115" s="56">
        <f t="shared" si="94"/>
        <v>1.6636105367948018E-2</v>
      </c>
      <c r="AB115" s="56">
        <f t="shared" si="94"/>
        <v>2.0265288910905177E-2</v>
      </c>
      <c r="AC115" s="56">
        <f t="shared" si="94"/>
        <v>-3.9064120785176071E-3</v>
      </c>
      <c r="AD115" s="56">
        <f t="shared" si="94"/>
        <v>-1.5895915552855189E-2</v>
      </c>
      <c r="AE115" s="56">
        <f t="shared" si="94"/>
        <v>3.7775339443984146E-2</v>
      </c>
    </row>
    <row r="118" spans="1:31">
      <c r="J118" t="s">
        <v>516</v>
      </c>
      <c r="K118" s="173">
        <f>K46/$K$46</f>
        <v>1</v>
      </c>
      <c r="L118" s="173">
        <f t="shared" ref="L118:AB118" si="95">L46/$K$46</f>
        <v>1.0820194339700824</v>
      </c>
      <c r="M118" s="173">
        <f t="shared" si="95"/>
        <v>1.0587732565366923</v>
      </c>
      <c r="N118" s="173">
        <f t="shared" si="95"/>
        <v>1.027506560544305</v>
      </c>
      <c r="O118" s="173">
        <f t="shared" si="95"/>
        <v>0.93657913694188599</v>
      </c>
      <c r="P118" s="173">
        <f t="shared" si="95"/>
        <v>1.0489106882591532</v>
      </c>
      <c r="Q118" s="173">
        <f t="shared" si="95"/>
        <v>1.1179590597323823</v>
      </c>
      <c r="R118" s="173">
        <f t="shared" si="95"/>
        <v>1.0527274324109401</v>
      </c>
      <c r="S118" s="173">
        <f t="shared" si="95"/>
        <v>1.1019113854578251</v>
      </c>
      <c r="T118" s="173">
        <f t="shared" si="95"/>
        <v>1.0486070836107155</v>
      </c>
      <c r="U118" s="173">
        <f>U46/$K$46</f>
        <v>1.105185978451688</v>
      </c>
      <c r="V118" s="173">
        <f t="shared" si="95"/>
        <v>1.138300571177699</v>
      </c>
      <c r="W118" s="173">
        <f t="shared" si="95"/>
        <v>1.1389303008098144</v>
      </c>
      <c r="X118" s="173">
        <f t="shared" si="95"/>
        <v>1.1117359788079579</v>
      </c>
      <c r="Y118" s="173">
        <f t="shared" si="95"/>
        <v>1.1233813942106667</v>
      </c>
      <c r="Z118" s="173">
        <f t="shared" si="95"/>
        <v>1.10570725351568</v>
      </c>
      <c r="AA118" s="173">
        <f t="shared" si="95"/>
        <v>1.0755615572753543</v>
      </c>
      <c r="AB118" s="173">
        <f t="shared" si="95"/>
        <v>1.0568365842197329</v>
      </c>
      <c r="AC118" s="173">
        <f>AC46/$K$46</f>
        <v>0.94849577716160549</v>
      </c>
      <c r="AD118" s="173">
        <f>AD46/$K$46</f>
        <v>0.96442002232143509</v>
      </c>
      <c r="AE118" s="173">
        <f>AE46/$K$46</f>
        <v>0.97739796952503888</v>
      </c>
    </row>
    <row r="119" spans="1:31">
      <c r="A119" s="373"/>
      <c r="B119" s="374"/>
      <c r="J119" t="s">
        <v>527</v>
      </c>
      <c r="K119" s="173">
        <f>K60/$K$60</f>
        <v>1</v>
      </c>
      <c r="L119" s="173">
        <f t="shared" ref="L119:AB119" si="96">L60/$K$60</f>
        <v>0.95994938432812515</v>
      </c>
      <c r="M119" s="173">
        <f>M60/$K$60</f>
        <v>1.0535074245276803</v>
      </c>
      <c r="N119" s="173">
        <f t="shared" si="96"/>
        <v>1.0359691661286359</v>
      </c>
      <c r="O119" s="173">
        <f t="shared" si="96"/>
        <v>0.87997297884756609</v>
      </c>
      <c r="P119" s="173">
        <f t="shared" si="96"/>
        <v>0.89822980488406556</v>
      </c>
      <c r="Q119" s="173">
        <f t="shared" si="96"/>
        <v>0.88892578294633928</v>
      </c>
      <c r="R119" s="173">
        <f t="shared" si="96"/>
        <v>0.84172623849887729</v>
      </c>
      <c r="S119" s="173">
        <f t="shared" si="96"/>
        <v>0.71708862425326614</v>
      </c>
      <c r="T119" s="173">
        <f t="shared" si="96"/>
        <v>0.65327688950975316</v>
      </c>
      <c r="U119" s="173">
        <f t="shared" si="96"/>
        <v>0.71108476629214834</v>
      </c>
      <c r="V119" s="173">
        <f t="shared" si="96"/>
        <v>0.74047832017367354</v>
      </c>
      <c r="W119" s="173">
        <f t="shared" si="96"/>
        <v>0.7901960231642714</v>
      </c>
      <c r="X119" s="173">
        <f t="shared" si="96"/>
        <v>0.72311207814408107</v>
      </c>
      <c r="Y119" s="173">
        <f t="shared" si="96"/>
        <v>0.74561683732777451</v>
      </c>
      <c r="Z119" s="173">
        <f t="shared" si="96"/>
        <v>0.69136113373257901</v>
      </c>
      <c r="AA119" s="173">
        <f t="shared" si="96"/>
        <v>0.72463372283765903</v>
      </c>
      <c r="AB119" s="173">
        <f t="shared" si="96"/>
        <v>0.75254533491441322</v>
      </c>
      <c r="AC119" s="173">
        <f>AC60/$K$60</f>
        <v>0.61014419321722468</v>
      </c>
      <c r="AD119" s="173">
        <f>AD60/$K$60</f>
        <v>0.58776746883812436</v>
      </c>
      <c r="AE119" s="173">
        <f>AE60/$K$60</f>
        <v>0.61642558582508622</v>
      </c>
    </row>
    <row r="120" spans="1:31">
      <c r="A120" s="374"/>
      <c r="B120" s="375"/>
      <c r="J120" t="s">
        <v>517</v>
      </c>
      <c r="K120" s="173">
        <f>K123/$K$123</f>
        <v>1</v>
      </c>
      <c r="L120" s="173">
        <f t="shared" ref="L120:AB120" si="97">L123/$K$123</f>
        <v>1.0764283520603219</v>
      </c>
      <c r="M120" s="173">
        <f t="shared" si="97"/>
        <v>1.1400383364927407</v>
      </c>
      <c r="N120" s="173">
        <f t="shared" si="97"/>
        <v>1.0899922691603039</v>
      </c>
      <c r="O120" s="173">
        <f t="shared" si="97"/>
        <v>1.0636714075423344</v>
      </c>
      <c r="P120" s="173">
        <f t="shared" si="97"/>
        <v>1.1804674510468405</v>
      </c>
      <c r="Q120" s="173">
        <f t="shared" si="97"/>
        <v>1.0749976172069429</v>
      </c>
      <c r="R120" s="173">
        <f t="shared" si="97"/>
        <v>1.0679021889925553</v>
      </c>
      <c r="S120" s="173">
        <f t="shared" si="97"/>
        <v>0.96680864583223014</v>
      </c>
      <c r="T120" s="173">
        <f t="shared" si="97"/>
        <v>0.9017622078430958</v>
      </c>
      <c r="U120" s="173">
        <f t="shared" si="97"/>
        <v>1.0153293020004872</v>
      </c>
      <c r="V120" s="173">
        <f t="shared" si="97"/>
        <v>1.1133129295646373</v>
      </c>
      <c r="W120" s="173">
        <f t="shared" si="97"/>
        <v>1.1662776536372013</v>
      </c>
      <c r="X120" s="173">
        <f t="shared" si="97"/>
        <v>1.1111302911243606</v>
      </c>
      <c r="Y120" s="173">
        <f t="shared" si="97"/>
        <v>1.1359123979370309</v>
      </c>
      <c r="Z120" s="173">
        <f t="shared" si="97"/>
        <v>1.0638111980683491</v>
      </c>
      <c r="AA120" s="173">
        <f t="shared" si="97"/>
        <v>1.0758490685926694</v>
      </c>
      <c r="AB120" s="173">
        <f t="shared" si="97"/>
        <v>1.1166456627871266</v>
      </c>
      <c r="AC120" s="173">
        <f>AC123/$K$123</f>
        <v>1.0198820252681966</v>
      </c>
      <c r="AD120" s="173">
        <f>AD123/$K$123</f>
        <v>0.96585658762853865</v>
      </c>
      <c r="AE120" s="173">
        <f>AE123/$K$123</f>
        <v>1.0158304033806549</v>
      </c>
    </row>
    <row r="121" spans="1:31">
      <c r="A121" s="374"/>
      <c r="B121" s="375"/>
      <c r="J121" t="s">
        <v>518</v>
      </c>
      <c r="K121" s="173">
        <f>K122/$K$122</f>
        <v>1</v>
      </c>
      <c r="L121" s="173">
        <f t="shared" ref="L121:AE121" si="98">L122/$K$122</f>
        <v>1.0124572306403183</v>
      </c>
      <c r="M121" s="173">
        <f t="shared" si="98"/>
        <v>0.99721769048631703</v>
      </c>
      <c r="N121" s="173">
        <f t="shared" si="98"/>
        <v>0.99972322907872102</v>
      </c>
      <c r="O121" s="173">
        <f t="shared" si="98"/>
        <v>0.79727990046403563</v>
      </c>
      <c r="P121" s="173">
        <f t="shared" si="98"/>
        <v>0.75542718576026302</v>
      </c>
      <c r="Q121" s="173">
        <f t="shared" si="98"/>
        <v>0.80105820441690845</v>
      </c>
      <c r="R121" s="173">
        <f t="shared" si="98"/>
        <v>0.73618335438739035</v>
      </c>
      <c r="S121" s="173">
        <f t="shared" si="98"/>
        <v>0.64077343506992279</v>
      </c>
      <c r="T121" s="173">
        <f t="shared" si="98"/>
        <v>0.57359757761964303</v>
      </c>
      <c r="U121" s="173">
        <f t="shared" si="98"/>
        <v>0.60676247849629583</v>
      </c>
      <c r="V121" s="173">
        <f t="shared" si="98"/>
        <v>0.59396055379576085</v>
      </c>
      <c r="W121" s="173">
        <f t="shared" si="98"/>
        <v>0.62651414642197412</v>
      </c>
      <c r="X121" s="173">
        <f t="shared" si="98"/>
        <v>0.55358310427788815</v>
      </c>
      <c r="Y121" s="173">
        <f t="shared" si="98"/>
        <v>0.55749788930432742</v>
      </c>
      <c r="Z121" s="173">
        <f t="shared" si="98"/>
        <v>0.51007420761627875</v>
      </c>
      <c r="AA121" s="173">
        <f t="shared" si="98"/>
        <v>0.55571925525769539</v>
      </c>
      <c r="AB121" s="173">
        <f t="shared" si="98"/>
        <v>0.59082656746925999</v>
      </c>
      <c r="AC121" s="173">
        <f t="shared" si="98"/>
        <v>0.416869695488507</v>
      </c>
      <c r="AD121" s="173">
        <f t="shared" si="98"/>
        <v>0.38244117030933594</v>
      </c>
      <c r="AE121" s="173">
        <f t="shared" si="98"/>
        <v>0.40222883322520225</v>
      </c>
    </row>
    <row r="122" spans="1:31">
      <c r="A122" s="373"/>
      <c r="B122" s="376"/>
      <c r="J122" t="s">
        <v>518</v>
      </c>
      <c r="K122" s="170">
        <f>'6-y'!J6</f>
        <v>157.53100000000001</v>
      </c>
      <c r="L122" s="170">
        <f>'6-y'!K6</f>
        <v>159.49340000000001</v>
      </c>
      <c r="M122" s="170">
        <f>'6-y'!L6</f>
        <v>157.09270000000001</v>
      </c>
      <c r="N122" s="170">
        <f>'6-y'!M6</f>
        <v>157.48740000000001</v>
      </c>
      <c r="O122" s="170">
        <f>'6-y'!N6</f>
        <v>125.5963</v>
      </c>
      <c r="P122" s="170">
        <f>'6-y'!O6</f>
        <v>119.00319999999999</v>
      </c>
      <c r="Q122" s="170">
        <f>'6-y'!P6</f>
        <v>126.1915</v>
      </c>
      <c r="R122" s="170">
        <f>'6-y'!Q6</f>
        <v>115.9717</v>
      </c>
      <c r="S122" s="170">
        <f>'6-y'!R6</f>
        <v>100.94168000000001</v>
      </c>
      <c r="T122" s="170">
        <f>'6-y'!S6</f>
        <v>90.359399999999994</v>
      </c>
      <c r="U122" s="170">
        <f>'6-y'!T6</f>
        <v>95.583899999999986</v>
      </c>
      <c r="V122" s="170">
        <f>'6-y'!U6</f>
        <v>93.5672</v>
      </c>
      <c r="W122" s="170">
        <f>'6-y'!V6</f>
        <v>98.695400000000006</v>
      </c>
      <c r="X122" s="170">
        <f>'6-y'!W6</f>
        <v>87.206500000000005</v>
      </c>
      <c r="Y122" s="170">
        <f>'6-y'!X6</f>
        <v>87.823200000000014</v>
      </c>
      <c r="Z122" s="170">
        <f>'6-y'!Y6</f>
        <v>80.352500000000006</v>
      </c>
      <c r="AA122" s="170">
        <f>'6-y'!Z6</f>
        <v>87.54301000000001</v>
      </c>
      <c r="AB122" s="170">
        <f>'6-y'!AA6</f>
        <v>93.073499999999996</v>
      </c>
      <c r="AC122" s="170">
        <f>'6-y'!AB6</f>
        <v>65.669899999999998</v>
      </c>
      <c r="AD122" s="170">
        <f>'6-y'!AC6</f>
        <v>60.246340000000004</v>
      </c>
      <c r="AE122" s="170">
        <f>'6-y'!AD6</f>
        <v>63.363510326799336</v>
      </c>
    </row>
    <row r="123" spans="1:31">
      <c r="A123" s="68"/>
      <c r="B123" s="377"/>
      <c r="J123" t="s">
        <v>517</v>
      </c>
      <c r="K123" s="170">
        <f>'6-y'!J14</f>
        <v>94.426999999999992</v>
      </c>
      <c r="L123" s="170">
        <f>'6-y'!K14</f>
        <v>101.6439</v>
      </c>
      <c r="M123" s="170">
        <f>'6-y'!L14</f>
        <v>107.6504</v>
      </c>
      <c r="N123" s="170">
        <f>'6-y'!M14</f>
        <v>102.9247</v>
      </c>
      <c r="O123" s="170">
        <f>'6-y'!N14</f>
        <v>100.43929999999999</v>
      </c>
      <c r="P123" s="170">
        <f>'6-y'!O14</f>
        <v>111.468</v>
      </c>
      <c r="Q123" s="170">
        <f>'6-y'!P14</f>
        <v>101.50879999999999</v>
      </c>
      <c r="R123" s="170">
        <f>'6-y'!Q14</f>
        <v>100.83880000000001</v>
      </c>
      <c r="S123" s="170">
        <f>'6-y'!R14</f>
        <v>91.292839999999984</v>
      </c>
      <c r="T123" s="170">
        <f>'6-y'!S14</f>
        <v>85.150700000000001</v>
      </c>
      <c r="U123" s="170">
        <f>'6-y'!T14</f>
        <v>95.874499999999998</v>
      </c>
      <c r="V123" s="170">
        <f>'6-y'!U14</f>
        <v>105.1268</v>
      </c>
      <c r="W123" s="170">
        <f>'6-y'!V14</f>
        <v>110.12809999999999</v>
      </c>
      <c r="X123" s="170">
        <f>'6-y'!W14</f>
        <v>104.9207</v>
      </c>
      <c r="Y123" s="170">
        <f>'6-y'!X14</f>
        <v>107.2608</v>
      </c>
      <c r="Z123" s="170">
        <f>'6-y'!Y14</f>
        <v>100.4525</v>
      </c>
      <c r="AA123" s="170">
        <f>'6-y'!Z14</f>
        <v>101.58919999999999</v>
      </c>
      <c r="AB123" s="170">
        <f>'6-y'!AA14</f>
        <v>105.4415</v>
      </c>
      <c r="AC123" s="170">
        <f>'6-y'!AB14</f>
        <v>96.304400000000001</v>
      </c>
      <c r="AD123" s="170">
        <f>'6-y'!AC14</f>
        <v>91.202940000000012</v>
      </c>
      <c r="AE123" s="170">
        <f>'6-y'!AD14</f>
        <v>95.921817500025085</v>
      </c>
    </row>
    <row r="124" spans="1:31">
      <c r="A124" s="241"/>
      <c r="B124" s="378"/>
      <c r="J124" t="s">
        <v>528</v>
      </c>
      <c r="K124" s="170">
        <f>'2'!Q15</f>
        <v>303.6979</v>
      </c>
      <c r="L124" s="170">
        <f>'2'!R15</f>
        <v>314.12290000000002</v>
      </c>
      <c r="M124" s="170">
        <f>'2'!S15</f>
        <v>313.88800000000003</v>
      </c>
      <c r="N124" s="170">
        <f>'2'!T15</f>
        <v>319.12960000000004</v>
      </c>
      <c r="O124" s="170">
        <f>'2'!U15</f>
        <v>292.64260000000002</v>
      </c>
      <c r="P124" s="170">
        <f>'2'!V15</f>
        <v>302.06208000000004</v>
      </c>
      <c r="Q124" s="170">
        <f>'2'!W15</f>
        <v>302.58045999999996</v>
      </c>
      <c r="R124" s="170">
        <f>'2'!X15</f>
        <v>299.27619999999996</v>
      </c>
      <c r="S124" s="170">
        <f>'2'!Y15</f>
        <v>289.8039</v>
      </c>
      <c r="T124" s="170">
        <f>'2'!Z15</f>
        <v>279.82820000000004</v>
      </c>
      <c r="U124" s="170">
        <f>'2'!AA15</f>
        <v>282.99400000000003</v>
      </c>
      <c r="V124" s="170">
        <f>'2'!AB15</f>
        <v>289.76819999999998</v>
      </c>
      <c r="W124" s="170">
        <f>'2'!AC15</f>
        <v>295.829993172</v>
      </c>
      <c r="X124" s="170">
        <f>'2'!AD15</f>
        <v>289.70845972702</v>
      </c>
      <c r="Y124" s="170">
        <f>'2'!AE15</f>
        <v>293.85318719753997</v>
      </c>
      <c r="Z124" s="170">
        <f>'2'!AF15</f>
        <v>280.53101400000003</v>
      </c>
      <c r="AA124" s="170">
        <f>'2'!AG15</f>
        <v>289.06950605540004</v>
      </c>
      <c r="AB124" s="170">
        <f>'2'!AH15</f>
        <v>283.95313216483004</v>
      </c>
      <c r="AC124" s="170">
        <f>'2'!AI15</f>
        <v>264.70822462643901</v>
      </c>
      <c r="AD124" s="170">
        <f>'2'!AJ15</f>
        <v>270.9631241096119</v>
      </c>
      <c r="AE124" s="170">
        <f>'2'!AK15</f>
        <v>277.66688938778816</v>
      </c>
    </row>
    <row r="125" spans="1:31">
      <c r="A125" s="342"/>
      <c r="B125" s="378"/>
      <c r="C125" s="177"/>
      <c r="K125" s="173">
        <f>K124/$K$124</f>
        <v>1</v>
      </c>
      <c r="L125" s="173">
        <f t="shared" ref="L125:AB125" si="99">L124/$K$124</f>
        <v>1.0343268754904134</v>
      </c>
      <c r="M125" s="173">
        <f t="shared" si="99"/>
        <v>1.0335534094901546</v>
      </c>
      <c r="N125" s="173">
        <f t="shared" si="99"/>
        <v>1.050812666139608</v>
      </c>
      <c r="O125" s="173">
        <f t="shared" si="99"/>
        <v>0.96359770680007995</v>
      </c>
      <c r="P125" s="173">
        <f t="shared" si="99"/>
        <v>0.99461366048299982</v>
      </c>
      <c r="Q125" s="173">
        <f t="shared" si="99"/>
        <v>0.99632055407692954</v>
      </c>
      <c r="R125" s="173">
        <f t="shared" si="99"/>
        <v>0.98544046567328902</v>
      </c>
      <c r="S125" s="173">
        <f t="shared" si="99"/>
        <v>0.9542505891545513</v>
      </c>
      <c r="T125" s="173">
        <f t="shared" si="99"/>
        <v>0.92140314437472248</v>
      </c>
      <c r="U125" s="173">
        <f t="shared" si="99"/>
        <v>0.93182731918791672</v>
      </c>
      <c r="V125" s="173">
        <f t="shared" si="99"/>
        <v>0.9541330381276919</v>
      </c>
      <c r="W125" s="173">
        <f t="shared" si="99"/>
        <v>0.97409298244077425</v>
      </c>
      <c r="X125" s="173">
        <f t="shared" si="99"/>
        <v>0.95393632859173538</v>
      </c>
      <c r="Y125" s="173">
        <f t="shared" si="99"/>
        <v>0.96758386277132624</v>
      </c>
      <c r="Z125" s="173">
        <f t="shared" si="99"/>
        <v>0.92371733225682506</v>
      </c>
      <c r="AA125" s="173">
        <f t="shared" si="99"/>
        <v>0.95183241654091133</v>
      </c>
      <c r="AB125" s="173">
        <f t="shared" si="99"/>
        <v>0.93498549764364536</v>
      </c>
      <c r="AC125" s="173">
        <f>AC124/$K$124</f>
        <v>0.87161690820528892</v>
      </c>
      <c r="AD125" s="173">
        <f>AD124/$K$124</f>
        <v>0.89221270252317153</v>
      </c>
      <c r="AE125" s="173">
        <f>AE124/$K$124</f>
        <v>0.91428649782493776</v>
      </c>
    </row>
    <row r="126" spans="1:31">
      <c r="A126" s="342"/>
      <c r="B126" s="378"/>
      <c r="J126" s="68" t="s">
        <v>530</v>
      </c>
      <c r="K126" s="456">
        <f>(K46/1000)/K123</f>
        <v>0.56794047920092428</v>
      </c>
      <c r="L126" s="456">
        <f t="shared" ref="L126:AB126" si="100">(L46/1000)/L123</f>
        <v>0.57089042169640314</v>
      </c>
      <c r="M126" s="456">
        <f t="shared" si="100"/>
        <v>0.52745611391674563</v>
      </c>
      <c r="N126" s="456">
        <f t="shared" si="100"/>
        <v>0.53538230030492295</v>
      </c>
      <c r="O126" s="456">
        <f t="shared" si="100"/>
        <v>0.50008038203583305</v>
      </c>
      <c r="P126" s="456">
        <f t="shared" si="100"/>
        <v>0.50464656047957135</v>
      </c>
      <c r="Q126" s="456">
        <f t="shared" si="100"/>
        <v>0.5906377781200195</v>
      </c>
      <c r="R126" s="456">
        <f t="shared" si="100"/>
        <v>0.55987011600328884</v>
      </c>
      <c r="S126" s="456">
        <f t="shared" si="100"/>
        <v>0.6473050101400003</v>
      </c>
      <c r="T126" s="456">
        <f t="shared" si="100"/>
        <v>0.66042511471380816</v>
      </c>
      <c r="U126" s="456">
        <f t="shared" si="100"/>
        <v>0.61820323019466328</v>
      </c>
      <c r="V126" s="456">
        <f t="shared" si="100"/>
        <v>0.58068756294976109</v>
      </c>
      <c r="W126" s="456">
        <f t="shared" si="100"/>
        <v>0.55462317982437781</v>
      </c>
      <c r="X126" s="456">
        <f t="shared" si="100"/>
        <v>0.56825006895472374</v>
      </c>
      <c r="Y126" s="456">
        <f t="shared" si="100"/>
        <v>0.56167515075293395</v>
      </c>
      <c r="Z126" s="456">
        <f t="shared" si="100"/>
        <v>0.590307667900001</v>
      </c>
      <c r="AA126" s="456">
        <f t="shared" si="100"/>
        <v>0.56778870204174969</v>
      </c>
      <c r="AB126" s="456">
        <f t="shared" si="100"/>
        <v>0.53752080546364589</v>
      </c>
      <c r="AC126" s="456">
        <f>(AC46/1000)/AC123</f>
        <v>0.52818770490592493</v>
      </c>
      <c r="AD126" s="456">
        <f>(AD46/1000)/AD123</f>
        <v>0.5670957538044521</v>
      </c>
      <c r="AE126" s="456">
        <f>(AE46/1000)/AE123</f>
        <v>0.54645329509206564</v>
      </c>
    </row>
    <row r="127" spans="1:31">
      <c r="A127" s="241"/>
      <c r="B127" s="379"/>
    </row>
    <row r="128" spans="1:31">
      <c r="B128" s="380"/>
    </row>
    <row r="129" spans="1:2">
      <c r="A129" s="373"/>
      <c r="B129" s="376"/>
    </row>
  </sheetData>
  <sortState xmlns:xlrd2="http://schemas.microsoft.com/office/spreadsheetml/2017/richdata2" ref="D78:AE80">
    <sortCondition ref="AC80"/>
  </sortState>
  <mergeCells count="7">
    <mergeCell ref="A1:B1"/>
    <mergeCell ref="E21:E22"/>
    <mergeCell ref="F21:F22"/>
    <mergeCell ref="E10:E11"/>
    <mergeCell ref="F10:F11"/>
    <mergeCell ref="A15:A16"/>
    <mergeCell ref="B16:V16"/>
  </mergeCells>
  <hyperlinks>
    <hyperlink ref="A1" location="Indice!A1" display="Torna indietro" xr:uid="{00000000-0004-0000-1B00-000000000000}"/>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0AB8-55C7-4866-B58B-585590032F1F}">
  <sheetPr codeName="Foglio1">
    <tabColor theme="7" tint="0.59999389629810485"/>
  </sheetPr>
  <dimension ref="A1:H77"/>
  <sheetViews>
    <sheetView showGridLines="0" zoomScale="110" zoomScaleNormal="110" workbookViewId="0"/>
  </sheetViews>
  <sheetFormatPr defaultRowHeight="14.5"/>
  <cols>
    <col min="1" max="1" width="52.453125" customWidth="1"/>
    <col min="2" max="2" width="16.08984375" customWidth="1"/>
    <col min="3" max="3" width="18.90625" bestFit="1" customWidth="1"/>
    <col min="4" max="4" width="20.1796875" customWidth="1"/>
    <col min="5" max="5" width="13" customWidth="1"/>
    <col min="6" max="6" width="19.1796875" customWidth="1"/>
    <col min="7" max="7" width="15.08984375" customWidth="1"/>
    <col min="8" max="8" width="15.36328125" customWidth="1"/>
    <col min="9" max="9" width="12.81640625" customWidth="1"/>
    <col min="10" max="10" width="19.81640625" bestFit="1" customWidth="1"/>
    <col min="11" max="11" width="18.453125" bestFit="1" customWidth="1"/>
    <col min="12" max="13" width="15.453125" bestFit="1" customWidth="1"/>
    <col min="14" max="14" width="10.81640625" bestFit="1" customWidth="1"/>
  </cols>
  <sheetData>
    <row r="1" spans="1:8" ht="15.5">
      <c r="A1" s="108" t="s">
        <v>694</v>
      </c>
    </row>
    <row r="2" spans="1:8" ht="15.5">
      <c r="A2" s="108"/>
    </row>
    <row r="3" spans="1:8" ht="15.5">
      <c r="A3" s="905" t="s">
        <v>822</v>
      </c>
      <c r="B3" s="12"/>
    </row>
    <row r="4" spans="1:8" ht="15.5">
      <c r="A4" s="12"/>
      <c r="B4" s="12"/>
    </row>
    <row r="5" spans="1:8" ht="15.5">
      <c r="B5" s="12"/>
      <c r="C5" s="12"/>
      <c r="D5" s="12"/>
      <c r="E5" s="12"/>
      <c r="F5" s="12"/>
      <c r="G5" s="12"/>
    </row>
    <row r="6" spans="1:8" ht="15.5">
      <c r="B6" s="12"/>
      <c r="C6" s="12"/>
      <c r="D6" s="12"/>
      <c r="E6" s="12"/>
      <c r="F6" s="12"/>
      <c r="G6" s="12"/>
    </row>
    <row r="7" spans="1:8" ht="17.5">
      <c r="A7" s="47" t="s">
        <v>804</v>
      </c>
      <c r="B7" s="12"/>
      <c r="C7" s="12"/>
      <c r="D7" s="12"/>
      <c r="E7" s="12"/>
      <c r="F7" s="12"/>
      <c r="G7" s="12"/>
    </row>
    <row r="8" spans="1:8" ht="15.5">
      <c r="A8" s="907" t="str">
        <f>"Mix energia elettrica consumata - Anno di riferimento "&amp;'7'!$AQ$4</f>
        <v>Mix energia elettrica consumata - Anno di riferimento 2025</v>
      </c>
      <c r="B8" s="907"/>
      <c r="C8" s="907"/>
      <c r="D8" s="908"/>
      <c r="E8" s="908"/>
      <c r="F8" s="908"/>
      <c r="G8" s="908"/>
      <c r="H8" s="908"/>
    </row>
    <row r="9" spans="1:8" ht="18">
      <c r="A9" s="878" t="s">
        <v>624</v>
      </c>
      <c r="B9" s="877" t="s">
        <v>488</v>
      </c>
      <c r="C9" s="877" t="s">
        <v>765</v>
      </c>
      <c r="D9" s="877" t="s">
        <v>688</v>
      </c>
      <c r="E9" s="877" t="s">
        <v>761</v>
      </c>
      <c r="F9" s="877" t="s">
        <v>689</v>
      </c>
      <c r="G9" s="877" t="s">
        <v>674</v>
      </c>
      <c r="H9" s="877" t="s">
        <v>778</v>
      </c>
    </row>
    <row r="10" spans="1:8" ht="15.5">
      <c r="A10" s="865" t="s">
        <v>272</v>
      </c>
      <c r="B10" s="957">
        <v>5.9400000000000001E-2</v>
      </c>
      <c r="C10" s="879">
        <f>HLOOKUP('7'!$AQ$4,'7'!$A$4:$AK$14,3,FALSE)</f>
        <v>862.41226324509501</v>
      </c>
      <c r="D10" s="800">
        <f>IF($B$17=1,B10*D$17,0)</f>
        <v>5940</v>
      </c>
      <c r="E10" s="821">
        <f>HLOOKUP('7'!$AQ$4,'3'!$A$68:$AK$87,2,FALSE)</f>
        <v>1.147404935978281</v>
      </c>
      <c r="F10" s="800">
        <f>D10*E10*(1+$B$18)</f>
        <v>7248.2817820122991</v>
      </c>
      <c r="G10" s="879">
        <f t="shared" ref="G10:G16" si="0">F10*C10/1000</f>
        <v>6251.0070962634172</v>
      </c>
      <c r="H10" s="879"/>
    </row>
    <row r="11" spans="1:8" ht="15.5">
      <c r="A11" s="865" t="s">
        <v>274</v>
      </c>
      <c r="B11" s="957">
        <v>0</v>
      </c>
      <c r="C11" s="879">
        <f>'7'!AS8</f>
        <v>1012.49</v>
      </c>
      <c r="D11" s="800">
        <f t="shared" ref="D11:D16" si="1">IF($B$17=1,B11*D$17,0)</f>
        <v>0</v>
      </c>
      <c r="E11" s="821">
        <f>'7'!BB8</f>
        <v>1.3640000000000001</v>
      </c>
      <c r="F11" s="800">
        <f t="shared" ref="F11:F16" si="2">D11*E11*(1+$B$18)</f>
        <v>0</v>
      </c>
      <c r="G11" s="879">
        <f t="shared" si="0"/>
        <v>0</v>
      </c>
      <c r="H11" s="879"/>
    </row>
    <row r="12" spans="1:8" ht="15.5">
      <c r="A12" s="865" t="s">
        <v>6</v>
      </c>
      <c r="B12" s="957">
        <v>0.33260000000000001</v>
      </c>
      <c r="C12" s="879">
        <f>HLOOKUP('7'!$AQ$4,'7'!$A$4:$AK$14,4,FALSE)</f>
        <v>370.558634192228</v>
      </c>
      <c r="D12" s="800">
        <f t="shared" si="1"/>
        <v>33260</v>
      </c>
      <c r="E12" s="821">
        <f>HLOOKUP('7'!$AQ$4,'3'!$A$68:$AK$87,4,FALSE)</f>
        <v>1.0254742758590709</v>
      </c>
      <c r="F12" s="800">
        <f t="shared" si="2"/>
        <v>36272.619911586531</v>
      </c>
      <c r="G12" s="879">
        <f t="shared" si="0"/>
        <v>13441.132493011319</v>
      </c>
      <c r="H12" s="879"/>
    </row>
    <row r="13" spans="1:8" ht="15.5">
      <c r="A13" s="865" t="s">
        <v>841</v>
      </c>
      <c r="B13" s="957">
        <v>5.4999999999999997E-3</v>
      </c>
      <c r="C13" s="879">
        <f>HLOOKUP('7'!$AQ$4,'7'!$A$4:$AK$14,10,FALSE)</f>
        <v>476.57682278436658</v>
      </c>
      <c r="D13" s="800">
        <f t="shared" si="1"/>
        <v>550</v>
      </c>
      <c r="E13" s="821">
        <f>HLOOKUP('7'!$AQ$4,'3'!$A$68:$AK$87,18,FALSE)</f>
        <v>1.062627105363448</v>
      </c>
      <c r="F13" s="800">
        <f t="shared" si="2"/>
        <v>621.54916711727458</v>
      </c>
      <c r="G13" s="879">
        <f t="shared" si="0"/>
        <v>296.21592726902003</v>
      </c>
      <c r="H13" s="879"/>
    </row>
    <row r="14" spans="1:8" ht="15.5">
      <c r="A14" s="821" t="s">
        <v>839</v>
      </c>
      <c r="B14" s="957">
        <v>3.7100000000000001E-2</v>
      </c>
      <c r="C14" s="879">
        <f>HLOOKUP('7'!$AQ$4,'7'!$A$4:$AK$14,11,FALSE)</f>
        <v>683.78407959186154</v>
      </c>
      <c r="D14" s="800">
        <f t="shared" si="1"/>
        <v>3710</v>
      </c>
      <c r="E14" s="821">
        <f>HLOOKUP('7'!$AQ$4,'3'!$A$68:$AK$87,19,FALSE)</f>
        <v>1.0576427102888462</v>
      </c>
      <c r="F14" s="800">
        <f>D14*E14*(1+$B$18)</f>
        <v>4172.9655530002628</v>
      </c>
      <c r="G14" s="879">
        <f t="shared" si="0"/>
        <v>2853.4074098268284</v>
      </c>
      <c r="H14" s="879"/>
    </row>
    <row r="15" spans="1:8" ht="15.5">
      <c r="A15" s="83" t="s">
        <v>613</v>
      </c>
      <c r="B15" s="957">
        <v>2.5100000000000001E-2</v>
      </c>
      <c r="C15" s="883">
        <v>0</v>
      </c>
      <c r="D15" s="800">
        <f t="shared" si="1"/>
        <v>2510</v>
      </c>
      <c r="E15" s="968">
        <f>'7'!BB14</f>
        <v>1.0534970340717804</v>
      </c>
      <c r="F15" s="800">
        <f t="shared" si="2"/>
        <v>2812.1530188802035</v>
      </c>
      <c r="G15" s="879">
        <f t="shared" si="0"/>
        <v>0</v>
      </c>
      <c r="H15" s="879">
        <f>(F15)*('3'!BF50)</f>
        <v>392.07672346261273</v>
      </c>
    </row>
    <row r="16" spans="1:8" ht="15.5">
      <c r="A16" s="83" t="s">
        <v>706</v>
      </c>
      <c r="B16" s="957">
        <v>0.5403</v>
      </c>
      <c r="C16" s="969">
        <v>0</v>
      </c>
      <c r="D16" s="800">
        <f t="shared" si="1"/>
        <v>54030</v>
      </c>
      <c r="E16" s="821">
        <f>HLOOKUP('7'!$AQ$4,'3'!$A$68:$AK$87,20,FALSE)</f>
        <v>1.0346485742844735</v>
      </c>
      <c r="F16" s="800">
        <f t="shared" si="2"/>
        <v>59451.078955193414</v>
      </c>
      <c r="G16" s="879">
        <f t="shared" si="0"/>
        <v>0</v>
      </c>
      <c r="H16" s="879"/>
    </row>
    <row r="17" spans="1:8" ht="15.5">
      <c r="A17" s="876" t="s">
        <v>49</v>
      </c>
      <c r="B17" s="971">
        <f>SUM(B10:B16)</f>
        <v>1</v>
      </c>
      <c r="C17" s="893">
        <f>IFERROR(SUMPRODUCT(F10:F16,C10:C16)/F17,0)</f>
        <v>206.56576345793673</v>
      </c>
      <c r="D17" s="972">
        <v>100000</v>
      </c>
      <c r="E17" s="894">
        <f>SUMPRODUCT(E10:E16,B10:B16)</f>
        <v>1.0397749912201548</v>
      </c>
      <c r="F17" s="901">
        <f>SUM(F10:F16)</f>
        <v>110578.64838778999</v>
      </c>
      <c r="G17" s="970">
        <f>SUM(G10:G16)</f>
        <v>22841.762926370582</v>
      </c>
      <c r="H17" s="970">
        <f>SUM(H10:H16)</f>
        <v>392.07672346261273</v>
      </c>
    </row>
    <row r="18" spans="1:8" ht="15.5">
      <c r="A18" s="83" t="s">
        <v>764</v>
      </c>
      <c r="B18" s="821">
        <f>HLOOKUP('7'!AQ4,'1'!$A$4:$AK$20,17,FALSE)</f>
        <v>6.348632465210749E-2</v>
      </c>
      <c r="D18" s="953"/>
    </row>
    <row r="19" spans="1:8" ht="15.5">
      <c r="A19" s="47" t="s">
        <v>810</v>
      </c>
      <c r="C19" s="12"/>
      <c r="D19" s="12"/>
      <c r="E19" s="12"/>
      <c r="F19" s="12"/>
      <c r="G19" s="12"/>
    </row>
    <row r="20" spans="1:8" ht="15.5">
      <c r="A20" s="47" t="s">
        <v>840</v>
      </c>
      <c r="B20" s="12"/>
      <c r="C20" s="12"/>
      <c r="D20" s="12"/>
      <c r="E20" s="12"/>
      <c r="F20" s="241"/>
      <c r="G20" s="12"/>
    </row>
    <row r="21" spans="1:8" ht="15.5">
      <c r="A21" s="903" t="s">
        <v>807</v>
      </c>
      <c r="B21" s="956" t="str">
        <f>IF(B17&lt;&gt;1,"ATTENZIONE, la somma del mix non è 100%", "OK")</f>
        <v>OK</v>
      </c>
      <c r="F21" s="426"/>
    </row>
    <row r="22" spans="1:8" ht="15.5">
      <c r="A22" s="903" t="s">
        <v>811</v>
      </c>
      <c r="B22" s="955">
        <f>1-B17</f>
        <v>0</v>
      </c>
      <c r="G22" s="426"/>
    </row>
    <row r="23" spans="1:8" ht="15.5">
      <c r="A23" s="903"/>
      <c r="B23" s="955"/>
    </row>
    <row r="25" spans="1:8" ht="15.5">
      <c r="A25" s="995" t="str">
        <f>"Mix iniziale per la produzione di energia elettrica immessa in rete (GSE)* - Anno di riferimento "&amp;'3'!AN43</f>
        <v>Mix iniziale per la produzione di energia elettrica immessa in rete (GSE)* - Anno di riferimento 2025</v>
      </c>
      <c r="B25" s="907"/>
      <c r="C25" s="907"/>
      <c r="D25" s="908"/>
      <c r="E25" s="908"/>
      <c r="F25" s="908"/>
      <c r="G25" s="908"/>
      <c r="H25" s="908"/>
    </row>
    <row r="26" spans="1:8" ht="18">
      <c r="A26" s="878" t="s">
        <v>624</v>
      </c>
      <c r="B26" s="877" t="s">
        <v>825</v>
      </c>
      <c r="C26" s="877" t="s">
        <v>765</v>
      </c>
      <c r="D26" s="877" t="s">
        <v>806</v>
      </c>
      <c r="E26" s="877" t="s">
        <v>762</v>
      </c>
      <c r="F26" s="877" t="s">
        <v>781</v>
      </c>
      <c r="G26" s="877" t="s">
        <v>702</v>
      </c>
      <c r="H26" s="877" t="s">
        <v>778</v>
      </c>
    </row>
    <row r="27" spans="1:8" ht="15.5">
      <c r="A27" s="865" t="s">
        <v>272</v>
      </c>
      <c r="B27" s="981">
        <f>'3'!AP45</f>
        <v>1.2549402220863964E-2</v>
      </c>
      <c r="C27" s="879">
        <f>'3'!AW45</f>
        <v>862.41226324509501</v>
      </c>
      <c r="D27" s="800">
        <f t="shared" ref="D27:D33" si="3">B27*D$34</f>
        <v>2925.7148239271064</v>
      </c>
      <c r="E27" s="821">
        <f>'3'!AY45</f>
        <v>1.147404935978281</v>
      </c>
      <c r="F27" s="800">
        <f>D27*E27</f>
        <v>3356.979630238789</v>
      </c>
      <c r="G27" s="879">
        <f t="shared" ref="G27:G33" si="4">F27*C27/1000</f>
        <v>2895.1004005819163</v>
      </c>
      <c r="H27" s="879"/>
    </row>
    <row r="28" spans="1:8" ht="15.5">
      <c r="A28" s="865" t="s">
        <v>274</v>
      </c>
      <c r="B28" s="981">
        <f>'3'!AP46</f>
        <v>0</v>
      </c>
      <c r="C28" s="879">
        <f>'3'!AW46</f>
        <v>1012.49</v>
      </c>
      <c r="D28" s="800">
        <f t="shared" si="3"/>
        <v>0</v>
      </c>
      <c r="E28" s="821">
        <f>'3'!AY46</f>
        <v>1.3640000000000001</v>
      </c>
      <c r="F28" s="800">
        <f t="shared" ref="F28:F33" si="5">D28*E28</f>
        <v>0</v>
      </c>
      <c r="G28" s="879">
        <f t="shared" si="4"/>
        <v>0</v>
      </c>
      <c r="H28" s="879"/>
    </row>
    <row r="29" spans="1:8" ht="15.5">
      <c r="A29" s="865" t="s">
        <v>6</v>
      </c>
      <c r="B29" s="981">
        <f>'3'!AP47</f>
        <v>0.44567880299109408</v>
      </c>
      <c r="C29" s="879">
        <f>'3'!AW47</f>
        <v>370.558634192228</v>
      </c>
      <c r="D29" s="800">
        <f t="shared" si="3"/>
        <v>103903.68064331303</v>
      </c>
      <c r="E29" s="821">
        <f>'3'!AY47</f>
        <v>1.0254742758590709</v>
      </c>
      <c r="F29" s="800">
        <f t="shared" si="5"/>
        <v>106550.55166679359</v>
      </c>
      <c r="G29" s="879">
        <f t="shared" si="4"/>
        <v>39483.226898075452</v>
      </c>
      <c r="H29" s="879"/>
    </row>
    <row r="30" spans="1:8" ht="15.5">
      <c r="A30" s="865" t="s">
        <v>841</v>
      </c>
      <c r="B30" s="981">
        <f>'3'!AP48</f>
        <v>4.0556974663830229E-3</v>
      </c>
      <c r="C30" s="879">
        <f>'3'!AW48</f>
        <v>476.57682278436658</v>
      </c>
      <c r="D30" s="800">
        <f t="shared" si="3"/>
        <v>945.52824030398449</v>
      </c>
      <c r="E30" s="821">
        <f>'3'!AY48</f>
        <v>1.062627105363448</v>
      </c>
      <c r="F30" s="800">
        <f t="shared" si="5"/>
        <v>1004.7439370336176</v>
      </c>
      <c r="G30" s="990">
        <f t="shared" si="4"/>
        <v>478.83767322333716</v>
      </c>
      <c r="H30" s="879"/>
    </row>
    <row r="31" spans="1:8" ht="15.5">
      <c r="A31" s="821" t="s">
        <v>826</v>
      </c>
      <c r="B31" s="981">
        <f>'3'!AP49</f>
        <v>4.3951832897834546E-2</v>
      </c>
      <c r="C31" s="879">
        <f>'3'!AW49</f>
        <v>683.78407959186154</v>
      </c>
      <c r="D31" s="800">
        <f t="shared" si="3"/>
        <v>10246.745365621789</v>
      </c>
      <c r="E31" s="821">
        <f>'3'!AY49</f>
        <v>1.0576427102888462</v>
      </c>
      <c r="F31" s="800">
        <f t="shared" si="5"/>
        <v>10837.395540135904</v>
      </c>
      <c r="G31" s="879">
        <f t="shared" si="4"/>
        <v>7410.4385345847741</v>
      </c>
      <c r="H31" s="879"/>
    </row>
    <row r="32" spans="1:8" ht="15.5">
      <c r="A32" s="83" t="s">
        <v>613</v>
      </c>
      <c r="B32" s="981">
        <f>'3'!AP50</f>
        <v>0</v>
      </c>
      <c r="C32" s="879">
        <f>'3'!AW50</f>
        <v>0</v>
      </c>
      <c r="D32" s="879">
        <f t="shared" si="3"/>
        <v>0</v>
      </c>
      <c r="E32" s="821">
        <f>'3'!AY50</f>
        <v>1.0534970340717804</v>
      </c>
      <c r="F32" s="800">
        <f t="shared" si="5"/>
        <v>0</v>
      </c>
      <c r="G32" s="879">
        <f t="shared" si="4"/>
        <v>0</v>
      </c>
      <c r="H32" s="879">
        <f>(F32)*('3'!BF50)</f>
        <v>0</v>
      </c>
    </row>
    <row r="33" spans="1:8" ht="15.5">
      <c r="A33" s="83" t="s">
        <v>706</v>
      </c>
      <c r="B33" s="981">
        <f>'3'!AP51</f>
        <v>0.49376426442382437</v>
      </c>
      <c r="C33" s="879">
        <f>'3'!AW51</f>
        <v>0</v>
      </c>
      <c r="D33" s="879">
        <f t="shared" si="3"/>
        <v>115114.12277060574</v>
      </c>
      <c r="E33" s="821">
        <f>'3'!AY51</f>
        <v>1.0346485742844735</v>
      </c>
      <c r="F33" s="800">
        <f t="shared" si="5"/>
        <v>119102.66300461508</v>
      </c>
      <c r="G33" s="879">
        <f t="shared" si="4"/>
        <v>0</v>
      </c>
      <c r="H33" s="879"/>
    </row>
    <row r="34" spans="1:8" ht="15.5">
      <c r="A34" s="876" t="s">
        <v>49</v>
      </c>
      <c r="B34" s="896">
        <f>SUM(B27:B33)</f>
        <v>1</v>
      </c>
      <c r="C34" s="893">
        <f>SUMPRODUCT(F27:F33,C27:C33)/F34</f>
        <v>208.7071473122115</v>
      </c>
      <c r="D34" s="954">
        <f>'3'!AO61*1000</f>
        <v>233135.79184377164</v>
      </c>
      <c r="E34" s="894">
        <f>SUMPRODUCT(E27:E33,B27:B33)</f>
        <v>1.0330989157607182</v>
      </c>
      <c r="F34" s="901">
        <f>SUM(F27:F33)</f>
        <v>240852.33377881697</v>
      </c>
      <c r="G34" s="970">
        <f>SUM(G27:G33)</f>
        <v>50267.603506465486</v>
      </c>
      <c r="H34" s="970">
        <f>SUM(H27:H33)</f>
        <v>0</v>
      </c>
    </row>
    <row r="35" spans="1:8" ht="15.5">
      <c r="A35" s="47" t="s">
        <v>838</v>
      </c>
    </row>
    <row r="36" spans="1:8" ht="15.5">
      <c r="A36" s="47" t="s">
        <v>827</v>
      </c>
    </row>
    <row r="38" spans="1:8" ht="15.5">
      <c r="A38" s="995" t="str">
        <f>"Mix energetico residuale nazionale (GSE) - Anno di riferimento "&amp;'3'!AN43</f>
        <v>Mix energetico residuale nazionale (GSE) - Anno di riferimento 2025</v>
      </c>
      <c r="B38" s="907"/>
      <c r="C38" s="907"/>
      <c r="D38" s="908"/>
      <c r="E38" s="908"/>
      <c r="F38" s="908"/>
      <c r="G38" s="908"/>
      <c r="H38" s="908"/>
    </row>
    <row r="39" spans="1:8" ht="18">
      <c r="A39" s="878" t="s">
        <v>624</v>
      </c>
      <c r="B39" s="877" t="s">
        <v>488</v>
      </c>
      <c r="C39" s="877" t="s">
        <v>765</v>
      </c>
      <c r="D39" s="877" t="s">
        <v>808</v>
      </c>
      <c r="E39" s="877" t="s">
        <v>762</v>
      </c>
      <c r="F39" s="877" t="s">
        <v>781</v>
      </c>
      <c r="G39" s="877" t="s">
        <v>702</v>
      </c>
      <c r="H39" s="877" t="s">
        <v>778</v>
      </c>
    </row>
    <row r="40" spans="1:8" ht="15.5">
      <c r="A40" s="865" t="s">
        <v>272</v>
      </c>
      <c r="B40" s="981">
        <f>'3'!AU45</f>
        <v>9.1499999999999998E-2</v>
      </c>
      <c r="C40" s="879">
        <f>'3'!AW45</f>
        <v>862.41226324509501</v>
      </c>
      <c r="D40" s="800">
        <f>B40*D$47</f>
        <v>7242.6271810271664</v>
      </c>
      <c r="E40" s="821">
        <f>'3'!AY45</f>
        <v>1.147404935978281</v>
      </c>
      <c r="F40" s="800">
        <f>D40*E40</f>
        <v>8310.2261769610341</v>
      </c>
      <c r="G40" s="879">
        <f t="shared" ref="G40:G46" si="6">F40*C40/1000</f>
        <v>7166.8409653515982</v>
      </c>
      <c r="H40" s="879"/>
    </row>
    <row r="41" spans="1:8" ht="15.5">
      <c r="A41" s="865" t="s">
        <v>274</v>
      </c>
      <c r="B41" s="981">
        <f>'3'!AU46</f>
        <v>6.9999999999999999E-4</v>
      </c>
      <c r="C41" s="879">
        <f>'3'!AW46</f>
        <v>1012.49</v>
      </c>
      <c r="D41" s="800">
        <f t="shared" ref="D41:D46" si="7">B41*D$47</f>
        <v>55.408076794743351</v>
      </c>
      <c r="E41" s="821">
        <f>'3'!AY46</f>
        <v>1.3640000000000001</v>
      </c>
      <c r="F41" s="800">
        <f t="shared" ref="F41:F46" si="8">D41*E41</f>
        <v>75.576616748029934</v>
      </c>
      <c r="G41" s="879">
        <f t="shared" si="6"/>
        <v>76.52056869121283</v>
      </c>
      <c r="H41" s="879"/>
    </row>
    <row r="42" spans="1:8" ht="15.5">
      <c r="A42" s="865" t="s">
        <v>6</v>
      </c>
      <c r="B42" s="981">
        <f>'3'!AU47</f>
        <v>0.68379999999999996</v>
      </c>
      <c r="C42" s="879">
        <f>'3'!AW47</f>
        <v>370.558634192228</v>
      </c>
      <c r="D42" s="800">
        <f t="shared" si="7"/>
        <v>54125.775588922144</v>
      </c>
      <c r="E42" s="821">
        <f>'3'!AY47</f>
        <v>1.0254742758590709</v>
      </c>
      <c r="F42" s="800">
        <f t="shared" si="8"/>
        <v>55504.590527360517</v>
      </c>
      <c r="G42" s="879">
        <f t="shared" si="6"/>
        <v>20567.705257217589</v>
      </c>
      <c r="H42" s="879"/>
    </row>
    <row r="43" spans="1:8" ht="15.5">
      <c r="A43" s="865" t="s">
        <v>841</v>
      </c>
      <c r="B43" s="981">
        <f>'3'!AU48</f>
        <v>9.1999999999999998E-3</v>
      </c>
      <c r="C43" s="879">
        <f>'3'!AW48</f>
        <v>476.57682278436658</v>
      </c>
      <c r="D43" s="800">
        <f t="shared" si="7"/>
        <v>728.2204378737697</v>
      </c>
      <c r="E43" s="821">
        <f>'3'!AY48</f>
        <v>1.062627105363448</v>
      </c>
      <c r="F43" s="800">
        <f t="shared" si="8"/>
        <v>773.82677596430642</v>
      </c>
      <c r="G43" s="990">
        <f t="shared" si="6"/>
        <v>368.78790627453901</v>
      </c>
      <c r="H43" s="879"/>
    </row>
    <row r="44" spans="1:8" ht="15.5">
      <c r="A44" s="821" t="s">
        <v>714</v>
      </c>
      <c r="B44" s="981">
        <f>'3'!AU49</f>
        <v>7.0699999999999999E-2</v>
      </c>
      <c r="C44" s="879">
        <f>'3'!AW49</f>
        <v>683.78407959186154</v>
      </c>
      <c r="D44" s="800">
        <f t="shared" si="7"/>
        <v>5596.2157562690782</v>
      </c>
      <c r="E44" s="821">
        <f>'3'!AY49</f>
        <v>1.0576427102888462</v>
      </c>
      <c r="F44" s="800">
        <f t="shared" si="8"/>
        <v>5918.7967998215727</v>
      </c>
      <c r="G44" s="879">
        <f t="shared" si="6"/>
        <v>4047.1790220572498</v>
      </c>
      <c r="H44" s="879"/>
    </row>
    <row r="45" spans="1:8" ht="15.5">
      <c r="A45" s="83" t="s">
        <v>613</v>
      </c>
      <c r="B45" s="981">
        <f>'3'!AU50</f>
        <v>4.6300000000000001E-2</v>
      </c>
      <c r="C45" s="879">
        <f>'3'!AW50</f>
        <v>0</v>
      </c>
      <c r="D45" s="800">
        <f t="shared" si="7"/>
        <v>3664.8485079951674</v>
      </c>
      <c r="E45" s="821">
        <f>'3'!AY50</f>
        <v>1.0534970340717804</v>
      </c>
      <c r="F45" s="800">
        <f t="shared" si="8"/>
        <v>3860.9070334952985</v>
      </c>
      <c r="G45" s="879">
        <f t="shared" si="6"/>
        <v>0</v>
      </c>
      <c r="H45" s="879">
        <f>(F45)*('3'!BF50)</f>
        <v>538.29637616568073</v>
      </c>
    </row>
    <row r="46" spans="1:8" ht="15.5">
      <c r="A46" s="83" t="s">
        <v>706</v>
      </c>
      <c r="B46" s="981">
        <f>'3'!AU51</f>
        <v>9.7799999999999998E-2</v>
      </c>
      <c r="C46" s="879">
        <f>'3'!AW51</f>
        <v>0</v>
      </c>
      <c r="D46" s="800">
        <f t="shared" si="7"/>
        <v>7741.2998721798567</v>
      </c>
      <c r="E46" s="821">
        <f>'3'!AY51</f>
        <v>1.0346485742844735</v>
      </c>
      <c r="F46" s="800">
        <f t="shared" si="8"/>
        <v>8009.5248758594662</v>
      </c>
      <c r="G46" s="879">
        <f t="shared" si="6"/>
        <v>0</v>
      </c>
      <c r="H46" s="879"/>
    </row>
    <row r="47" spans="1:8" ht="15.5">
      <c r="A47" s="876" t="s">
        <v>49</v>
      </c>
      <c r="B47" s="896">
        <f>SUM(B40:B46)</f>
        <v>1</v>
      </c>
      <c r="C47" s="893">
        <f>SUMPRODUCT(F40:F46,C40:C46)/F47</f>
        <v>390.85125226641713</v>
      </c>
      <c r="D47" s="954">
        <f>'3'!$BC$61*1000</f>
        <v>79154.395421061927</v>
      </c>
      <c r="E47" s="894">
        <f>SUMPRODUCT(E40:E46,B40:B46)</f>
        <v>1.0416787137037555</v>
      </c>
      <c r="F47" s="901">
        <f>SUM(F40:F46)</f>
        <v>82453.448806210232</v>
      </c>
      <c r="G47" s="970">
        <f>SUM(G40:G46)</f>
        <v>32227.033719592189</v>
      </c>
      <c r="H47" s="970">
        <f>SUM(H40:H46)</f>
        <v>538.29637616568073</v>
      </c>
    </row>
    <row r="48" spans="1:8" ht="15.5">
      <c r="A48" s="47" t="s">
        <v>809</v>
      </c>
      <c r="B48" s="1049"/>
      <c r="C48" s="1050"/>
      <c r="D48" s="1051"/>
      <c r="E48" s="1052"/>
      <c r="F48" s="1053"/>
      <c r="G48" s="1054"/>
      <c r="H48" s="1054"/>
    </row>
    <row r="49" spans="1:7" ht="15.5">
      <c r="A49" s="47"/>
      <c r="B49" s="1049"/>
      <c r="C49" s="1050"/>
      <c r="D49" s="1051"/>
      <c r="E49" s="1052"/>
      <c r="F49" s="1053"/>
      <c r="G49" s="1054"/>
    </row>
    <row r="51" spans="1:7" ht="15.5">
      <c r="A51" s="47" t="s">
        <v>696</v>
      </c>
    </row>
    <row r="52" spans="1:7" ht="15.5">
      <c r="A52" s="951"/>
      <c r="B52" s="83"/>
      <c r="C52" s="67">
        <f>'7'!AQ4</f>
        <v>2025</v>
      </c>
      <c r="D52" s="227"/>
      <c r="E52" s="1002">
        <f>C52</f>
        <v>2025</v>
      </c>
    </row>
    <row r="53" spans="1:7" ht="15.5">
      <c r="A53" s="952"/>
      <c r="B53" s="83"/>
      <c r="C53" s="941" t="s">
        <v>116</v>
      </c>
      <c r="D53" s="227"/>
      <c r="E53" s="941" t="s">
        <v>116</v>
      </c>
    </row>
    <row r="54" spans="1:7" ht="15.5">
      <c r="A54" s="83" t="str">
        <f>'1'!A6</f>
        <v>Produzione lorda</v>
      </c>
      <c r="B54" s="83" t="s">
        <v>642</v>
      </c>
      <c r="C54" s="744">
        <f>HLOOKUP('7'!$AQ$4,'1'!$A$4:$AK$20,3,FALSE)</f>
        <v>277.66688938778822</v>
      </c>
      <c r="D54" s="83" t="s">
        <v>679</v>
      </c>
      <c r="E54" s="744">
        <f>C66*C67*(1+C69)</f>
        <v>326.72289742859749</v>
      </c>
    </row>
    <row r="55" spans="1:7" ht="15.5">
      <c r="A55" s="84" t="str">
        <f>'1'!A7</f>
        <v>di cui da pompaggi</v>
      </c>
      <c r="B55" s="83" t="s">
        <v>645</v>
      </c>
      <c r="C55" s="745">
        <f>HLOOKUP('7'!$AQ$4,'1'!$A$4:$AK$20,4,FALSE)</f>
        <v>1.8171891483516482</v>
      </c>
      <c r="D55" s="83" t="s">
        <v>654</v>
      </c>
      <c r="E55" s="745">
        <f>C55/C54*E54</f>
        <v>2.1382358733312037</v>
      </c>
    </row>
    <row r="56" spans="1:7" ht="15.5">
      <c r="A56" s="84" t="str">
        <f>'1'!A8</f>
        <v>di cui da accumuli stand alone</v>
      </c>
      <c r="B56" s="83" t="s">
        <v>646</v>
      </c>
      <c r="C56" s="745">
        <f>HLOOKUP('7'!$AQ$4,'1'!$A$4:$AK$20,5,FALSE)</f>
        <v>1.6914058901206892</v>
      </c>
      <c r="D56" s="83" t="s">
        <v>657</v>
      </c>
      <c r="E56" s="745">
        <f>C56/C54*E54</f>
        <v>1.9902302156604625</v>
      </c>
    </row>
    <row r="57" spans="1:7" ht="31">
      <c r="A57" s="830" t="s">
        <v>641</v>
      </c>
      <c r="B57" s="830" t="s">
        <v>647</v>
      </c>
      <c r="C57" s="831">
        <f>C54-C55-C56</f>
        <v>274.1582943493159</v>
      </c>
      <c r="D57" s="832" t="s">
        <v>680</v>
      </c>
      <c r="E57" s="831">
        <f>C66*C68*(1+C69)</f>
        <v>322.59443133960588</v>
      </c>
    </row>
    <row r="58" spans="1:7" ht="15.5">
      <c r="A58" s="83" t="str">
        <f>'1'!A10</f>
        <v>Servizi ausiliari</v>
      </c>
      <c r="B58" s="83" t="s">
        <v>465</v>
      </c>
      <c r="C58" s="744">
        <f>HLOOKUP('7'!$AQ$4,'1'!$A$4:$AK$20,7,FALSE)</f>
        <v>7.9186893877881701</v>
      </c>
      <c r="D58" s="83" t="s">
        <v>658</v>
      </c>
      <c r="E58" s="744">
        <f>C58/C54*E54</f>
        <v>9.3177013158452002</v>
      </c>
    </row>
    <row r="59" spans="1:7" ht="15.5">
      <c r="A59" s="83" t="str">
        <f>'1'!A11</f>
        <v>Produzione netta</v>
      </c>
      <c r="B59" s="83" t="s">
        <v>659</v>
      </c>
      <c r="C59" s="744">
        <f>C54-C58</f>
        <v>269.74820000000005</v>
      </c>
      <c r="D59" s="83" t="s">
        <v>660</v>
      </c>
      <c r="E59" s="744">
        <f>E54-E58</f>
        <v>317.40519611275226</v>
      </c>
    </row>
    <row r="60" spans="1:7" ht="15.5">
      <c r="A60" s="83" t="str">
        <f>'1'!A12</f>
        <v>Destinata a pompaggi</v>
      </c>
      <c r="B60" s="83" t="s">
        <v>648</v>
      </c>
      <c r="C60" s="744">
        <f>HLOOKUP('7'!$AQ$4,'1'!$A$4:$AK$20,9,FALSE)</f>
        <v>2.4302127351664251</v>
      </c>
      <c r="D60" s="83" t="s">
        <v>655</v>
      </c>
      <c r="E60" s="744">
        <f>C60/$C$59*$E$59</f>
        <v>2.8595636590020139</v>
      </c>
    </row>
    <row r="61" spans="1:7" ht="15.5">
      <c r="A61" s="83" t="str">
        <f>'1'!A13</f>
        <v>Assorbita da accumuli stand alone</v>
      </c>
      <c r="B61" s="83" t="s">
        <v>649</v>
      </c>
      <c r="C61" s="744">
        <f>HLOOKUP('7'!$AQ$4,'1'!$A$4:$AK$20,10,FALSE)</f>
        <v>1.9168000000000003</v>
      </c>
      <c r="D61" s="83" t="s">
        <v>656</v>
      </c>
      <c r="E61" s="744">
        <f>C61/$C$59*$E$59</f>
        <v>2.2554451889166396</v>
      </c>
    </row>
    <row r="62" spans="1:7" ht="15.5">
      <c r="A62" s="83" t="str">
        <f>'1'!A14</f>
        <v>Produzione destinata al consumo</v>
      </c>
      <c r="B62" s="83" t="s">
        <v>650</v>
      </c>
      <c r="C62" s="744">
        <f>C59-(C60+C61)</f>
        <v>265.40118726483365</v>
      </c>
      <c r="D62" s="83" t="s">
        <v>667</v>
      </c>
      <c r="E62" s="744">
        <f>C62+C63</f>
        <v>312.29018726483366</v>
      </c>
    </row>
    <row r="63" spans="1:7" ht="15.5">
      <c r="A63" s="83" t="str">
        <f>'1'!A15</f>
        <v>Saldo import/export</v>
      </c>
      <c r="B63" s="83" t="s">
        <v>643</v>
      </c>
      <c r="C63" s="744">
        <f>HLOOKUP('7'!$AQ$4,'1'!$A$4:$AK$20,12,FALSE)</f>
        <v>46.889000000000003</v>
      </c>
      <c r="D63" s="83" t="s">
        <v>663</v>
      </c>
      <c r="E63" s="744">
        <v>0</v>
      </c>
    </row>
    <row r="64" spans="1:7" ht="15.5">
      <c r="A64" s="83" t="str">
        <f>'1'!A16</f>
        <v>Energia richiesta</v>
      </c>
      <c r="B64" s="83" t="s">
        <v>651</v>
      </c>
      <c r="C64" s="744">
        <f>C62+C63</f>
        <v>312.29018726483366</v>
      </c>
      <c r="D64" s="83" t="s">
        <v>661</v>
      </c>
      <c r="E64" s="744">
        <f>E62+E63</f>
        <v>312.29018726483366</v>
      </c>
    </row>
    <row r="65" spans="1:5" ht="15.5">
      <c r="A65" s="83" t="str">
        <f>'1'!A17</f>
        <v>Perdite di rete</v>
      </c>
      <c r="B65" s="83" t="s">
        <v>644</v>
      </c>
      <c r="C65" s="744">
        <f>HLOOKUP('7'!$AQ$4,'1'!$A$4:$AK$20,14,FALSE)</f>
        <v>18.642605696738311</v>
      </c>
      <c r="D65" s="83" t="s">
        <v>665</v>
      </c>
      <c r="E65" s="744">
        <f>C66*C69</f>
        <v>18.642605696738311</v>
      </c>
    </row>
    <row r="66" spans="1:5" ht="15.5">
      <c r="A66" s="83" t="str">
        <f>'1'!A18</f>
        <v>Consumi elettrici</v>
      </c>
      <c r="B66" s="83" t="s">
        <v>652</v>
      </c>
      <c r="C66" s="744">
        <f>C64-C65</f>
        <v>293.64758156809535</v>
      </c>
      <c r="D66" s="83" t="s">
        <v>666</v>
      </c>
      <c r="E66" s="744">
        <f>C66</f>
        <v>293.64758156809535</v>
      </c>
    </row>
    <row r="67" spans="1:5" ht="15.5">
      <c r="A67" s="789" t="s">
        <v>673</v>
      </c>
      <c r="B67" s="83" t="s">
        <v>653</v>
      </c>
      <c r="C67" s="827">
        <f>C54/C62</f>
        <v>1.0462157017809988</v>
      </c>
      <c r="D67" s="83" t="s">
        <v>662</v>
      </c>
      <c r="E67" s="827">
        <f>E54/E62</f>
        <v>1.0462157017809988</v>
      </c>
    </row>
    <row r="68" spans="1:5" ht="15.5">
      <c r="A68" s="789" t="s">
        <v>664</v>
      </c>
      <c r="B68" s="83" t="s">
        <v>675</v>
      </c>
      <c r="C68" s="827">
        <f>C57/C62</f>
        <v>1.0329957344001777</v>
      </c>
      <c r="D68" s="83" t="s">
        <v>677</v>
      </c>
      <c r="E68" s="827">
        <f>E57/E62</f>
        <v>1.0329957344001777</v>
      </c>
    </row>
    <row r="69" spans="1:5" ht="15.5">
      <c r="A69" s="789" t="str">
        <f>'1'!A20</f>
        <v>% perdite di rete su energia consumata</v>
      </c>
      <c r="B69" s="83" t="s">
        <v>676</v>
      </c>
      <c r="C69" s="827">
        <f>C65/C66</f>
        <v>6.3486324652107476E-2</v>
      </c>
      <c r="D69" s="83" t="s">
        <v>678</v>
      </c>
      <c r="E69" s="827">
        <f>E65/E66</f>
        <v>6.3486324652107476E-2</v>
      </c>
    </row>
    <row r="72" spans="1:5">
      <c r="A72" t="str">
        <f>"Produzione nazionale ("&amp;$A$3&amp;")"</f>
        <v>Produzione nazionale (2025)</v>
      </c>
      <c r="B72" s="147">
        <f>VLOOKUP(VALUE($A$3),'9'!$A$37:$I$41,4,FALSE)</f>
        <v>213.80024504929128</v>
      </c>
    </row>
    <row r="73" spans="1:5">
      <c r="A73" t="str">
        <f>"Immesso in rete - GSE ("&amp;$A$3&amp;")"</f>
        <v>Immesso in rete - GSE (2025)</v>
      </c>
      <c r="B73" s="405">
        <f>C34</f>
        <v>208.7071473122115</v>
      </c>
    </row>
    <row r="74" spans="1:5">
      <c r="A74" t="str">
        <f>"Operatore ("&amp;$A$3&amp;")"</f>
        <v>Operatore (2025)</v>
      </c>
      <c r="B74" s="147">
        <f>C17</f>
        <v>206.56576345793673</v>
      </c>
    </row>
    <row r="75" spans="1:5">
      <c r="A75" t="str">
        <f>"Autoconsumo ("&amp;$A$3&amp;")"</f>
        <v>Autoconsumo (2025)</v>
      </c>
      <c r="B75" s="405">
        <f>'3'!AW61</f>
        <v>237.66396742375875</v>
      </c>
    </row>
    <row r="76" spans="1:5">
      <c r="A76" t="str">
        <f>"Mix residuale - GSE ("&amp;$A$3&amp;")"</f>
        <v>Mix residuale - GSE (2025)</v>
      </c>
      <c r="B76" s="405">
        <f>C47</f>
        <v>390.85125226641713</v>
      </c>
    </row>
    <row r="77" spans="1:5">
      <c r="B77" s="147"/>
    </row>
  </sheetData>
  <sheetProtection algorithmName="SHA-512" hashValue="mNkakQ2w993ESTT1FLaWiQn/2qhHsYdmAInkZF2NFilPA6ytHW+3psb87eW+eHpNHWqBCrT42QVLhklslqVQ1Q==" saltValue="O+YM7y/U3FzYUbzSn6f1gA==" spinCount="100000" sheet="1" objects="1" scenarios="1"/>
  <sortState xmlns:xlrd2="http://schemas.microsoft.com/office/spreadsheetml/2017/richdata2" ref="A73:B74">
    <sortCondition descending="1" ref="A73:A74"/>
  </sortState>
  <phoneticPr fontId="103" type="noConversion"/>
  <conditionalFormatting sqref="B17">
    <cfRule type="cellIs" dxfId="5" priority="5" operator="equal">
      <formula>1</formula>
    </cfRule>
  </conditionalFormatting>
  <conditionalFormatting sqref="B21">
    <cfRule type="containsText" dxfId="4" priority="6" operator="containsText" text="OK">
      <formula>NOT(ISERROR(SEARCH("OK",B21)))</formula>
    </cfRule>
  </conditionalFormatting>
  <conditionalFormatting sqref="B22:B23">
    <cfRule type="cellIs" dxfId="3" priority="4" operator="equal">
      <formula>0</formula>
    </cfRule>
  </conditionalFormatting>
  <conditionalFormatting sqref="B34">
    <cfRule type="cellIs" dxfId="2" priority="3" operator="equal">
      <formula>1</formula>
    </cfRule>
  </conditionalFormatting>
  <conditionalFormatting sqref="B47:B49">
    <cfRule type="cellIs" dxfId="1" priority="1" operator="equal">
      <formula>1</formula>
    </cfRule>
  </conditionalFormatting>
  <dataValidations count="1">
    <dataValidation type="whole" errorStyle="warning" operator="equal" allowBlank="1" showInputMessage="1" showErrorMessage="1" sqref="B17 B34 B47:B49" xr:uid="{F0A5311B-0297-4F14-A245-485114EE2E17}">
      <formula1>1</formula1>
    </dataValidation>
  </dataValidations>
  <hyperlinks>
    <hyperlink ref="A1" location="Indice!A1" display="Torna indietro" xr:uid="{A4BA1028-1CEE-44A6-B842-0D43783AC72F}"/>
  </hyperlinks>
  <pageMargins left="0.7" right="0.7" top="0.75" bottom="0.75" header="0.3" footer="0.3"/>
  <drawing r:id="rId1"/>
  <legacyDrawing r:id="rId2"/>
  <controls>
    <mc:AlternateContent xmlns:mc="http://schemas.openxmlformats.org/markup-compatibility/2006">
      <mc:Choice Requires="x14">
        <control shapeId="56321" r:id="rId3" name="ComboBox1">
          <controlPr defaultSize="0" autoLine="0" linkedCell="A3" listFillRange="yearlist" r:id="rId4">
            <anchor moveWithCells="1">
              <from>
                <xdr:col>0</xdr:col>
                <xdr:colOff>25400</xdr:colOff>
                <xdr:row>2</xdr:row>
                <xdr:rowOff>0</xdr:rowOff>
              </from>
              <to>
                <xdr:col>0</xdr:col>
                <xdr:colOff>1187450</xdr:colOff>
                <xdr:row>3</xdr:row>
                <xdr:rowOff>114300</xdr:rowOff>
              </to>
            </anchor>
          </controlPr>
        </control>
      </mc:Choice>
      <mc:Fallback>
        <control shapeId="56321" r:id="rId3" name="ComboBox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7">
    <tabColor rgb="FFFF0000"/>
  </sheetPr>
  <dimension ref="A1:AQ1147"/>
  <sheetViews>
    <sheetView showGridLines="0" topLeftCell="W117" zoomScale="85" zoomScaleNormal="85" workbookViewId="0">
      <selection activeCell="AL100" sqref="AL100"/>
    </sheetView>
  </sheetViews>
  <sheetFormatPr defaultRowHeight="14.5"/>
  <cols>
    <col min="1" max="1" width="33.453125" customWidth="1"/>
    <col min="2" max="4" width="1.6328125" hidden="1" customWidth="1"/>
    <col min="5" max="5" width="5.08984375" bestFit="1" customWidth="1"/>
    <col min="6" max="9" width="1.6328125" hidden="1" customWidth="1"/>
    <col min="10" max="15" width="10.453125" customWidth="1"/>
    <col min="16" max="16" width="12" customWidth="1"/>
    <col min="17" max="17" width="11.6328125" customWidth="1"/>
    <col min="18" max="23" width="10.453125" customWidth="1"/>
    <col min="24" max="24" width="12.08984375" customWidth="1"/>
    <col min="25" max="25" width="11.81640625" customWidth="1"/>
    <col min="26" max="26" width="13.81640625" customWidth="1"/>
    <col min="27" max="27" width="10.1796875" bestFit="1" customWidth="1"/>
    <col min="28" max="28" width="9" bestFit="1" customWidth="1"/>
    <col min="31" max="31" width="9.81640625" customWidth="1"/>
    <col min="33" max="33" width="10.453125" customWidth="1"/>
    <col min="34" max="34" width="9.81640625" customWidth="1"/>
    <col min="36" max="36" width="27.453125" customWidth="1"/>
    <col min="37" max="43" width="10.81640625" customWidth="1"/>
    <col min="45" max="45" width="10.81640625" customWidth="1"/>
  </cols>
  <sheetData>
    <row r="1" spans="1:43" ht="15.5">
      <c r="A1" s="1114" t="s">
        <v>56</v>
      </c>
      <c r="B1" s="1114"/>
    </row>
    <row r="2" spans="1:43" ht="15.5">
      <c r="A2" s="108"/>
      <c r="B2" s="108"/>
      <c r="J2" s="254">
        <f t="shared" ref="J2:O2" si="0">J13/J20</f>
        <v>0</v>
      </c>
      <c r="K2" s="254">
        <f t="shared" si="0"/>
        <v>0.60274171114018371</v>
      </c>
      <c r="L2" s="254">
        <f t="shared" si="0"/>
        <v>0.9798145897380901</v>
      </c>
      <c r="M2" s="254">
        <f t="shared" si="0"/>
        <v>0.69204772551890625</v>
      </c>
      <c r="N2" s="254">
        <f t="shared" si="0"/>
        <v>0.64813759737243237</v>
      </c>
      <c r="O2" s="254">
        <f t="shared" si="0"/>
        <v>0.72720297495450548</v>
      </c>
      <c r="P2" s="254">
        <f>SUM(K13:O13)/SUM(K20:O20)</f>
        <v>0.61832107413387172</v>
      </c>
    </row>
    <row r="3" spans="1:43">
      <c r="J3" s="166" t="e">
        <f>J57*((J13/11.63)/((J13/11.63)+J50))*41.868</f>
        <v>#DIV/0!</v>
      </c>
      <c r="K3" s="166">
        <f t="shared" ref="K3:P3" si="1">K57*((K13/11.63)/((K13/11.63)+K50))*41.868</f>
        <v>384727.04987643327</v>
      </c>
      <c r="L3" s="166">
        <f t="shared" si="1"/>
        <v>5969.1054564775841</v>
      </c>
      <c r="M3" s="166">
        <f t="shared" si="1"/>
        <v>7856.9506794138651</v>
      </c>
      <c r="N3" s="166">
        <f t="shared" si="1"/>
        <v>76957.722799458905</v>
      </c>
      <c r="O3" s="166">
        <f t="shared" si="1"/>
        <v>34140.112821264753</v>
      </c>
      <c r="P3" s="166">
        <f t="shared" si="1"/>
        <v>508936.32611197402</v>
      </c>
      <c r="AJ3" s="68" t="s">
        <v>264</v>
      </c>
    </row>
    <row r="4" spans="1:43">
      <c r="A4" s="241" t="s">
        <v>686</v>
      </c>
      <c r="J4" s="68"/>
      <c r="R4" s="68" t="s">
        <v>122</v>
      </c>
      <c r="S4" s="68"/>
    </row>
    <row r="5" spans="1:43" ht="15.5">
      <c r="A5" s="68" t="s">
        <v>531</v>
      </c>
      <c r="J5" s="180" t="s">
        <v>5</v>
      </c>
      <c r="K5" s="180" t="s">
        <v>186</v>
      </c>
      <c r="L5" s="180" t="s">
        <v>187</v>
      </c>
      <c r="M5" s="180" t="s">
        <v>190</v>
      </c>
      <c r="N5" s="180" t="s">
        <v>192</v>
      </c>
      <c r="O5" s="180" t="s">
        <v>191</v>
      </c>
      <c r="P5" s="180" t="s">
        <v>189</v>
      </c>
      <c r="Q5" s="2"/>
      <c r="R5" s="180" t="s">
        <v>5</v>
      </c>
      <c r="S5" s="180" t="s">
        <v>186</v>
      </c>
      <c r="T5" s="180" t="s">
        <v>187</v>
      </c>
      <c r="U5" s="180" t="s">
        <v>190</v>
      </c>
      <c r="V5" s="180" t="s">
        <v>192</v>
      </c>
      <c r="W5" s="180" t="s">
        <v>191</v>
      </c>
      <c r="X5" s="180" t="s">
        <v>189</v>
      </c>
      <c r="AA5" s="68"/>
      <c r="AB5" s="553"/>
      <c r="AJ5" s="68"/>
      <c r="AK5" s="180" t="s">
        <v>5</v>
      </c>
      <c r="AL5" s="180" t="s">
        <v>186</v>
      </c>
      <c r="AM5" s="180" t="s">
        <v>187</v>
      </c>
      <c r="AN5" s="180" t="s">
        <v>190</v>
      </c>
      <c r="AO5" s="180" t="s">
        <v>192</v>
      </c>
      <c r="AP5" s="180" t="s">
        <v>191</v>
      </c>
      <c r="AQ5" s="180" t="s">
        <v>189</v>
      </c>
    </row>
    <row r="6" spans="1:43" ht="15.5">
      <c r="A6" s="11" t="s">
        <v>16</v>
      </c>
      <c r="J6" s="179">
        <f t="shared" ref="J6:P6" si="2">SUM(J7:J12)</f>
        <v>3948.4</v>
      </c>
      <c r="K6" s="179">
        <f t="shared" si="2"/>
        <v>47096.44</v>
      </c>
      <c r="L6" s="179">
        <f t="shared" si="2"/>
        <v>16.940000000000001</v>
      </c>
      <c r="M6" s="179">
        <f t="shared" si="2"/>
        <v>778.18</v>
      </c>
      <c r="N6" s="179">
        <f t="shared" si="2"/>
        <v>6354.92</v>
      </c>
      <c r="O6" s="179">
        <f t="shared" si="2"/>
        <v>2051.4649999999997</v>
      </c>
      <c r="P6" s="179">
        <f t="shared" si="2"/>
        <v>60246.345000000001</v>
      </c>
      <c r="Q6" s="2"/>
      <c r="R6" s="916">
        <v>9.42</v>
      </c>
      <c r="S6" s="916">
        <v>6.6260000000000003</v>
      </c>
      <c r="T6" s="916">
        <v>8.9079999999999995</v>
      </c>
      <c r="U6" s="916">
        <v>10.082000000000001</v>
      </c>
      <c r="V6" s="916">
        <v>11.513999999999999</v>
      </c>
      <c r="W6" s="916">
        <v>9.9640000000000004</v>
      </c>
      <c r="X6" s="916">
        <v>7.484</v>
      </c>
      <c r="AA6" s="68"/>
      <c r="AC6" s="403"/>
      <c r="AJ6" s="11" t="s">
        <v>16</v>
      </c>
      <c r="AK6" s="256">
        <f t="shared" ref="AK6:AK20" si="3">IFERROR(J6*3.6/J25,"")</f>
        <v>0.38216560509554137</v>
      </c>
      <c r="AL6" s="256">
        <f t="shared" ref="AL6:AL20" si="4">IFERROR(K6*3.6/K25,"")</f>
        <v>0.54324191362671548</v>
      </c>
      <c r="AM6" s="256">
        <f t="shared" ref="AM6:AM20" si="5">IFERROR(L6*3.6/L25,"")</f>
        <v>0.40413111809609342</v>
      </c>
      <c r="AN6" s="256">
        <f t="shared" ref="AN6:AN20" si="6">IFERROR(M6*3.6/M25,"")</f>
        <v>0.35708893089704197</v>
      </c>
      <c r="AO6" s="256">
        <f t="shared" ref="AO6:AO20" si="7">IFERROR(N6*3.6/N25,"")</f>
        <v>0.31270525897807944</v>
      </c>
      <c r="AP6" s="256">
        <f t="shared" ref="AP6:AP20" si="8">IFERROR(O6*3.6/O25,"")</f>
        <v>0.36131386892649936</v>
      </c>
      <c r="AQ6" s="256">
        <f t="shared" ref="AQ6:AQ20" si="9">IFERROR(P6*3.6/P25,"")</f>
        <v>0.48101590117624587</v>
      </c>
    </row>
    <row r="7" spans="1:43" ht="15.5">
      <c r="A7" s="10" t="s">
        <v>17</v>
      </c>
      <c r="J7" s="912"/>
      <c r="K7" s="912">
        <v>528.5</v>
      </c>
      <c r="L7" s="912">
        <v>16.940000000000001</v>
      </c>
      <c r="M7" s="912">
        <v>196.14</v>
      </c>
      <c r="N7" s="912">
        <v>776.12</v>
      </c>
      <c r="O7" s="912">
        <v>2005.55</v>
      </c>
      <c r="P7" s="179">
        <f t="shared" ref="P7:P12" si="10">SUM(J7:O7)</f>
        <v>3523.25</v>
      </c>
      <c r="Q7" s="2"/>
      <c r="R7" s="913"/>
      <c r="S7" s="913">
        <v>8.1780000000000008</v>
      </c>
      <c r="T7" s="913">
        <v>8.9079999999999995</v>
      </c>
      <c r="U7" s="913">
        <v>9.5830000000000002</v>
      </c>
      <c r="V7" s="913">
        <v>9.15</v>
      </c>
      <c r="W7" s="913">
        <v>9.9369999999999994</v>
      </c>
      <c r="X7" s="916">
        <v>9.4749999999999996</v>
      </c>
      <c r="Z7" s="169"/>
      <c r="AA7" s="207"/>
      <c r="AB7" s="207"/>
      <c r="AC7" s="186"/>
      <c r="AF7" s="185"/>
      <c r="AG7" s="207"/>
      <c r="AH7" s="207"/>
      <c r="AJ7" s="10" t="s">
        <v>17</v>
      </c>
      <c r="AK7" s="56" t="str">
        <f t="shared" si="3"/>
        <v/>
      </c>
      <c r="AL7" s="56">
        <f t="shared" si="4"/>
        <v>0.44020542920029349</v>
      </c>
      <c r="AM7" s="56">
        <f t="shared" si="5"/>
        <v>0.40413111809609342</v>
      </c>
      <c r="AN7" s="56">
        <f t="shared" si="6"/>
        <v>0.37566524053010536</v>
      </c>
      <c r="AO7" s="56">
        <f t="shared" si="7"/>
        <v>0.39344262295081966</v>
      </c>
      <c r="AP7" s="56">
        <f t="shared" si="8"/>
        <v>0.362282378987622</v>
      </c>
      <c r="AQ7" s="256">
        <f t="shared" si="9"/>
        <v>0.37994223608511912</v>
      </c>
    </row>
    <row r="8" spans="1:43" ht="15.5">
      <c r="A8" s="10" t="s">
        <v>18</v>
      </c>
      <c r="J8" s="912"/>
      <c r="K8" s="912">
        <v>443.04</v>
      </c>
      <c r="L8" s="912"/>
      <c r="M8" s="912">
        <v>4.5999999999999996</v>
      </c>
      <c r="N8" s="912">
        <v>6.9</v>
      </c>
      <c r="O8" s="912">
        <v>33.244999999999997</v>
      </c>
      <c r="P8" s="179">
        <f t="shared" si="10"/>
        <v>487.78500000000003</v>
      </c>
      <c r="Q8" s="2"/>
      <c r="R8" s="913"/>
      <c r="S8" s="913">
        <v>10.397</v>
      </c>
      <c r="T8" s="913"/>
      <c r="U8" s="913">
        <v>13.794</v>
      </c>
      <c r="V8" s="913">
        <v>13.504</v>
      </c>
      <c r="W8" s="913">
        <v>11.936999999999999</v>
      </c>
      <c r="X8" s="916">
        <v>10.577999999999999</v>
      </c>
      <c r="Z8" s="169"/>
      <c r="AA8" s="207"/>
      <c r="AB8" s="207"/>
      <c r="AC8" s="186"/>
      <c r="AF8" s="185"/>
      <c r="AG8" s="207"/>
      <c r="AH8" s="207"/>
      <c r="AJ8" s="10" t="s">
        <v>18</v>
      </c>
      <c r="AK8" s="56" t="str">
        <f t="shared" si="3"/>
        <v/>
      </c>
      <c r="AL8" s="56">
        <f t="shared" si="4"/>
        <v>0.3462537270366452</v>
      </c>
      <c r="AM8" s="56" t="str">
        <f t="shared" si="5"/>
        <v/>
      </c>
      <c r="AN8" s="56">
        <f t="shared" si="6"/>
        <v>0.26098303610265333</v>
      </c>
      <c r="AO8" s="56">
        <f t="shared" si="7"/>
        <v>0.26658767772511854</v>
      </c>
      <c r="AP8" s="56">
        <f t="shared" si="8"/>
        <v>0.30158331239004776</v>
      </c>
      <c r="AQ8" s="256">
        <f t="shared" si="9"/>
        <v>0.34033078435648795</v>
      </c>
    </row>
    <row r="9" spans="1:43" ht="15.5">
      <c r="A9" s="10" t="s">
        <v>19</v>
      </c>
      <c r="J9" s="912">
        <v>3948.4</v>
      </c>
      <c r="K9" s="912">
        <v>766.9</v>
      </c>
      <c r="L9" s="912"/>
      <c r="M9" s="912">
        <v>576.64</v>
      </c>
      <c r="N9" s="912">
        <v>4020.5</v>
      </c>
      <c r="O9" s="912">
        <v>8.5500000000000007</v>
      </c>
      <c r="P9" s="179">
        <f t="shared" si="10"/>
        <v>9320.99</v>
      </c>
      <c r="Q9" s="2"/>
      <c r="R9" s="913">
        <v>9.42</v>
      </c>
      <c r="S9" s="913">
        <v>6.9249999999999998</v>
      </c>
      <c r="T9" s="913"/>
      <c r="U9" s="913">
        <v>10.224</v>
      </c>
      <c r="V9" s="913">
        <v>13.462</v>
      </c>
      <c r="W9" s="913">
        <v>9.0020000000000007</v>
      </c>
      <c r="X9" s="916">
        <v>11.007</v>
      </c>
      <c r="Z9" s="169"/>
      <c r="AA9" s="207"/>
      <c r="AB9" s="207"/>
      <c r="AC9" s="186"/>
      <c r="AF9" s="185"/>
      <c r="AG9" s="207"/>
      <c r="AH9" s="207"/>
      <c r="AJ9" s="10" t="s">
        <v>19</v>
      </c>
      <c r="AK9" s="56">
        <f t="shared" si="3"/>
        <v>0.38216560509554137</v>
      </c>
      <c r="AL9" s="56">
        <f t="shared" si="4"/>
        <v>0.5198555956678701</v>
      </c>
      <c r="AM9" s="56" t="str">
        <f t="shared" si="5"/>
        <v/>
      </c>
      <c r="AN9" s="56">
        <f t="shared" si="6"/>
        <v>0.352112676056338</v>
      </c>
      <c r="AO9" s="56">
        <f t="shared" si="7"/>
        <v>0.26741940276333387</v>
      </c>
      <c r="AP9" s="56">
        <f t="shared" si="8"/>
        <v>0.39991113085980889</v>
      </c>
      <c r="AQ9" s="256">
        <f t="shared" si="9"/>
        <v>0.32704840470001778</v>
      </c>
    </row>
    <row r="10" spans="1:43" ht="15.5">
      <c r="A10" s="10" t="s">
        <v>20</v>
      </c>
      <c r="J10" s="912"/>
      <c r="K10" s="912">
        <v>45349.8</v>
      </c>
      <c r="L10" s="912"/>
      <c r="M10" s="912">
        <v>0.8</v>
      </c>
      <c r="N10" s="912">
        <v>1550.2</v>
      </c>
      <c r="O10" s="912">
        <v>4.12</v>
      </c>
      <c r="P10" s="179">
        <f t="shared" si="10"/>
        <v>46904.920000000006</v>
      </c>
      <c r="Q10" s="2"/>
      <c r="R10" s="913"/>
      <c r="S10" s="913">
        <v>6.5670000000000002</v>
      </c>
      <c r="T10" s="913"/>
      <c r="U10" s="913">
        <v>8.2620000000000005</v>
      </c>
      <c r="V10" s="913">
        <v>7.6390000000000002</v>
      </c>
      <c r="W10" s="913">
        <v>9.0020000000000007</v>
      </c>
      <c r="X10" s="916">
        <v>6.6020000000000003</v>
      </c>
      <c r="Z10" s="169"/>
      <c r="AA10" s="207"/>
      <c r="AB10" s="207"/>
      <c r="AC10" s="186"/>
      <c r="AF10" s="185"/>
      <c r="AG10" s="207"/>
      <c r="AH10" s="207"/>
      <c r="AJ10" s="10" t="s">
        <v>20</v>
      </c>
      <c r="AK10" s="56" t="str">
        <f t="shared" si="3"/>
        <v/>
      </c>
      <c r="AL10" s="56">
        <f t="shared" si="4"/>
        <v>0.54819552306989494</v>
      </c>
      <c r="AM10" s="56" t="str">
        <f t="shared" si="5"/>
        <v/>
      </c>
      <c r="AN10" s="56">
        <f t="shared" si="6"/>
        <v>0.4357298474945534</v>
      </c>
      <c r="AO10" s="56">
        <f t="shared" si="7"/>
        <v>0.47126587249640006</v>
      </c>
      <c r="AP10" s="56">
        <f t="shared" si="8"/>
        <v>0.39991113085980889</v>
      </c>
      <c r="AQ10" s="256">
        <f t="shared" si="9"/>
        <v>0.54523379025081353</v>
      </c>
    </row>
    <row r="11" spans="1:43" ht="15.5">
      <c r="A11" s="10" t="s">
        <v>349</v>
      </c>
      <c r="J11" s="912"/>
      <c r="K11" s="912">
        <v>8.1999999999999993</v>
      </c>
      <c r="L11" s="912"/>
      <c r="M11" s="912"/>
      <c r="N11" s="912"/>
      <c r="O11" s="912"/>
      <c r="P11" s="179">
        <f t="shared" si="10"/>
        <v>8.1999999999999993</v>
      </c>
      <c r="Q11" s="2"/>
      <c r="R11" s="913"/>
      <c r="S11" s="913">
        <v>6.2519999999999998</v>
      </c>
      <c r="T11" s="913"/>
      <c r="U11" s="913"/>
      <c r="V11" s="913"/>
      <c r="W11" s="913"/>
      <c r="X11" s="916">
        <v>6.2519999999999998</v>
      </c>
      <c r="AC11" s="403"/>
      <c r="AF11" s="210"/>
      <c r="AG11" s="210"/>
      <c r="AH11" s="210"/>
      <c r="AJ11" s="10" t="str">
        <f>A11</f>
        <v>celle combustibili (CEL)</v>
      </c>
      <c r="AK11" s="56" t="str">
        <f t="shared" si="3"/>
        <v/>
      </c>
      <c r="AL11" s="56">
        <f t="shared" si="4"/>
        <v>0.57581573896353178</v>
      </c>
      <c r="AM11" s="56" t="str">
        <f t="shared" si="5"/>
        <v/>
      </c>
      <c r="AN11" s="56" t="str">
        <f t="shared" si="6"/>
        <v/>
      </c>
      <c r="AO11" s="56" t="str">
        <f t="shared" si="7"/>
        <v/>
      </c>
      <c r="AP11" s="56" t="str">
        <f t="shared" si="8"/>
        <v/>
      </c>
      <c r="AQ11" s="256">
        <f t="shared" si="9"/>
        <v>0.57581573896353178</v>
      </c>
    </row>
    <row r="12" spans="1:43" ht="15.5">
      <c r="A12" s="10" t="s">
        <v>691</v>
      </c>
      <c r="J12" s="912"/>
      <c r="K12" s="912"/>
      <c r="L12" s="912"/>
      <c r="M12" s="912"/>
      <c r="N12" s="912">
        <v>1.2</v>
      </c>
      <c r="O12" s="912"/>
      <c r="P12" s="179">
        <f t="shared" si="10"/>
        <v>1.2</v>
      </c>
      <c r="Q12" s="2"/>
      <c r="R12" s="913"/>
      <c r="S12" s="913"/>
      <c r="T12" s="913"/>
      <c r="U12" s="913"/>
      <c r="V12" s="913">
        <v>9.6679999999999993</v>
      </c>
      <c r="W12" s="913"/>
      <c r="X12" s="916">
        <v>9.6679999999999993</v>
      </c>
      <c r="Z12" s="169"/>
      <c r="AA12" s="207"/>
      <c r="AB12" s="207"/>
      <c r="AC12" s="403"/>
      <c r="AF12" s="185"/>
      <c r="AG12" s="207"/>
      <c r="AH12" s="207"/>
      <c r="AJ12" s="10" t="str">
        <f>A12</f>
        <v>combustione esterna (CE)</v>
      </c>
      <c r="AK12" s="56" t="str">
        <f t="shared" si="3"/>
        <v/>
      </c>
      <c r="AL12" s="56" t="str">
        <f t="shared" si="4"/>
        <v/>
      </c>
      <c r="AM12" s="56" t="str">
        <f t="shared" si="5"/>
        <v/>
      </c>
      <c r="AN12" s="56" t="str">
        <f t="shared" si="6"/>
        <v/>
      </c>
      <c r="AO12" s="56" t="str">
        <f t="shared" si="7"/>
        <v/>
      </c>
      <c r="AP12" s="56" t="str">
        <f t="shared" si="8"/>
        <v/>
      </c>
      <c r="AQ12" s="256" t="str">
        <f t="shared" si="9"/>
        <v/>
      </c>
    </row>
    <row r="13" spans="1:43" ht="15.5">
      <c r="A13" s="11" t="s">
        <v>23</v>
      </c>
      <c r="J13" s="179">
        <f t="shared" ref="J13:P13" si="11">SUM(J14:J19)</f>
        <v>0</v>
      </c>
      <c r="K13" s="179">
        <f t="shared" si="11"/>
        <v>71457.260000000009</v>
      </c>
      <c r="L13" s="179">
        <f t="shared" si="11"/>
        <v>822.28</v>
      </c>
      <c r="M13" s="179">
        <f t="shared" si="11"/>
        <v>1748.7700000000002</v>
      </c>
      <c r="N13" s="179">
        <f t="shared" si="11"/>
        <v>11705.89</v>
      </c>
      <c r="O13" s="179">
        <f t="shared" si="11"/>
        <v>5468.6500000000005</v>
      </c>
      <c r="P13" s="179">
        <f t="shared" si="11"/>
        <v>91202.85</v>
      </c>
      <c r="Q13" s="2"/>
      <c r="R13" s="916"/>
      <c r="S13" s="916">
        <v>6.0369999999999999</v>
      </c>
      <c r="T13" s="916">
        <v>8.8209999999999997</v>
      </c>
      <c r="U13" s="916">
        <v>5.9390000000000001</v>
      </c>
      <c r="V13" s="916">
        <v>8.35</v>
      </c>
      <c r="W13" s="916">
        <v>7.4589999999999996</v>
      </c>
      <c r="X13" s="916">
        <v>6.4420000000000002</v>
      </c>
      <c r="Z13" s="169"/>
      <c r="AA13" s="419"/>
      <c r="AB13" s="342"/>
      <c r="AC13" s="403"/>
      <c r="AF13" s="210"/>
      <c r="AG13" s="210"/>
      <c r="AH13" s="210"/>
      <c r="AJ13" s="11" t="s">
        <v>23</v>
      </c>
      <c r="AK13" s="256" t="str">
        <f t="shared" si="3"/>
        <v/>
      </c>
      <c r="AL13" s="256">
        <f t="shared" si="4"/>
        <v>0.59636396941444381</v>
      </c>
      <c r="AM13" s="256">
        <f t="shared" si="5"/>
        <v>0.40811613604396202</v>
      </c>
      <c r="AN13" s="256">
        <f t="shared" si="6"/>
        <v>0.60613461116299949</v>
      </c>
      <c r="AO13" s="256">
        <f t="shared" si="7"/>
        <v>0.43112574304075407</v>
      </c>
      <c r="AP13" s="256">
        <f t="shared" si="8"/>
        <v>0.48338818423910734</v>
      </c>
      <c r="AQ13" s="256">
        <f t="shared" si="9"/>
        <v>0.5588869657992428</v>
      </c>
    </row>
    <row r="14" spans="1:43" ht="15.5">
      <c r="A14" s="10" t="s">
        <v>24</v>
      </c>
      <c r="J14" s="912"/>
      <c r="K14" s="912">
        <v>13300.1</v>
      </c>
      <c r="L14" s="912">
        <v>140.80000000000001</v>
      </c>
      <c r="M14" s="912">
        <v>24.6</v>
      </c>
      <c r="N14" s="912">
        <v>1455.1</v>
      </c>
      <c r="O14" s="912">
        <v>5424.8</v>
      </c>
      <c r="P14" s="179">
        <f t="shared" ref="P14:P19" si="12">SUM(J14:O14)</f>
        <v>20345.400000000001</v>
      </c>
      <c r="Q14" s="2"/>
      <c r="R14" s="913"/>
      <c r="S14" s="913">
        <v>5.6680000000000001</v>
      </c>
      <c r="T14" s="913">
        <v>7.5410000000000004</v>
      </c>
      <c r="U14" s="913">
        <v>7</v>
      </c>
      <c r="V14" s="913">
        <v>7.7839999999999998</v>
      </c>
      <c r="W14" s="913">
        <v>7.4569999999999999</v>
      </c>
      <c r="X14" s="916">
        <v>6.3109999999999999</v>
      </c>
      <c r="Z14" s="169"/>
      <c r="AA14" s="207"/>
      <c r="AB14" s="207"/>
      <c r="AC14" s="186"/>
      <c r="AF14" s="185"/>
      <c r="AG14" s="207"/>
      <c r="AH14" s="207"/>
      <c r="AJ14" s="10" t="s">
        <v>24</v>
      </c>
      <c r="AK14" s="56" t="str">
        <f t="shared" si="3"/>
        <v/>
      </c>
      <c r="AL14" s="56">
        <f t="shared" si="4"/>
        <v>0.63514467184191947</v>
      </c>
      <c r="AM14" s="56">
        <f t="shared" si="5"/>
        <v>0.47739026654289879</v>
      </c>
      <c r="AN14" s="56">
        <f t="shared" si="6"/>
        <v>0.51428571428571423</v>
      </c>
      <c r="AO14" s="56">
        <f t="shared" si="7"/>
        <v>0.46248715313463518</v>
      </c>
      <c r="AP14" s="56">
        <f t="shared" si="8"/>
        <v>0.48276786911626668</v>
      </c>
      <c r="AQ14" s="256">
        <f t="shared" si="9"/>
        <v>0.57043989869400913</v>
      </c>
    </row>
    <row r="15" spans="1:43" ht="15.5">
      <c r="A15" s="10" t="s">
        <v>25</v>
      </c>
      <c r="J15" s="912"/>
      <c r="K15" s="912">
        <v>5275.5</v>
      </c>
      <c r="L15" s="912"/>
      <c r="M15" s="912">
        <v>251.74</v>
      </c>
      <c r="N15" s="912">
        <v>15.54</v>
      </c>
      <c r="O15" s="912">
        <v>10</v>
      </c>
      <c r="P15" s="179">
        <f t="shared" si="12"/>
        <v>5552.78</v>
      </c>
      <c r="Q15" s="2"/>
      <c r="R15" s="913"/>
      <c r="S15" s="913">
        <v>5.2489999999999997</v>
      </c>
      <c r="T15" s="913"/>
      <c r="U15" s="913">
        <v>5.024</v>
      </c>
      <c r="V15" s="913">
        <v>10.456</v>
      </c>
      <c r="W15" s="913">
        <v>7.7190000000000003</v>
      </c>
      <c r="X15" s="916">
        <v>5.2569999999999997</v>
      </c>
      <c r="Z15" s="169"/>
      <c r="AA15" s="207"/>
      <c r="AB15" s="207"/>
      <c r="AC15" s="186"/>
      <c r="AF15" s="185"/>
      <c r="AG15" s="207"/>
      <c r="AH15" s="207"/>
      <c r="AJ15" s="10" t="s">
        <v>25</v>
      </c>
      <c r="AK15" s="56" t="str">
        <f t="shared" si="3"/>
        <v/>
      </c>
      <c r="AL15" s="56">
        <f t="shared" si="4"/>
        <v>0.68584492284244625</v>
      </c>
      <c r="AM15" s="56" t="str">
        <f t="shared" si="5"/>
        <v/>
      </c>
      <c r="AN15" s="56">
        <f t="shared" si="6"/>
        <v>0.71656050955414008</v>
      </c>
      <c r="AO15" s="56">
        <f t="shared" si="7"/>
        <v>0.34429992348890592</v>
      </c>
      <c r="AP15" s="56">
        <f t="shared" si="8"/>
        <v>0.4663816556548776</v>
      </c>
      <c r="AQ15" s="256">
        <f t="shared" si="9"/>
        <v>0.68469442269690894</v>
      </c>
    </row>
    <row r="16" spans="1:43" ht="15.5">
      <c r="A16" s="10" t="s">
        <v>26</v>
      </c>
      <c r="J16" s="912"/>
      <c r="K16" s="912">
        <v>51472</v>
      </c>
      <c r="L16" s="912">
        <v>211.04</v>
      </c>
      <c r="M16" s="912">
        <v>1188.5</v>
      </c>
      <c r="N16" s="912">
        <v>5665.05</v>
      </c>
      <c r="O16" s="912">
        <v>32.31</v>
      </c>
      <c r="P16" s="179">
        <f t="shared" si="12"/>
        <v>58568.9</v>
      </c>
      <c r="Q16" s="2"/>
      <c r="R16" s="913"/>
      <c r="S16" s="913">
        <v>6.1509999999999998</v>
      </c>
      <c r="T16" s="913">
        <v>8.2639999999999993</v>
      </c>
      <c r="U16" s="913">
        <v>6.1349999999999998</v>
      </c>
      <c r="V16" s="913">
        <v>5.9770000000000003</v>
      </c>
      <c r="W16" s="913">
        <v>5.5880000000000001</v>
      </c>
      <c r="X16" s="916">
        <v>6.1429999999999998</v>
      </c>
      <c r="Z16" s="169"/>
      <c r="AA16" s="207"/>
      <c r="AB16" s="207"/>
      <c r="AC16" s="186"/>
      <c r="AF16" s="185"/>
      <c r="AG16" s="207"/>
      <c r="AH16" s="207"/>
      <c r="AJ16" s="10" t="s">
        <v>26</v>
      </c>
      <c r="AK16" s="56" t="str">
        <f t="shared" si="3"/>
        <v/>
      </c>
      <c r="AL16" s="56">
        <f t="shared" si="4"/>
        <v>0.58527068769305812</v>
      </c>
      <c r="AM16" s="56">
        <f t="shared" si="5"/>
        <v>0.43562439496611816</v>
      </c>
      <c r="AN16" s="56">
        <f t="shared" si="6"/>
        <v>0.58679706601467008</v>
      </c>
      <c r="AO16" s="56">
        <f t="shared" si="7"/>
        <v>0.60230885059394346</v>
      </c>
      <c r="AP16" s="56">
        <f t="shared" si="8"/>
        <v>0.64423765211166795</v>
      </c>
      <c r="AQ16" s="256">
        <f t="shared" si="9"/>
        <v>0.58620957659166417</v>
      </c>
    </row>
    <row r="17" spans="1:43" ht="15.5">
      <c r="A17" s="10" t="s">
        <v>27</v>
      </c>
      <c r="J17" s="912"/>
      <c r="K17" s="912">
        <v>269.66000000000003</v>
      </c>
      <c r="L17" s="912"/>
      <c r="M17" s="912">
        <v>160.79</v>
      </c>
      <c r="N17" s="912">
        <v>594.16</v>
      </c>
      <c r="O17" s="912"/>
      <c r="P17" s="179">
        <f t="shared" si="12"/>
        <v>1024.6100000000001</v>
      </c>
      <c r="Q17" s="2"/>
      <c r="R17" s="913"/>
      <c r="S17" s="913">
        <v>4.79</v>
      </c>
      <c r="T17" s="913"/>
      <c r="U17" s="913">
        <v>4.8949999999999996</v>
      </c>
      <c r="V17" s="913">
        <v>6.0789999999999997</v>
      </c>
      <c r="W17" s="913"/>
      <c r="X17" s="916">
        <v>5.5540000000000003</v>
      </c>
      <c r="Z17" s="169"/>
      <c r="AA17" s="207"/>
      <c r="AB17" s="207"/>
      <c r="AC17" s="186"/>
      <c r="AF17" s="210"/>
      <c r="AG17" s="210"/>
      <c r="AH17" s="210"/>
      <c r="AJ17" s="10" t="s">
        <v>27</v>
      </c>
      <c r="AK17" s="56" t="str">
        <f t="shared" si="3"/>
        <v/>
      </c>
      <c r="AL17" s="56">
        <f t="shared" si="4"/>
        <v>0.75156576200417535</v>
      </c>
      <c r="AM17" s="56" t="str">
        <f t="shared" si="5"/>
        <v/>
      </c>
      <c r="AN17" s="56">
        <f t="shared" si="6"/>
        <v>0.73544433094994899</v>
      </c>
      <c r="AO17" s="56">
        <f t="shared" si="7"/>
        <v>0.59220266491199225</v>
      </c>
      <c r="AP17" s="56" t="str">
        <f t="shared" si="8"/>
        <v/>
      </c>
      <c r="AQ17" s="256">
        <f t="shared" si="9"/>
        <v>0.64818682718001275</v>
      </c>
    </row>
    <row r="18" spans="1:43" ht="15.5">
      <c r="A18" s="10" t="s">
        <v>28</v>
      </c>
      <c r="J18" s="912"/>
      <c r="K18" s="912">
        <v>1137.4000000000001</v>
      </c>
      <c r="L18" s="912">
        <v>470.44</v>
      </c>
      <c r="M18" s="912">
        <v>123.14</v>
      </c>
      <c r="N18" s="912">
        <v>3976.04</v>
      </c>
      <c r="O18" s="912">
        <v>1.54</v>
      </c>
      <c r="P18" s="179">
        <f t="shared" si="12"/>
        <v>5708.56</v>
      </c>
      <c r="Q18" s="2"/>
      <c r="R18" s="913"/>
      <c r="S18" s="913">
        <v>9.1310000000000002</v>
      </c>
      <c r="T18" s="913">
        <v>9.4540000000000006</v>
      </c>
      <c r="U18" s="913">
        <v>7.0730000000000004</v>
      </c>
      <c r="V18" s="913">
        <v>12.27</v>
      </c>
      <c r="W18" s="913">
        <v>10.987</v>
      </c>
      <c r="X18" s="916">
        <v>11.3</v>
      </c>
      <c r="AA18" s="419"/>
      <c r="AB18" s="342"/>
      <c r="AC18" s="403"/>
      <c r="AJ18" s="10" t="s">
        <v>28</v>
      </c>
      <c r="AK18" s="56" t="str">
        <f t="shared" si="3"/>
        <v/>
      </c>
      <c r="AL18" s="56">
        <f t="shared" si="4"/>
        <v>0.394261307633337</v>
      </c>
      <c r="AM18" s="56">
        <f t="shared" si="5"/>
        <v>0.38079119949227835</v>
      </c>
      <c r="AN18" s="56">
        <f t="shared" si="6"/>
        <v>0.50897780291248407</v>
      </c>
      <c r="AO18" s="56">
        <f t="shared" si="7"/>
        <v>0.29339853300733498</v>
      </c>
      <c r="AP18" s="56">
        <f t="shared" si="8"/>
        <v>0.32765996177300449</v>
      </c>
      <c r="AQ18" s="256">
        <f t="shared" si="9"/>
        <v>0.31858253405534237</v>
      </c>
    </row>
    <row r="19" spans="1:43" ht="15.5">
      <c r="A19" s="10" t="s">
        <v>351</v>
      </c>
      <c r="J19" s="912"/>
      <c r="K19" s="912">
        <v>2.6</v>
      </c>
      <c r="L19" s="912"/>
      <c r="M19" s="912"/>
      <c r="N19" s="912"/>
      <c r="O19" s="912"/>
      <c r="P19" s="179">
        <f t="shared" si="12"/>
        <v>2.6</v>
      </c>
      <c r="Q19" s="2"/>
      <c r="R19" s="913"/>
      <c r="S19" s="913">
        <v>4.2699999999999996</v>
      </c>
      <c r="T19" s="913"/>
      <c r="U19" s="913"/>
      <c r="V19" s="913"/>
      <c r="W19" s="913"/>
      <c r="X19" s="916">
        <v>4.2699999999999996</v>
      </c>
      <c r="Z19" s="169"/>
      <c r="AA19" s="207"/>
      <c r="AB19" s="207"/>
      <c r="AC19" s="186"/>
      <c r="AF19" s="207"/>
      <c r="AG19" s="207"/>
      <c r="AH19" s="207"/>
      <c r="AJ19" s="10" t="s">
        <v>351</v>
      </c>
      <c r="AK19" s="56" t="str">
        <f t="shared" si="3"/>
        <v/>
      </c>
      <c r="AL19" s="56">
        <f t="shared" si="4"/>
        <v>0.84309133489461385</v>
      </c>
      <c r="AM19" s="56" t="str">
        <f t="shared" si="5"/>
        <v/>
      </c>
      <c r="AN19" s="56" t="str">
        <f t="shared" si="6"/>
        <v/>
      </c>
      <c r="AO19" s="56" t="str">
        <f t="shared" si="7"/>
        <v/>
      </c>
      <c r="AP19" s="56" t="str">
        <f t="shared" si="8"/>
        <v/>
      </c>
      <c r="AQ19" s="256">
        <f t="shared" si="9"/>
        <v>0.84309133489461385</v>
      </c>
    </row>
    <row r="20" spans="1:43" ht="15.5">
      <c r="A20" s="11" t="s">
        <v>9</v>
      </c>
      <c r="J20" s="179">
        <f t="shared" ref="J20:O20" si="13">J6+J13</f>
        <v>3948.4</v>
      </c>
      <c r="K20" s="179">
        <f t="shared" si="13"/>
        <v>118553.70000000001</v>
      </c>
      <c r="L20" s="179">
        <f t="shared" si="13"/>
        <v>839.22</v>
      </c>
      <c r="M20" s="179">
        <f t="shared" si="13"/>
        <v>2526.9500000000003</v>
      </c>
      <c r="N20" s="179">
        <f t="shared" si="13"/>
        <v>18060.809999999998</v>
      </c>
      <c r="O20" s="179">
        <f t="shared" si="13"/>
        <v>7520.1149999999998</v>
      </c>
      <c r="P20" s="785">
        <f>P6+P13+'3'!$AJ$27*1000</f>
        <v>152080.161214725</v>
      </c>
      <c r="Q20" s="2"/>
      <c r="R20" s="916">
        <v>9.42</v>
      </c>
      <c r="S20" s="916">
        <v>6.2709999999999999</v>
      </c>
      <c r="T20" s="916">
        <v>8.8230000000000004</v>
      </c>
      <c r="U20" s="916">
        <v>7.2149999999999999</v>
      </c>
      <c r="V20" s="916">
        <v>9.4629999999999992</v>
      </c>
      <c r="W20" s="916">
        <v>8.1419999999999995</v>
      </c>
      <c r="X20" s="916">
        <v>6.8570000000000002</v>
      </c>
      <c r="Z20" s="169"/>
      <c r="AA20" s="207"/>
      <c r="AB20" s="207"/>
      <c r="AC20" s="186"/>
      <c r="AF20" s="207"/>
      <c r="AG20" s="207"/>
      <c r="AH20" s="207"/>
      <c r="AJ20" s="11" t="s">
        <v>9</v>
      </c>
      <c r="AK20" s="256">
        <f t="shared" si="3"/>
        <v>0.38216560509554137</v>
      </c>
      <c r="AL20" s="256">
        <f t="shared" si="4"/>
        <v>0.57406347526252166</v>
      </c>
      <c r="AM20" s="256">
        <f t="shared" si="5"/>
        <v>0.40803491979977591</v>
      </c>
      <c r="AN20" s="256">
        <f t="shared" si="6"/>
        <v>0.49896815482811885</v>
      </c>
      <c r="AO20" s="256">
        <f t="shared" si="7"/>
        <v>0.38043331922194151</v>
      </c>
      <c r="AP20" s="256">
        <f t="shared" si="8"/>
        <v>0.44259515554870515</v>
      </c>
      <c r="AQ20" s="256">
        <f t="shared" si="9"/>
        <v>0.52726026098396583</v>
      </c>
    </row>
    <row r="21" spans="1:43">
      <c r="J21" s="147">
        <f t="shared" ref="J21:P21" si="14">J13/11.63</f>
        <v>0</v>
      </c>
      <c r="K21" s="147">
        <f t="shared" si="14"/>
        <v>6144.218400687877</v>
      </c>
      <c r="L21" s="147">
        <f t="shared" si="14"/>
        <v>70.70335339638865</v>
      </c>
      <c r="M21" s="147">
        <f t="shared" si="14"/>
        <v>150.36715391229581</v>
      </c>
      <c r="N21" s="147">
        <f t="shared" si="14"/>
        <v>1006.5253654342217</v>
      </c>
      <c r="O21" s="147">
        <f t="shared" si="14"/>
        <v>470.21926053310403</v>
      </c>
      <c r="P21" s="147">
        <f t="shared" si="14"/>
        <v>7842.0335339638868</v>
      </c>
      <c r="Z21" s="169"/>
      <c r="AA21" s="207"/>
      <c r="AB21" s="207"/>
      <c r="AC21" s="186"/>
      <c r="AF21" s="207"/>
      <c r="AG21" s="207"/>
      <c r="AH21" s="207"/>
    </row>
    <row r="22" spans="1:43">
      <c r="J22" s="56"/>
      <c r="K22" s="56">
        <f>SUM(K13:M13)/SUM(K20:M20)</f>
        <v>0.60718822944939166</v>
      </c>
      <c r="L22" s="56"/>
      <c r="M22" s="56"/>
      <c r="N22" s="56">
        <f>N13/N20</f>
        <v>0.64813759737243237</v>
      </c>
      <c r="O22" s="56">
        <f>O13/O20</f>
        <v>0.72720297495450548</v>
      </c>
      <c r="Z22" s="169"/>
      <c r="AA22" s="207"/>
      <c r="AB22" s="207"/>
      <c r="AC22" s="186"/>
      <c r="AF22" s="207"/>
      <c r="AG22" s="207"/>
      <c r="AH22" s="207"/>
      <c r="AJ22" s="68"/>
    </row>
    <row r="23" spans="1:43">
      <c r="A23" s="68" t="str">
        <f>A4</f>
        <v>Dati 2024 lorda</v>
      </c>
      <c r="J23" s="68"/>
      <c r="K23" s="56">
        <f>(SUM(K32:M32)/41.868)/SUM(K57:M57)</f>
        <v>0.73684516546867762</v>
      </c>
      <c r="L23" s="56"/>
      <c r="M23" s="56"/>
      <c r="N23" s="56">
        <f>(N32/41.868)/N57</f>
        <v>0.72239759510635493</v>
      </c>
      <c r="O23" s="56">
        <f>(O32/41.868)/O57</f>
        <v>0.77001269897103453</v>
      </c>
      <c r="Z23" s="169"/>
      <c r="AA23" s="207"/>
      <c r="AB23" s="207"/>
      <c r="AC23" s="186"/>
      <c r="AF23" s="207"/>
      <c r="AG23" s="207"/>
      <c r="AH23" s="207"/>
      <c r="AJ23" s="68"/>
    </row>
    <row r="24" spans="1:43">
      <c r="A24" s="68" t="s">
        <v>532</v>
      </c>
      <c r="J24" s="180" t="s">
        <v>5</v>
      </c>
      <c r="K24" s="180" t="s">
        <v>186</v>
      </c>
      <c r="L24" s="180" t="s">
        <v>187</v>
      </c>
      <c r="M24" s="180" t="s">
        <v>190</v>
      </c>
      <c r="N24" s="180" t="s">
        <v>192</v>
      </c>
      <c r="O24" s="180" t="s">
        <v>191</v>
      </c>
      <c r="P24" s="180" t="s">
        <v>189</v>
      </c>
      <c r="R24" s="68" t="s">
        <v>210</v>
      </c>
      <c r="Z24" s="169"/>
      <c r="AA24" s="207"/>
      <c r="AB24" s="207"/>
      <c r="AC24" s="186"/>
      <c r="AF24" s="207"/>
      <c r="AG24" s="207"/>
      <c r="AH24" s="207"/>
      <c r="AJ24" s="68"/>
    </row>
    <row r="25" spans="1:43">
      <c r="A25" s="11" t="s">
        <v>16</v>
      </c>
      <c r="J25" s="179">
        <f t="shared" ref="J25:O25" si="15">SUM(J26:J30)</f>
        <v>37193.928</v>
      </c>
      <c r="K25" s="179">
        <f t="shared" si="15"/>
        <v>312102.54538000003</v>
      </c>
      <c r="L25" s="179">
        <f t="shared" si="15"/>
        <v>150.90152</v>
      </c>
      <c r="M25" s="179">
        <f t="shared" si="15"/>
        <v>7845.2389800000001</v>
      </c>
      <c r="N25" s="179">
        <f t="shared" si="15"/>
        <v>73160.624400000001</v>
      </c>
      <c r="O25" s="179">
        <f t="shared" si="15"/>
        <v>20440.051255000002</v>
      </c>
      <c r="P25" s="182">
        <f t="shared" ref="P25:P30" si="16">SUM(J25:O25)</f>
        <v>450893.28953500005</v>
      </c>
      <c r="Q25" s="172"/>
      <c r="R25" s="179">
        <f t="shared" ref="R25:W25" si="17">SUM(R26:R30)</f>
        <v>3.4051774739013254</v>
      </c>
      <c r="S25" s="179">
        <f t="shared" si="17"/>
        <v>18.442161888256486</v>
      </c>
      <c r="T25" s="179">
        <f t="shared" si="17"/>
        <v>2.2284881308520799E-2</v>
      </c>
      <c r="U25" s="179">
        <f t="shared" si="17"/>
        <v>0.5182245807893946</v>
      </c>
      <c r="V25" s="179">
        <f t="shared" si="17"/>
        <v>2.8770959397630964</v>
      </c>
      <c r="W25" s="179">
        <f t="shared" si="17"/>
        <v>6.6472810369060898E-3</v>
      </c>
      <c r="X25" s="190">
        <f>SUM(R25:W25)</f>
        <v>25.271592045055726</v>
      </c>
      <c r="Z25" s="169"/>
      <c r="AA25" s="205"/>
      <c r="AB25" s="554"/>
      <c r="AC25" s="193"/>
      <c r="AJ25" s="68"/>
    </row>
    <row r="26" spans="1:43">
      <c r="A26" s="10" t="s">
        <v>17</v>
      </c>
      <c r="J26" s="167">
        <f t="shared" ref="J26:O30" si="18">IFERROR(J7*R7,"")</f>
        <v>0</v>
      </c>
      <c r="K26" s="167">
        <f t="shared" si="18"/>
        <v>4322.0730000000003</v>
      </c>
      <c r="L26" s="167">
        <f t="shared" si="18"/>
        <v>150.90152</v>
      </c>
      <c r="M26" s="167">
        <f t="shared" si="18"/>
        <v>1879.6096199999999</v>
      </c>
      <c r="N26" s="167">
        <f t="shared" si="18"/>
        <v>7101.4980000000005</v>
      </c>
      <c r="O26" s="167">
        <f t="shared" si="18"/>
        <v>19929.15035</v>
      </c>
      <c r="P26" s="182">
        <f t="shared" si="16"/>
        <v>33383.232490000002</v>
      </c>
      <c r="Q26" s="172"/>
      <c r="R26" s="181">
        <f t="shared" ref="R26:W26" si="19">J26*J42/1000000</f>
        <v>0</v>
      </c>
      <c r="S26" s="181">
        <f t="shared" si="19"/>
        <v>0.25539160490284868</v>
      </c>
      <c r="T26" s="181">
        <f t="shared" si="19"/>
        <v>2.2284881308520799E-2</v>
      </c>
      <c r="U26" s="181">
        <f t="shared" si="19"/>
        <v>0.12415936721053374</v>
      </c>
      <c r="V26" s="181">
        <f t="shared" si="19"/>
        <v>0.27927168787307061</v>
      </c>
      <c r="W26" s="181">
        <f t="shared" si="19"/>
        <v>6.4811316542466935E-3</v>
      </c>
      <c r="X26" s="190">
        <f t="shared" ref="X26:X38" si="20">SUM(R26:W26)</f>
        <v>0.68758867294922055</v>
      </c>
      <c r="Z26" s="169"/>
      <c r="AA26" s="419"/>
      <c r="AB26" s="342"/>
      <c r="AC26" s="403"/>
      <c r="AJ26" s="68"/>
      <c r="AQ26" s="252"/>
    </row>
    <row r="27" spans="1:43">
      <c r="A27" s="10" t="s">
        <v>18</v>
      </c>
      <c r="J27" s="167">
        <f t="shared" si="18"/>
        <v>0</v>
      </c>
      <c r="K27" s="167">
        <f t="shared" si="18"/>
        <v>4606.2868800000006</v>
      </c>
      <c r="L27" s="167">
        <f t="shared" si="18"/>
        <v>0</v>
      </c>
      <c r="M27" s="167">
        <f t="shared" si="18"/>
        <v>63.452399999999997</v>
      </c>
      <c r="N27" s="167">
        <f t="shared" si="18"/>
        <v>93.177599999999998</v>
      </c>
      <c r="O27" s="167">
        <f t="shared" si="18"/>
        <v>396.84556499999997</v>
      </c>
      <c r="P27" s="182">
        <f t="shared" si="16"/>
        <v>5159.7624450000003</v>
      </c>
      <c r="Q27" s="172"/>
      <c r="R27" s="181">
        <f t="shared" ref="R27:W27" si="21">J27*J42/1000000</f>
        <v>0</v>
      </c>
      <c r="S27" s="181">
        <f t="shared" si="21"/>
        <v>0.27218582354489052</v>
      </c>
      <c r="T27" s="181">
        <f t="shared" si="21"/>
        <v>0</v>
      </c>
      <c r="U27" s="181">
        <f t="shared" si="21"/>
        <v>4.1914074859808765E-3</v>
      </c>
      <c r="V27" s="181">
        <f t="shared" si="21"/>
        <v>3.6642783852029273E-3</v>
      </c>
      <c r="W27" s="181">
        <f t="shared" si="21"/>
        <v>1.2905760195486274E-4</v>
      </c>
      <c r="X27" s="190">
        <f t="shared" si="20"/>
        <v>0.28017056701802923</v>
      </c>
      <c r="Z27" s="169"/>
      <c r="AA27" s="207"/>
      <c r="AB27" s="207"/>
      <c r="AC27" s="186"/>
      <c r="AF27" s="207"/>
      <c r="AG27" s="207"/>
      <c r="AH27" s="207"/>
      <c r="AJ27" s="68" t="s">
        <v>265</v>
      </c>
    </row>
    <row r="28" spans="1:43">
      <c r="A28" s="10" t="s">
        <v>19</v>
      </c>
      <c r="J28" s="167">
        <f t="shared" si="18"/>
        <v>37193.928</v>
      </c>
      <c r="K28" s="167">
        <f t="shared" si="18"/>
        <v>5310.7824999999993</v>
      </c>
      <c r="L28" s="167">
        <f t="shared" si="18"/>
        <v>0</v>
      </c>
      <c r="M28" s="167">
        <f t="shared" si="18"/>
        <v>5895.56736</v>
      </c>
      <c r="N28" s="167">
        <f t="shared" si="18"/>
        <v>54123.970999999998</v>
      </c>
      <c r="O28" s="167">
        <f t="shared" si="18"/>
        <v>76.967100000000016</v>
      </c>
      <c r="P28" s="182">
        <f t="shared" si="16"/>
        <v>102601.21595999999</v>
      </c>
      <c r="Q28" s="172"/>
      <c r="R28" s="181">
        <f t="shared" ref="R28:W28" si="22">J28*J42/1000000</f>
        <v>3.4051774739013254</v>
      </c>
      <c r="S28" s="181">
        <f t="shared" si="22"/>
        <v>0.31381452047778063</v>
      </c>
      <c r="T28" s="181">
        <f t="shared" si="22"/>
        <v>0</v>
      </c>
      <c r="U28" s="181">
        <f t="shared" si="22"/>
        <v>0.3894372027978219</v>
      </c>
      <c r="V28" s="181">
        <f t="shared" si="22"/>
        <v>2.1284653935779634</v>
      </c>
      <c r="W28" s="181">
        <f t="shared" si="22"/>
        <v>2.5030365037392111E-5</v>
      </c>
      <c r="X28" s="190">
        <f t="shared" si="20"/>
        <v>6.2369196211199291</v>
      </c>
      <c r="Z28" s="169"/>
      <c r="AA28" s="207"/>
      <c r="AB28" s="207"/>
      <c r="AC28" s="186"/>
      <c r="AF28" s="207"/>
      <c r="AG28" s="207"/>
      <c r="AH28" s="207"/>
    </row>
    <row r="29" spans="1:43">
      <c r="A29" s="10" t="s">
        <v>20</v>
      </c>
      <c r="J29" s="167">
        <f t="shared" si="18"/>
        <v>0</v>
      </c>
      <c r="K29" s="167">
        <f t="shared" si="18"/>
        <v>297812.13660000003</v>
      </c>
      <c r="L29" s="167">
        <f t="shared" si="18"/>
        <v>0</v>
      </c>
      <c r="M29" s="167">
        <f t="shared" si="18"/>
        <v>6.6096000000000004</v>
      </c>
      <c r="N29" s="167">
        <f t="shared" si="18"/>
        <v>11841.977800000001</v>
      </c>
      <c r="O29" s="167">
        <f t="shared" si="18"/>
        <v>37.088240000000006</v>
      </c>
      <c r="P29" s="182">
        <f t="shared" si="16"/>
        <v>309697.81224000006</v>
      </c>
      <c r="Q29" s="172"/>
      <c r="R29" s="181">
        <f t="shared" ref="R29:W29" si="23">J29*J42/1000000</f>
        <v>0</v>
      </c>
      <c r="S29" s="181">
        <f t="shared" si="23"/>
        <v>17.597740604062082</v>
      </c>
      <c r="T29" s="181">
        <f t="shared" si="23"/>
        <v>0</v>
      </c>
      <c r="U29" s="181">
        <f t="shared" si="23"/>
        <v>4.3660329505801522E-4</v>
      </c>
      <c r="V29" s="181">
        <f t="shared" si="23"/>
        <v>0.46569457992685925</v>
      </c>
      <c r="W29" s="181">
        <f t="shared" si="23"/>
        <v>1.2061415667140995E-5</v>
      </c>
      <c r="X29" s="190">
        <f t="shared" si="20"/>
        <v>18.063883848699664</v>
      </c>
      <c r="Z29" s="169"/>
      <c r="AA29" s="207"/>
      <c r="AB29" s="207"/>
      <c r="AC29" s="186"/>
      <c r="AF29" s="207"/>
      <c r="AG29" s="207"/>
      <c r="AH29" s="207"/>
      <c r="AJ29" s="11" t="s">
        <v>23</v>
      </c>
      <c r="AK29" s="256" t="str">
        <f t="shared" ref="AK29:AK35" si="24">IFERROR(((J13/11.63)+J50)/J57,"")</f>
        <v/>
      </c>
      <c r="AL29" s="256">
        <f t="shared" ref="AL29:AL34" si="25">IFERROR(((K13/11.63)+K50)/K57,"")</f>
        <v>0.6686458258721929</v>
      </c>
      <c r="AM29" s="256">
        <f t="shared" ref="AM29:AM35" si="26">IFERROR(((L13/11.63)+L50)/L57,"")</f>
        <v>0.4959215449590737</v>
      </c>
      <c r="AN29" s="256">
        <f t="shared" ref="AN29:AN35" si="27">IFERROR(((M13/11.63)+M50)/M57,"")</f>
        <v>0.80127421653481168</v>
      </c>
      <c r="AO29" s="256">
        <f t="shared" ref="AO29:AO35" si="28">IFERROR(((N13/11.63)+N50)/N57,"")</f>
        <v>0.54758901988061814</v>
      </c>
      <c r="AP29" s="256">
        <f t="shared" ref="AP29:AP35" si="29">IFERROR(((O13/11.63)+O50)/O57,"")</f>
        <v>0.57665714530789514</v>
      </c>
      <c r="AQ29" s="256">
        <f t="shared" ref="AQ29:AQ35" si="30">IFERROR(((P13/11.63)+P50)/P57,"")</f>
        <v>0.64513032997326691</v>
      </c>
    </row>
    <row r="30" spans="1:43">
      <c r="A30" s="10" t="str">
        <f>A11</f>
        <v>celle combustibili (CEL)</v>
      </c>
      <c r="J30" s="167">
        <f t="shared" si="18"/>
        <v>0</v>
      </c>
      <c r="K30" s="167">
        <f t="shared" si="18"/>
        <v>51.26639999999999</v>
      </c>
      <c r="L30" s="167">
        <f t="shared" si="18"/>
        <v>0</v>
      </c>
      <c r="M30" s="167">
        <f t="shared" si="18"/>
        <v>0</v>
      </c>
      <c r="N30" s="167">
        <f t="shared" si="18"/>
        <v>0</v>
      </c>
      <c r="O30" s="167">
        <f t="shared" si="18"/>
        <v>0</v>
      </c>
      <c r="P30" s="182">
        <f t="shared" si="16"/>
        <v>51.26639999999999</v>
      </c>
      <c r="Q30" s="172"/>
      <c r="R30" s="181">
        <f t="shared" ref="R30:W30" si="31">J30*J42/1000000</f>
        <v>0</v>
      </c>
      <c r="S30" s="181">
        <f t="shared" si="31"/>
        <v>3.0293352688840281E-3</v>
      </c>
      <c r="T30" s="181">
        <f t="shared" si="31"/>
        <v>0</v>
      </c>
      <c r="U30" s="181">
        <f t="shared" si="31"/>
        <v>0</v>
      </c>
      <c r="V30" s="181">
        <f t="shared" si="31"/>
        <v>0</v>
      </c>
      <c r="W30" s="181">
        <f t="shared" si="31"/>
        <v>0</v>
      </c>
      <c r="X30" s="190">
        <f t="shared" si="20"/>
        <v>3.0293352688840281E-3</v>
      </c>
      <c r="Z30" s="169"/>
      <c r="AA30" s="207"/>
      <c r="AB30" s="207"/>
      <c r="AC30" s="186"/>
      <c r="AF30" s="207"/>
      <c r="AG30" s="207"/>
      <c r="AH30" s="207"/>
      <c r="AJ30" s="10" t="s">
        <v>24</v>
      </c>
      <c r="AK30" s="56" t="str">
        <f t="shared" si="24"/>
        <v/>
      </c>
      <c r="AL30" s="56">
        <f t="shared" si="25"/>
        <v>0.72439935920606302</v>
      </c>
      <c r="AM30" s="56">
        <f t="shared" si="26"/>
        <v>0.56322566343567648</v>
      </c>
      <c r="AN30" s="56">
        <f t="shared" si="27"/>
        <v>0.6631230621474401</v>
      </c>
      <c r="AO30" s="56">
        <f t="shared" si="28"/>
        <v>0.603000037136046</v>
      </c>
      <c r="AP30" s="56">
        <f t="shared" si="29"/>
        <v>0.57679425353051506</v>
      </c>
      <c r="AQ30" s="256">
        <f t="shared" si="30"/>
        <v>0.6704004258238605</v>
      </c>
    </row>
    <row r="31" spans="1:43">
      <c r="A31" s="10" t="str">
        <f>A12</f>
        <v>combustione esterna (CE)</v>
      </c>
      <c r="J31" s="167"/>
      <c r="K31" s="167"/>
      <c r="L31" s="167"/>
      <c r="M31" s="167"/>
      <c r="N31" s="167"/>
      <c r="O31" s="167"/>
      <c r="P31" s="182"/>
      <c r="Q31" s="172"/>
      <c r="R31" s="181">
        <f t="shared" ref="R31:W31" si="32">J31*J42/1000000</f>
        <v>0</v>
      </c>
      <c r="S31" s="181">
        <f t="shared" si="32"/>
        <v>0</v>
      </c>
      <c r="T31" s="181">
        <f t="shared" si="32"/>
        <v>0</v>
      </c>
      <c r="U31" s="181">
        <f t="shared" si="32"/>
        <v>0</v>
      </c>
      <c r="V31" s="181">
        <f t="shared" si="32"/>
        <v>0</v>
      </c>
      <c r="W31" s="181">
        <f t="shared" si="32"/>
        <v>0</v>
      </c>
      <c r="X31" s="190">
        <f t="shared" si="20"/>
        <v>0</v>
      </c>
      <c r="Z31" s="169"/>
      <c r="AA31" s="207"/>
      <c r="AB31" s="403"/>
      <c r="AC31" s="186"/>
      <c r="AJ31" s="10" t="s">
        <v>25</v>
      </c>
      <c r="AK31" s="56" t="str">
        <f t="shared" si="24"/>
        <v/>
      </c>
      <c r="AL31" s="56">
        <f t="shared" si="25"/>
        <v>0.79859821970454314</v>
      </c>
      <c r="AM31" s="56" t="str">
        <f t="shared" si="26"/>
        <v/>
      </c>
      <c r="AN31" s="56">
        <f t="shared" si="27"/>
        <v>0.8318923647305031</v>
      </c>
      <c r="AO31" s="56">
        <f t="shared" si="28"/>
        <v>0.67316130527967666</v>
      </c>
      <c r="AP31" s="56">
        <f t="shared" si="29"/>
        <v>0.5803955288412439</v>
      </c>
      <c r="AQ31" s="256">
        <f t="shared" si="30"/>
        <v>0.79924574589134267</v>
      </c>
    </row>
    <row r="32" spans="1:43">
      <c r="A32" s="11" t="s">
        <v>23</v>
      </c>
      <c r="J32" s="179">
        <f t="shared" ref="J32:O32" si="33">SUM(J33:J37)</f>
        <v>0</v>
      </c>
      <c r="K32" s="179">
        <f t="shared" si="33"/>
        <v>431357.6091</v>
      </c>
      <c r="L32" s="179">
        <f t="shared" si="33"/>
        <v>7253.3471200000004</v>
      </c>
      <c r="M32" s="179">
        <f t="shared" si="33"/>
        <v>10386.42553</v>
      </c>
      <c r="N32" s="179">
        <f t="shared" si="33"/>
        <v>97746.897930000006</v>
      </c>
      <c r="O32" s="179">
        <f t="shared" si="33"/>
        <v>40727.391860000003</v>
      </c>
      <c r="P32" s="266">
        <f t="shared" ref="P32:P37" si="34">SUM(J32:O32)</f>
        <v>587471.67154000001</v>
      </c>
      <c r="Q32" s="172"/>
      <c r="R32" s="179">
        <f t="shared" ref="R32:W32" si="35">SUM(R33:R37)</f>
        <v>0</v>
      </c>
      <c r="S32" s="179">
        <f t="shared" si="35"/>
        <v>25.488952193797893</v>
      </c>
      <c r="T32" s="179">
        <f t="shared" si="35"/>
        <v>1.0711620377230207</v>
      </c>
      <c r="U32" s="179">
        <f t="shared" si="35"/>
        <v>0.68608502939250349</v>
      </c>
      <c r="V32" s="179">
        <f t="shared" si="35"/>
        <v>3.8439694229679215</v>
      </c>
      <c r="W32" s="179">
        <f t="shared" si="35"/>
        <v>1.3244899252754903E-2</v>
      </c>
      <c r="X32" s="190">
        <f t="shared" si="20"/>
        <v>31.103413583134092</v>
      </c>
      <c r="Z32" s="169"/>
      <c r="AA32" s="207"/>
      <c r="AB32" s="403"/>
      <c r="AC32" s="186"/>
      <c r="AJ32" s="10" t="s">
        <v>26</v>
      </c>
      <c r="AK32" s="56" t="str">
        <f t="shared" si="24"/>
        <v/>
      </c>
      <c r="AL32" s="56">
        <f t="shared" si="25"/>
        <v>0.63465609982045179</v>
      </c>
      <c r="AM32" s="56">
        <f t="shared" si="26"/>
        <v>0.54698059635147578</v>
      </c>
      <c r="AN32" s="56">
        <f t="shared" si="27"/>
        <v>0.77716780219193782</v>
      </c>
      <c r="AO32" s="56">
        <f t="shared" si="28"/>
        <v>0.6431404290985816</v>
      </c>
      <c r="AP32" s="56">
        <f t="shared" si="29"/>
        <v>0.56482535849356508</v>
      </c>
      <c r="AQ32" s="256">
        <f t="shared" si="30"/>
        <v>0.64080638412628366</v>
      </c>
    </row>
    <row r="33" spans="1:43">
      <c r="A33" s="10" t="s">
        <v>24</v>
      </c>
      <c r="J33" s="167">
        <f t="shared" ref="J33:J38" si="36">IFERROR(J14*R14,"")</f>
        <v>0</v>
      </c>
      <c r="K33" s="167">
        <f t="shared" ref="K33:K38" si="37">IFERROR(K14*S14,"")</f>
        <v>75384.966800000009</v>
      </c>
      <c r="L33" s="167">
        <f t="shared" ref="L33:L38" si="38">IFERROR(L14*T14,"")</f>
        <v>1061.7728000000002</v>
      </c>
      <c r="M33" s="167">
        <f t="shared" ref="M33:M38" si="39">IFERROR(M14*U14,"")</f>
        <v>172.20000000000002</v>
      </c>
      <c r="N33" s="167">
        <f t="shared" ref="N33:N38" si="40">IFERROR(N14*V14,"")</f>
        <v>11326.498399999999</v>
      </c>
      <c r="O33" s="181">
        <f t="shared" ref="O33:O38" si="41">IFERROR(O14*W14,"")</f>
        <v>40452.7336</v>
      </c>
      <c r="P33" s="182">
        <f t="shared" si="34"/>
        <v>128398.1716</v>
      </c>
      <c r="Q33" s="172"/>
      <c r="R33" s="181">
        <f t="shared" ref="R33:W33" si="42">J33*J42/1000000</f>
        <v>0</v>
      </c>
      <c r="S33" s="181">
        <f t="shared" si="42"/>
        <v>4.4545031184341326</v>
      </c>
      <c r="T33" s="181">
        <f t="shared" si="42"/>
        <v>0.15680081171227295</v>
      </c>
      <c r="U33" s="181">
        <f t="shared" si="42"/>
        <v>1.1374831670447564E-2</v>
      </c>
      <c r="V33" s="181">
        <f t="shared" si="42"/>
        <v>0.44542296933120767</v>
      </c>
      <c r="W33" s="181">
        <f t="shared" si="42"/>
        <v>1.3155578016689949E-2</v>
      </c>
      <c r="X33" s="190">
        <f t="shared" si="20"/>
        <v>5.0812573091647506</v>
      </c>
      <c r="Z33" s="169"/>
      <c r="AA33" s="207"/>
      <c r="AB33" s="403"/>
      <c r="AC33" s="186"/>
      <c r="AJ33" s="10" t="s">
        <v>27</v>
      </c>
      <c r="AK33" s="56" t="str">
        <f t="shared" si="24"/>
        <v/>
      </c>
      <c r="AL33" s="56">
        <f t="shared" si="25"/>
        <v>0.87093059477487178</v>
      </c>
      <c r="AM33" s="56" t="str">
        <f t="shared" si="26"/>
        <v/>
      </c>
      <c r="AN33" s="56">
        <f t="shared" si="27"/>
        <v>0.87264381076192044</v>
      </c>
      <c r="AO33" s="56">
        <f t="shared" si="28"/>
        <v>0.77900096153728426</v>
      </c>
      <c r="AP33" s="56" t="str">
        <f t="shared" si="29"/>
        <v/>
      </c>
      <c r="AQ33" s="256">
        <f t="shared" si="30"/>
        <v>0.82560683512450239</v>
      </c>
    </row>
    <row r="34" spans="1:43">
      <c r="A34" s="10" t="s">
        <v>25</v>
      </c>
      <c r="J34" s="167">
        <f t="shared" si="36"/>
        <v>0</v>
      </c>
      <c r="K34" s="167">
        <f t="shared" si="37"/>
        <v>27691.099499999997</v>
      </c>
      <c r="L34" s="167">
        <f t="shared" si="38"/>
        <v>0</v>
      </c>
      <c r="M34" s="167">
        <f t="shared" si="39"/>
        <v>1264.7417600000001</v>
      </c>
      <c r="N34" s="167">
        <f t="shared" si="40"/>
        <v>162.48623999999998</v>
      </c>
      <c r="O34" s="167">
        <f t="shared" si="41"/>
        <v>77.19</v>
      </c>
      <c r="P34" s="182">
        <f t="shared" si="34"/>
        <v>29195.517499999994</v>
      </c>
      <c r="Q34" s="172"/>
      <c r="R34" s="181">
        <f t="shared" ref="R34:W34" si="43">J34*J42/1000000</f>
        <v>0</v>
      </c>
      <c r="S34" s="181">
        <f t="shared" si="43"/>
        <v>1.636269064134148</v>
      </c>
      <c r="T34" s="181">
        <f t="shared" si="43"/>
        <v>0</v>
      </c>
      <c r="U34" s="181">
        <f t="shared" si="43"/>
        <v>8.3543697018499369E-2</v>
      </c>
      <c r="V34" s="181">
        <f t="shared" si="43"/>
        <v>6.3898921749958705E-3</v>
      </c>
      <c r="W34" s="181">
        <f t="shared" si="43"/>
        <v>2.5102854040704362E-5</v>
      </c>
      <c r="X34" s="190">
        <f t="shared" si="20"/>
        <v>1.7262277561816839</v>
      </c>
      <c r="Z34" s="169"/>
      <c r="AA34" s="207"/>
      <c r="AB34" s="207"/>
      <c r="AC34" s="186"/>
      <c r="AJ34" s="10" t="s">
        <v>28</v>
      </c>
      <c r="AK34" s="56" t="str">
        <f t="shared" si="24"/>
        <v/>
      </c>
      <c r="AL34" s="56">
        <f t="shared" si="25"/>
        <v>0.49465315750460576</v>
      </c>
      <c r="AM34" s="56">
        <f t="shared" si="26"/>
        <v>0.45611950881576568</v>
      </c>
      <c r="AN34" s="56">
        <f t="shared" si="27"/>
        <v>0.80971767634624903</v>
      </c>
      <c r="AO34" s="56">
        <f t="shared" si="28"/>
        <v>0.43508278982168525</v>
      </c>
      <c r="AP34" s="56">
        <f t="shared" si="29"/>
        <v>0.42132416168380621</v>
      </c>
      <c r="AQ34" s="256">
        <f t="shared" si="30"/>
        <v>0.4614954042200235</v>
      </c>
    </row>
    <row r="35" spans="1:43">
      <c r="A35" s="10" t="s">
        <v>26</v>
      </c>
      <c r="J35" s="167">
        <f t="shared" si="36"/>
        <v>0</v>
      </c>
      <c r="K35" s="167">
        <f t="shared" si="37"/>
        <v>316604.272</v>
      </c>
      <c r="L35" s="167">
        <f t="shared" si="38"/>
        <v>1744.0345599999998</v>
      </c>
      <c r="M35" s="167">
        <f t="shared" si="39"/>
        <v>7291.4474999999993</v>
      </c>
      <c r="N35" s="167">
        <f t="shared" si="40"/>
        <v>33860.003850000001</v>
      </c>
      <c r="O35" s="167">
        <f t="shared" si="41"/>
        <v>180.54828000000001</v>
      </c>
      <c r="P35" s="182">
        <f t="shared" si="34"/>
        <v>359680.30618999997</v>
      </c>
      <c r="Q35" s="172"/>
      <c r="R35" s="181">
        <f t="shared" ref="R35:W35" si="44">J35*J42/1000000</f>
        <v>0</v>
      </c>
      <c r="S35" s="181">
        <f t="shared" si="44"/>
        <v>18.708169238506162</v>
      </c>
      <c r="T35" s="181">
        <f t="shared" si="44"/>
        <v>0.25755607476689624</v>
      </c>
      <c r="U35" s="181">
        <f t="shared" si="44"/>
        <v>0.48164336786530604</v>
      </c>
      <c r="V35" s="181">
        <f t="shared" si="44"/>
        <v>1.3315698218288829</v>
      </c>
      <c r="W35" s="181">
        <f t="shared" si="44"/>
        <v>5.8715858532714379E-5</v>
      </c>
      <c r="X35" s="190">
        <f t="shared" si="20"/>
        <v>20.778997218825779</v>
      </c>
      <c r="Z35" s="169"/>
      <c r="AA35" s="408"/>
      <c r="AB35" s="342"/>
      <c r="AC35" s="186"/>
      <c r="AJ35" s="10" t="s">
        <v>351</v>
      </c>
      <c r="AK35" s="56" t="str">
        <f t="shared" si="24"/>
        <v/>
      </c>
      <c r="AL35" s="56">
        <f>IFERROR(((K19/11.63)+K56)/K63,"")</f>
        <v>0.81685296650834038</v>
      </c>
      <c r="AM35" s="56" t="str">
        <f t="shared" si="26"/>
        <v/>
      </c>
      <c r="AN35" s="56" t="str">
        <f t="shared" si="27"/>
        <v/>
      </c>
      <c r="AO35" s="56" t="str">
        <f t="shared" si="28"/>
        <v/>
      </c>
      <c r="AP35" s="56" t="str">
        <f t="shared" si="29"/>
        <v/>
      </c>
      <c r="AQ35" s="256">
        <f t="shared" si="30"/>
        <v>0.81685296650834038</v>
      </c>
    </row>
    <row r="36" spans="1:43">
      <c r="A36" s="10" t="s">
        <v>27</v>
      </c>
      <c r="J36" s="167">
        <f t="shared" si="36"/>
        <v>0</v>
      </c>
      <c r="K36" s="167">
        <f t="shared" si="37"/>
        <v>1291.6714000000002</v>
      </c>
      <c r="L36" s="167">
        <f t="shared" si="38"/>
        <v>0</v>
      </c>
      <c r="M36" s="167">
        <f t="shared" si="39"/>
        <v>787.06704999999988</v>
      </c>
      <c r="N36" s="167">
        <f t="shared" si="40"/>
        <v>3611.8986399999994</v>
      </c>
      <c r="O36" s="167">
        <f t="shared" si="41"/>
        <v>0</v>
      </c>
      <c r="P36" s="182">
        <f t="shared" si="34"/>
        <v>5690.6370899999993</v>
      </c>
      <c r="Q36" s="172"/>
      <c r="R36" s="181">
        <f t="shared" ref="R36:W36" si="45">J36*J42/1000000</f>
        <v>0</v>
      </c>
      <c r="S36" s="181">
        <f t="shared" si="45"/>
        <v>7.6324956069254143E-2</v>
      </c>
      <c r="T36" s="181">
        <f t="shared" si="45"/>
        <v>0</v>
      </c>
      <c r="U36" s="181">
        <f t="shared" si="45"/>
        <v>5.1990448357176158E-2</v>
      </c>
      <c r="V36" s="181">
        <f t="shared" si="45"/>
        <v>0.14204059898619248</v>
      </c>
      <c r="W36" s="181">
        <f t="shared" si="45"/>
        <v>0</v>
      </c>
      <c r="X36" s="190">
        <f t="shared" si="20"/>
        <v>0.27035600341262278</v>
      </c>
      <c r="Z36" s="169"/>
      <c r="AA36" s="207"/>
      <c r="AB36" s="207"/>
      <c r="AC36" s="186"/>
      <c r="AF36" s="185"/>
      <c r="AG36" s="207"/>
      <c r="AH36" s="207"/>
      <c r="AJ36" s="275" t="s">
        <v>266</v>
      </c>
      <c r="AK36" s="274">
        <f t="shared" ref="AK36:AQ36" si="46">IFERROR(((J20/11.63)+J50)/(J57+J25/41.868),"")</f>
        <v>0.38216560509554143</v>
      </c>
      <c r="AL36" s="274">
        <f t="shared" si="46"/>
        <v>0.62428801426661673</v>
      </c>
      <c r="AM36" s="274">
        <f t="shared" si="46"/>
        <v>0.49437923044353987</v>
      </c>
      <c r="AN36" s="274">
        <f t="shared" si="46"/>
        <v>0.70986923340250818</v>
      </c>
      <c r="AO36" s="274">
        <f t="shared" si="46"/>
        <v>0.46515858206179805</v>
      </c>
      <c r="AP36" s="274">
        <f t="shared" si="46"/>
        <v>0.51663377393122401</v>
      </c>
      <c r="AQ36" s="274">
        <f t="shared" si="46"/>
        <v>0.58767757468457349</v>
      </c>
    </row>
    <row r="37" spans="1:43">
      <c r="A37" s="10" t="s">
        <v>28</v>
      </c>
      <c r="J37" s="167">
        <f t="shared" si="36"/>
        <v>0</v>
      </c>
      <c r="K37" s="167">
        <f t="shared" si="37"/>
        <v>10385.599400000001</v>
      </c>
      <c r="L37" s="167">
        <f t="shared" si="38"/>
        <v>4447.5397600000006</v>
      </c>
      <c r="M37" s="167">
        <f t="shared" si="39"/>
        <v>870.96922000000006</v>
      </c>
      <c r="N37" s="167">
        <f t="shared" si="40"/>
        <v>48786.010799999996</v>
      </c>
      <c r="O37" s="167">
        <f t="shared" si="41"/>
        <v>16.919979999999999</v>
      </c>
      <c r="P37" s="182">
        <f t="shared" si="34"/>
        <v>64507.03916</v>
      </c>
      <c r="Q37" s="172"/>
      <c r="R37" s="181">
        <f t="shared" ref="R37:W37" si="47">J37*J42/1000000</f>
        <v>0</v>
      </c>
      <c r="S37" s="181">
        <f t="shared" si="47"/>
        <v>0.61368581665419863</v>
      </c>
      <c r="T37" s="181">
        <f t="shared" si="47"/>
        <v>0.65680515124385153</v>
      </c>
      <c r="U37" s="181">
        <f t="shared" si="47"/>
        <v>5.7532684481074403E-2</v>
      </c>
      <c r="V37" s="181">
        <f t="shared" si="47"/>
        <v>1.9185461406466424</v>
      </c>
      <c r="W37" s="181">
        <f t="shared" si="47"/>
        <v>5.5025234915356526E-6</v>
      </c>
      <c r="X37" s="190">
        <f t="shared" si="20"/>
        <v>3.2465752955492584</v>
      </c>
      <c r="Z37" s="169"/>
      <c r="AA37" s="207"/>
      <c r="AB37" s="207"/>
      <c r="AC37" s="186"/>
      <c r="AF37" s="185"/>
      <c r="AG37" s="207"/>
      <c r="AH37" s="207"/>
    </row>
    <row r="38" spans="1:43">
      <c r="A38" s="10" t="s">
        <v>351</v>
      </c>
      <c r="J38" s="167">
        <f t="shared" si="36"/>
        <v>0</v>
      </c>
      <c r="K38" s="167">
        <f t="shared" si="37"/>
        <v>11.101999999999999</v>
      </c>
      <c r="L38" s="167">
        <f t="shared" si="38"/>
        <v>0</v>
      </c>
      <c r="M38" s="167">
        <f t="shared" si="39"/>
        <v>0</v>
      </c>
      <c r="N38" s="167">
        <f t="shared" si="40"/>
        <v>0</v>
      </c>
      <c r="O38" s="167">
        <f t="shared" si="41"/>
        <v>0</v>
      </c>
      <c r="P38" s="182">
        <f>SUM(J38:O38)</f>
        <v>11.101999999999999</v>
      </c>
      <c r="Q38" s="172"/>
      <c r="R38" s="181">
        <f t="shared" ref="R38:W38" si="48">J38*J42/1000000</f>
        <v>0</v>
      </c>
      <c r="S38" s="181">
        <f t="shared" si="48"/>
        <v>6.5601797971284281E-4</v>
      </c>
      <c r="T38" s="181">
        <f t="shared" si="48"/>
        <v>0</v>
      </c>
      <c r="U38" s="181">
        <f t="shared" si="48"/>
        <v>0</v>
      </c>
      <c r="V38" s="181">
        <f t="shared" si="48"/>
        <v>0</v>
      </c>
      <c r="W38" s="181">
        <f t="shared" si="48"/>
        <v>0</v>
      </c>
      <c r="X38" s="190">
        <f t="shared" si="20"/>
        <v>6.5601797971284281E-4</v>
      </c>
      <c r="Z38" s="169"/>
      <c r="AA38" s="207"/>
      <c r="AB38" s="207"/>
      <c r="AC38" s="189"/>
      <c r="AF38" s="185"/>
      <c r="AG38" s="207"/>
      <c r="AH38" s="207"/>
    </row>
    <row r="39" spans="1:43">
      <c r="A39" s="11" t="s">
        <v>9</v>
      </c>
      <c r="J39" s="182">
        <f t="shared" ref="J39:P39" si="49">J25+J32</f>
        <v>37193.928</v>
      </c>
      <c r="K39" s="182">
        <f t="shared" si="49"/>
        <v>743460.15448000003</v>
      </c>
      <c r="L39" s="182">
        <f t="shared" si="49"/>
        <v>7404.2486400000007</v>
      </c>
      <c r="M39" s="182">
        <f t="shared" si="49"/>
        <v>18231.664510000002</v>
      </c>
      <c r="N39" s="182">
        <f t="shared" si="49"/>
        <v>170907.52233000001</v>
      </c>
      <c r="O39" s="182">
        <f t="shared" si="49"/>
        <v>61167.443115000002</v>
      </c>
      <c r="P39" s="182">
        <f t="shared" si="49"/>
        <v>1038364.961075</v>
      </c>
      <c r="Q39" s="172"/>
      <c r="R39" s="266">
        <f t="shared" ref="R39:X39" si="50">R25+R32</f>
        <v>3.4051774739013254</v>
      </c>
      <c r="S39" s="199">
        <f t="shared" si="50"/>
        <v>43.931114082054378</v>
      </c>
      <c r="T39" s="199">
        <f t="shared" si="50"/>
        <v>1.0934469190315415</v>
      </c>
      <c r="U39" s="199">
        <f t="shared" si="50"/>
        <v>1.2043096101818982</v>
      </c>
      <c r="V39" s="199">
        <f t="shared" si="50"/>
        <v>6.721065362731018</v>
      </c>
      <c r="W39" s="199">
        <f t="shared" si="50"/>
        <v>1.9892180289660992E-2</v>
      </c>
      <c r="X39" s="199">
        <f t="shared" si="50"/>
        <v>56.375005628189818</v>
      </c>
      <c r="Z39" s="169"/>
      <c r="AA39" s="207"/>
      <c r="AB39" s="207"/>
      <c r="AC39" s="186"/>
      <c r="AF39" s="185"/>
      <c r="AG39" s="207"/>
      <c r="AH39" s="207"/>
    </row>
    <row r="40" spans="1:43">
      <c r="E40" s="68" t="s">
        <v>176</v>
      </c>
      <c r="F40" s="68"/>
      <c r="G40" s="68"/>
      <c r="H40" s="68"/>
      <c r="I40" s="68"/>
      <c r="J40" s="321">
        <f>J39/41.868</f>
        <v>888.36170822585268</v>
      </c>
      <c r="K40" s="321">
        <f t="shared" ref="K40:P40" si="51">K39/41.868</f>
        <v>17757.240720359223</v>
      </c>
      <c r="L40" s="321">
        <f t="shared" si="51"/>
        <v>176.84744052737176</v>
      </c>
      <c r="M40" s="321">
        <f t="shared" si="51"/>
        <v>435.4558256902647</v>
      </c>
      <c r="N40" s="321">
        <f t="shared" si="51"/>
        <v>4082.0560411292636</v>
      </c>
      <c r="O40" s="321">
        <f t="shared" si="51"/>
        <v>1460.9592795213528</v>
      </c>
      <c r="P40" s="321">
        <f t="shared" si="51"/>
        <v>24800.921015453328</v>
      </c>
      <c r="R40" s="181">
        <v>3.4051774739013259</v>
      </c>
      <c r="S40" s="197">
        <v>43.931114082054364</v>
      </c>
      <c r="T40" s="197">
        <v>1.0934469190315415</v>
      </c>
      <c r="U40" s="197">
        <v>1.2043096101818982</v>
      </c>
      <c r="V40" s="197">
        <v>6.7210653627310162</v>
      </c>
      <c r="W40" s="197">
        <v>1.9892180289660992E-2</v>
      </c>
      <c r="X40" s="197">
        <v>56.375005628189804</v>
      </c>
      <c r="Z40" s="169"/>
      <c r="AA40" s="207"/>
      <c r="AB40" s="207"/>
      <c r="AC40" s="186"/>
      <c r="AF40" s="185"/>
      <c r="AG40" s="207"/>
      <c r="AH40" s="207"/>
    </row>
    <row r="41" spans="1:43">
      <c r="A41" s="652" t="s">
        <v>469</v>
      </c>
      <c r="E41" s="68" t="s">
        <v>176</v>
      </c>
      <c r="J41" s="321">
        <f>(J25)/41.868+J57</f>
        <v>888.36170822585268</v>
      </c>
      <c r="K41" s="321">
        <f t="shared" ref="K41:P41" si="52">(K25)/41.868+K57</f>
        <v>21074.441229100983</v>
      </c>
      <c r="L41" s="321">
        <f t="shared" si="52"/>
        <v>214.5042208846852</v>
      </c>
      <c r="M41" s="321">
        <f t="shared" si="52"/>
        <v>910.58031384350807</v>
      </c>
      <c r="N41" s="321">
        <f t="shared" si="52"/>
        <v>4979.2114932645454</v>
      </c>
      <c r="O41" s="321">
        <f t="shared" si="52"/>
        <v>1751.5022369112451</v>
      </c>
      <c r="P41" s="321">
        <f t="shared" si="52"/>
        <v>29818.60120223082</v>
      </c>
      <c r="T41" s="197"/>
      <c r="U41" s="198"/>
      <c r="Z41" s="169"/>
      <c r="AA41" s="207"/>
      <c r="AB41" s="207"/>
      <c r="AC41" s="186"/>
      <c r="AF41" s="185"/>
      <c r="AG41" s="207"/>
      <c r="AH41" s="207"/>
    </row>
    <row r="42" spans="1:43">
      <c r="A42" s="183" t="s">
        <v>193</v>
      </c>
      <c r="J42" s="168">
        <f>95+J43</f>
        <v>91.551972512860843</v>
      </c>
      <c r="K42" s="185">
        <f>56+K43</f>
        <v>59.090072033223102</v>
      </c>
      <c r="L42" s="147">
        <f>177+L43</f>
        <v>147.67830906223341</v>
      </c>
      <c r="M42" s="168">
        <f>68+M43</f>
        <v>66.055933045572374</v>
      </c>
      <c r="N42" s="168">
        <f>36+N43</f>
        <v>39.325743367536056</v>
      </c>
      <c r="O42" s="168">
        <f>1+O43</f>
        <v>0.32520862858795652</v>
      </c>
      <c r="P42" s="317">
        <f>P32/41.868</f>
        <v>14031.519813222509</v>
      </c>
      <c r="Q42" s="90">
        <f>P42-'5-x'!$AD$82</f>
        <v>0</v>
      </c>
      <c r="Z42" s="169"/>
      <c r="AA42" s="207"/>
      <c r="AB42" s="207"/>
      <c r="AC42" s="186"/>
      <c r="AF42" s="185"/>
      <c r="AG42" s="207"/>
      <c r="AH42" s="207"/>
    </row>
    <row r="43" spans="1:43">
      <c r="A43" s="453" t="s">
        <v>376</v>
      </c>
      <c r="B43" s="452"/>
      <c r="C43" s="452"/>
      <c r="D43" s="452"/>
      <c r="E43" s="452"/>
      <c r="F43" s="452"/>
      <c r="G43" s="452"/>
      <c r="H43" s="452"/>
      <c r="I43" s="452"/>
      <c r="J43" s="506">
        <v>-3.4480274871391607</v>
      </c>
      <c r="K43" s="506">
        <v>3.0900720332231031</v>
      </c>
      <c r="L43" s="506">
        <v>-29.32169093776659</v>
      </c>
      <c r="M43" s="506">
        <v>-1.9440669544276288</v>
      </c>
      <c r="N43" s="506">
        <v>3.3257433675360528</v>
      </c>
      <c r="O43" s="506">
        <v>-0.67479137141204348</v>
      </c>
      <c r="P43" s="318">
        <f>P25/41.868</f>
        <v>10769.401202230822</v>
      </c>
      <c r="Q43" s="90">
        <f>P43-'5-x'!$AD$83</f>
        <v>0</v>
      </c>
      <c r="R43" s="455">
        <f>R39-R40</f>
        <v>0</v>
      </c>
      <c r="S43" s="455">
        <f>S39-S40</f>
        <v>0</v>
      </c>
      <c r="T43" s="455">
        <f>T39-SUM(T40:T41)</f>
        <v>0</v>
      </c>
      <c r="U43" s="455">
        <f>U39-U40</f>
        <v>0</v>
      </c>
      <c r="V43" s="455">
        <f>V39-V40</f>
        <v>0</v>
      </c>
      <c r="W43" s="455">
        <f>W39-W40</f>
        <v>0</v>
      </c>
      <c r="X43" s="222">
        <f>X39-X40</f>
        <v>0</v>
      </c>
      <c r="AA43" s="419"/>
      <c r="AB43" s="342"/>
      <c r="AC43" s="403"/>
    </row>
    <row r="44" spans="1:43">
      <c r="J44" s="168" t="str">
        <f t="shared" ref="J44:O44" si="53">J160</f>
        <v/>
      </c>
      <c r="K44" s="168">
        <f t="shared" si="53"/>
        <v>0.72822315817487626</v>
      </c>
      <c r="L44" s="168">
        <f t="shared" si="53"/>
        <v>0.62647631476441135</v>
      </c>
      <c r="M44" s="168">
        <f t="shared" si="53"/>
        <v>0.75666380059092686</v>
      </c>
      <c r="N44" s="168">
        <f t="shared" si="53"/>
        <v>0.64286869705660388</v>
      </c>
      <c r="O44" s="168">
        <f t="shared" si="53"/>
        <v>0.57784333562917334</v>
      </c>
      <c r="P44" s="319">
        <f>P57-P42</f>
        <v>5017.6801867774921</v>
      </c>
      <c r="Q44" s="90">
        <f>P44-'5-x'!$AD$84</f>
        <v>0</v>
      </c>
      <c r="Z44" s="169"/>
      <c r="AA44" s="207"/>
      <c r="AB44" s="554"/>
      <c r="AC44" s="186"/>
    </row>
    <row r="45" spans="1:43">
      <c r="J45" s="168">
        <f t="shared" ref="J45:O45" si="54">J32/41.868</f>
        <v>0</v>
      </c>
      <c r="K45" s="168">
        <f t="shared" si="54"/>
        <v>10302.79949125824</v>
      </c>
      <c r="L45" s="168">
        <f t="shared" si="54"/>
        <v>173.24321964268654</v>
      </c>
      <c r="M45" s="168">
        <f t="shared" si="54"/>
        <v>248.07551184675648</v>
      </c>
      <c r="N45" s="168">
        <f t="shared" si="54"/>
        <v>2334.6445478647179</v>
      </c>
      <c r="O45" s="168">
        <f t="shared" si="54"/>
        <v>972.75704261010799</v>
      </c>
      <c r="P45" s="320">
        <f>SUM(P42:P44)</f>
        <v>29818.60120223082</v>
      </c>
      <c r="Q45" s="320"/>
      <c r="Z45" s="169"/>
      <c r="AA45" s="207"/>
      <c r="AB45" s="207"/>
      <c r="AC45" s="186"/>
    </row>
    <row r="46" spans="1:43">
      <c r="J46" s="168" t="str">
        <f t="shared" ref="J46:O46" si="55">IFERROR(J57-(J50/J47),"")</f>
        <v/>
      </c>
      <c r="K46" s="168">
        <f t="shared" si="55"/>
        <v>10302.79949125824</v>
      </c>
      <c r="L46" s="168">
        <f t="shared" si="55"/>
        <v>173.24321964268654</v>
      </c>
      <c r="M46" s="168">
        <f t="shared" si="55"/>
        <v>248.07551184675651</v>
      </c>
      <c r="N46" s="168">
        <f t="shared" si="55"/>
        <v>2334.6445478647179</v>
      </c>
      <c r="O46" s="168">
        <f t="shared" si="55"/>
        <v>972.75704261010799</v>
      </c>
      <c r="P46" s="168"/>
      <c r="Z46" s="169"/>
      <c r="AA46" s="207"/>
      <c r="AB46" s="207"/>
      <c r="AC46" s="186"/>
    </row>
    <row r="47" spans="1:43">
      <c r="A47" s="241" t="s">
        <v>374</v>
      </c>
      <c r="I47" s="500"/>
      <c r="J47" s="500" t="str">
        <f t="shared" ref="J47:P47" si="56">IFERROR(J50/(J57-J32/41.868),"")</f>
        <v/>
      </c>
      <c r="K47" s="500">
        <f t="shared" si="56"/>
        <v>0.89314400497761315</v>
      </c>
      <c r="L47" s="500">
        <f t="shared" si="56"/>
        <v>0.8998777939574637</v>
      </c>
      <c r="M47" s="500">
        <f t="shared" si="56"/>
        <v>0.90316195057341764</v>
      </c>
      <c r="N47" s="500">
        <f t="shared" si="56"/>
        <v>0.8506584084169182</v>
      </c>
      <c r="O47" s="500">
        <f t="shared" si="56"/>
        <v>0.88892779730253091</v>
      </c>
      <c r="P47" s="500">
        <f t="shared" si="56"/>
        <v>0.88630263034340351</v>
      </c>
      <c r="Z47" s="169"/>
      <c r="AA47" s="207"/>
      <c r="AB47" s="207"/>
      <c r="AC47" s="186"/>
    </row>
    <row r="48" spans="1:43">
      <c r="A48" s="68" t="s">
        <v>252</v>
      </c>
      <c r="J48" s="168"/>
      <c r="K48" s="168"/>
      <c r="L48" s="500">
        <f>IFERROR(SUM(K50:M50)/(SUM(K57:M57)-SUM(K32:M32)/41.868),"")</f>
        <v>0.89445297832989257</v>
      </c>
      <c r="P48" s="426"/>
      <c r="R48" s="191" t="s">
        <v>397</v>
      </c>
      <c r="S48" s="165"/>
      <c r="T48" s="165"/>
      <c r="U48" s="165"/>
      <c r="V48" s="165"/>
      <c r="W48" s="165"/>
      <c r="X48" s="165"/>
      <c r="Z48" s="169"/>
      <c r="AA48" s="207"/>
      <c r="AB48" s="207"/>
      <c r="AC48" s="186"/>
    </row>
    <row r="49" spans="1:34">
      <c r="A49" s="68" t="str">
        <f>A4</f>
        <v>Dati 2024 lorda</v>
      </c>
      <c r="J49" s="180" t="s">
        <v>5</v>
      </c>
      <c r="K49" s="180" t="s">
        <v>186</v>
      </c>
      <c r="L49" s="180" t="s">
        <v>187</v>
      </c>
      <c r="M49" s="180" t="s">
        <v>190</v>
      </c>
      <c r="N49" s="180" t="s">
        <v>192</v>
      </c>
      <c r="O49" s="180" t="s">
        <v>191</v>
      </c>
      <c r="P49" s="180" t="s">
        <v>189</v>
      </c>
      <c r="R49" s="191" t="s">
        <v>5</v>
      </c>
      <c r="S49" s="191" t="s">
        <v>186</v>
      </c>
      <c r="T49" s="191" t="s">
        <v>187</v>
      </c>
      <c r="U49" s="191" t="s">
        <v>190</v>
      </c>
      <c r="V49" s="191" t="s">
        <v>192</v>
      </c>
      <c r="W49" s="191" t="s">
        <v>191</v>
      </c>
      <c r="X49" s="191" t="s">
        <v>189</v>
      </c>
      <c r="AA49" s="180" t="s">
        <v>5</v>
      </c>
      <c r="AB49" s="180" t="s">
        <v>186</v>
      </c>
      <c r="AC49" s="180" t="s">
        <v>187</v>
      </c>
      <c r="AD49" s="180" t="s">
        <v>190</v>
      </c>
      <c r="AE49" s="180" t="s">
        <v>192</v>
      </c>
      <c r="AF49" s="180" t="s">
        <v>191</v>
      </c>
      <c r="AG49" s="180" t="s">
        <v>189</v>
      </c>
    </row>
    <row r="50" spans="1:34">
      <c r="A50" s="193" t="s">
        <v>251</v>
      </c>
      <c r="J50" s="179">
        <f t="shared" ref="J50:O50" si="57">SUM(J51:J56)</f>
        <v>0</v>
      </c>
      <c r="K50" s="179">
        <f t="shared" si="57"/>
        <v>2962.7377476913916</v>
      </c>
      <c r="L50" s="179">
        <f t="shared" si="57"/>
        <v>33.886500435479995</v>
      </c>
      <c r="M50" s="179">
        <f t="shared" si="57"/>
        <v>429.11435948567998</v>
      </c>
      <c r="N50" s="179">
        <f t="shared" si="57"/>
        <v>763.17282901595991</v>
      </c>
      <c r="O50" s="179">
        <f t="shared" si="57"/>
        <v>258.27171113435998</v>
      </c>
      <c r="P50" s="266">
        <f>SUM(J50:O50)</f>
        <v>4447.1831477628712</v>
      </c>
      <c r="Q50" s="193" t="s">
        <v>16</v>
      </c>
      <c r="R50" s="282">
        <f t="shared" ref="R50:R63" si="58">IFERROR(R25/J6*1000000,0)</f>
        <v>862.41958107114908</v>
      </c>
      <c r="S50" s="282">
        <f t="shared" ref="S50:S63" si="59">IFERROR(S25/K6*1000000,0)</f>
        <v>391.58292831170434</v>
      </c>
      <c r="T50" s="282">
        <f t="shared" ref="T50:T63" si="60">IFERROR(T25/L6*1000000,0)</f>
        <v>1315.5183771263751</v>
      </c>
      <c r="U50" s="282">
        <f t="shared" ref="U50:U63" si="61">IFERROR(U25/M6*1000000,0)</f>
        <v>665.9443583610406</v>
      </c>
      <c r="V50" s="282">
        <f t="shared" ref="V50:V63" si="62">IFERROR(V25/N6*1000000,0)</f>
        <v>452.7351941115067</v>
      </c>
      <c r="W50" s="282">
        <f t="shared" ref="W50:W63" si="63">IFERROR(W25/O6*1000000,0)</f>
        <v>3.2402605147570593</v>
      </c>
      <c r="X50" s="282">
        <f t="shared" ref="X50:X63" si="64">IFERROR(X25/P6*1000000,0)</f>
        <v>419.47095786567178</v>
      </c>
      <c r="Z50" s="555" t="s">
        <v>427</v>
      </c>
      <c r="AA50" s="179">
        <f t="shared" ref="AA50:AF50" si="65">SUM(AA51:AA56)</f>
        <v>0</v>
      </c>
      <c r="AB50" s="179">
        <f t="shared" si="65"/>
        <v>34456.639999999999</v>
      </c>
      <c r="AC50" s="179">
        <f t="shared" si="65"/>
        <v>394.1</v>
      </c>
      <c r="AD50" s="179">
        <f t="shared" si="65"/>
        <v>4990.6000000000004</v>
      </c>
      <c r="AE50" s="179">
        <f t="shared" si="65"/>
        <v>8875.7000000000007</v>
      </c>
      <c r="AF50" s="179">
        <f t="shared" si="65"/>
        <v>3003.7000000000003</v>
      </c>
      <c r="AG50" s="266">
        <f>SUM(AA50:AF50)</f>
        <v>51720.739999999991</v>
      </c>
    </row>
    <row r="51" spans="1:34">
      <c r="A51" s="186" t="s">
        <v>24</v>
      </c>
      <c r="J51" s="436">
        <f t="shared" ref="J51:J56" si="66">IFERROR(AA51*85.9845228/1000,"")</f>
        <v>0</v>
      </c>
      <c r="K51" s="436">
        <f t="shared" ref="K51:K56" si="67">IFERROR(AB51*85.9845228/1000,"")</f>
        <v>840.81685310436001</v>
      </c>
      <c r="L51" s="436">
        <f t="shared" ref="L51:L56" si="68">IFERROR(AC51*85.9845228/1000,"")</f>
        <v>5.8039552889999992</v>
      </c>
      <c r="M51" s="436">
        <f t="shared" ref="M51:M56" si="69">IFERROR(AD51*85.9845228/1000,"")</f>
        <v>2.2613929496400003</v>
      </c>
      <c r="N51" s="436">
        <f t="shared" ref="N51:N56" si="70">IFERROR(AE51*85.9845228/1000,"")</f>
        <v>118.13413587492001</v>
      </c>
      <c r="O51" s="436">
        <f t="shared" ref="O51:O56" si="71">IFERROR(AF51*85.9845228/1000,"")</f>
        <v>256.21668103944</v>
      </c>
      <c r="P51" s="266">
        <f t="shared" ref="P51:P56" si="72">SUM(J51:O51)</f>
        <v>1223.2330182573601</v>
      </c>
      <c r="Q51" s="186" t="s">
        <v>17</v>
      </c>
      <c r="R51" s="283">
        <f t="shared" si="58"/>
        <v>0</v>
      </c>
      <c r="S51" s="283">
        <f t="shared" si="59"/>
        <v>483.23860908769853</v>
      </c>
      <c r="T51" s="283">
        <f t="shared" si="60"/>
        <v>1315.5183771263751</v>
      </c>
      <c r="U51" s="283">
        <f t="shared" si="61"/>
        <v>633.0140063757201</v>
      </c>
      <c r="V51" s="283">
        <f t="shared" si="62"/>
        <v>359.83055181295498</v>
      </c>
      <c r="W51" s="283">
        <f t="shared" si="63"/>
        <v>3.231598142278524</v>
      </c>
      <c r="X51" s="282">
        <f t="shared" si="64"/>
        <v>195.15750314318328</v>
      </c>
      <c r="Z51" s="209" t="s">
        <v>24</v>
      </c>
      <c r="AA51" s="910"/>
      <c r="AB51" s="910">
        <v>9778.7000000000007</v>
      </c>
      <c r="AC51" s="910">
        <v>67.5</v>
      </c>
      <c r="AD51" s="910">
        <v>26.3</v>
      </c>
      <c r="AE51" s="910">
        <v>1373.9</v>
      </c>
      <c r="AF51" s="910">
        <v>2979.8</v>
      </c>
      <c r="AG51" s="556">
        <f t="shared" ref="AG51:AG56" si="73">SUM(AA51:AF51)</f>
        <v>14226.2</v>
      </c>
    </row>
    <row r="52" spans="1:34">
      <c r="A52" s="186" t="s">
        <v>25</v>
      </c>
      <c r="J52" s="436">
        <f t="shared" si="66"/>
        <v>0</v>
      </c>
      <c r="K52" s="436">
        <f t="shared" si="67"/>
        <v>679.75924344767998</v>
      </c>
      <c r="L52" s="436">
        <f t="shared" si="68"/>
        <v>0</v>
      </c>
      <c r="M52" s="436">
        <f t="shared" si="69"/>
        <v>46.319862432360004</v>
      </c>
      <c r="N52" s="436">
        <f t="shared" si="70"/>
        <v>5.1934651771199993</v>
      </c>
      <c r="O52" s="436">
        <f t="shared" si="71"/>
        <v>0.53310404136</v>
      </c>
      <c r="P52" s="266">
        <f t="shared" si="72"/>
        <v>731.80567509851994</v>
      </c>
      <c r="Q52" s="186" t="s">
        <v>18</v>
      </c>
      <c r="R52" s="283">
        <f t="shared" si="58"/>
        <v>0</v>
      </c>
      <c r="S52" s="283">
        <f t="shared" si="59"/>
        <v>614.35947892942067</v>
      </c>
      <c r="T52" s="283">
        <f t="shared" si="60"/>
        <v>0</v>
      </c>
      <c r="U52" s="283">
        <f t="shared" si="61"/>
        <v>911.17554043062535</v>
      </c>
      <c r="V52" s="283">
        <f t="shared" si="62"/>
        <v>531.05483843520676</v>
      </c>
      <c r="W52" s="283">
        <f t="shared" si="63"/>
        <v>3.8820153994544366</v>
      </c>
      <c r="X52" s="282">
        <f t="shared" si="64"/>
        <v>574.3730680894846</v>
      </c>
      <c r="Z52" s="209" t="s">
        <v>25</v>
      </c>
      <c r="AA52" s="910"/>
      <c r="AB52" s="910">
        <v>7905.6</v>
      </c>
      <c r="AC52" s="910"/>
      <c r="AD52" s="910">
        <v>538.70000000000005</v>
      </c>
      <c r="AE52" s="910">
        <v>60.4</v>
      </c>
      <c r="AF52" s="910">
        <v>6.2</v>
      </c>
      <c r="AG52" s="556">
        <f t="shared" si="73"/>
        <v>8510.9000000000015</v>
      </c>
    </row>
    <row r="53" spans="1:34">
      <c r="A53" s="186" t="s">
        <v>26</v>
      </c>
      <c r="J53" s="436">
        <f t="shared" si="66"/>
        <v>0</v>
      </c>
      <c r="K53" s="436">
        <f t="shared" si="67"/>
        <v>1306.6723991824799</v>
      </c>
      <c r="L53" s="436">
        <f t="shared" si="68"/>
        <v>11.883061050959997</v>
      </c>
      <c r="M53" s="436">
        <f t="shared" si="69"/>
        <v>233.23301809499998</v>
      </c>
      <c r="N53" s="436">
        <f t="shared" si="70"/>
        <v>177.38607053639998</v>
      </c>
      <c r="O53" s="436">
        <f t="shared" si="71"/>
        <v>1.4015477216399999</v>
      </c>
      <c r="P53" s="266">
        <f t="shared" si="72"/>
        <v>1730.5760965864799</v>
      </c>
      <c r="Q53" s="186" t="s">
        <v>19</v>
      </c>
      <c r="R53" s="283">
        <f t="shared" si="58"/>
        <v>862.41958107114908</v>
      </c>
      <c r="S53" s="283">
        <f t="shared" si="59"/>
        <v>409.19874883006992</v>
      </c>
      <c r="T53" s="283">
        <f t="shared" si="60"/>
        <v>0</v>
      </c>
      <c r="U53" s="283">
        <f t="shared" si="61"/>
        <v>675.35585945793196</v>
      </c>
      <c r="V53" s="283">
        <f t="shared" si="62"/>
        <v>529.40315721377021</v>
      </c>
      <c r="W53" s="283">
        <f t="shared" si="63"/>
        <v>2.9275280745487846</v>
      </c>
      <c r="X53" s="282">
        <f t="shared" si="64"/>
        <v>669.12630751882887</v>
      </c>
      <c r="Z53" s="209" t="s">
        <v>26</v>
      </c>
      <c r="AA53" s="910"/>
      <c r="AB53" s="910">
        <v>15196.6</v>
      </c>
      <c r="AC53" s="910">
        <v>138.19999999999999</v>
      </c>
      <c r="AD53" s="910">
        <v>2712.5</v>
      </c>
      <c r="AE53" s="910">
        <v>2063</v>
      </c>
      <c r="AF53" s="910">
        <v>16.3</v>
      </c>
      <c r="AG53" s="556">
        <f t="shared" si="73"/>
        <v>20126.600000000002</v>
      </c>
    </row>
    <row r="54" spans="1:34">
      <c r="A54" s="186" t="s">
        <v>27</v>
      </c>
      <c r="J54" s="436">
        <f t="shared" si="66"/>
        <v>0</v>
      </c>
      <c r="K54" s="436">
        <f t="shared" si="67"/>
        <v>79.496130709511988</v>
      </c>
      <c r="L54" s="436">
        <f t="shared" si="68"/>
        <v>0</v>
      </c>
      <c r="M54" s="436">
        <f t="shared" si="69"/>
        <v>84.6087704352</v>
      </c>
      <c r="N54" s="436">
        <f t="shared" si="70"/>
        <v>126.91315565279999</v>
      </c>
      <c r="O54" s="436">
        <f t="shared" si="71"/>
        <v>0</v>
      </c>
      <c r="P54" s="266">
        <f t="shared" si="72"/>
        <v>291.01805679751197</v>
      </c>
      <c r="Q54" s="186" t="s">
        <v>20</v>
      </c>
      <c r="R54" s="283">
        <f t="shared" si="58"/>
        <v>0</v>
      </c>
      <c r="S54" s="283">
        <f t="shared" si="59"/>
        <v>388.04450304217613</v>
      </c>
      <c r="T54" s="283">
        <f t="shared" si="60"/>
        <v>0</v>
      </c>
      <c r="U54" s="283">
        <f t="shared" si="61"/>
        <v>545.75411882251899</v>
      </c>
      <c r="V54" s="283">
        <f t="shared" si="62"/>
        <v>300.40935358460797</v>
      </c>
      <c r="W54" s="283">
        <f t="shared" si="63"/>
        <v>2.9275280745487851</v>
      </c>
      <c r="X54" s="282">
        <f t="shared" si="64"/>
        <v>385.11703780114459</v>
      </c>
      <c r="Z54" s="209" t="s">
        <v>27</v>
      </c>
      <c r="AA54" s="910"/>
      <c r="AB54" s="910">
        <v>924.54</v>
      </c>
      <c r="AC54" s="910"/>
      <c r="AD54" s="910">
        <v>984</v>
      </c>
      <c r="AE54" s="910">
        <v>1476</v>
      </c>
      <c r="AF54" s="910"/>
      <c r="AG54" s="556">
        <f t="shared" si="73"/>
        <v>3384.54</v>
      </c>
    </row>
    <row r="55" spans="1:34">
      <c r="A55" s="186" t="s">
        <v>28</v>
      </c>
      <c r="J55" s="436">
        <f t="shared" si="66"/>
        <v>0</v>
      </c>
      <c r="K55" s="436">
        <f t="shared" si="67"/>
        <v>55.889939819999995</v>
      </c>
      <c r="L55" s="436">
        <f t="shared" si="68"/>
        <v>16.199484095519999</v>
      </c>
      <c r="M55" s="436">
        <f t="shared" si="69"/>
        <v>62.691315573479997</v>
      </c>
      <c r="N55" s="436">
        <f t="shared" si="70"/>
        <v>335.54600177471997</v>
      </c>
      <c r="O55" s="436">
        <f t="shared" si="71"/>
        <v>0.12037833191999998</v>
      </c>
      <c r="P55" s="266">
        <f t="shared" si="72"/>
        <v>470.44711959563995</v>
      </c>
      <c r="Q55" s="186" t="s">
        <v>22</v>
      </c>
      <c r="R55" s="283">
        <f t="shared" si="58"/>
        <v>0</v>
      </c>
      <c r="S55" s="283">
        <f t="shared" si="59"/>
        <v>369.43113035171081</v>
      </c>
      <c r="T55" s="283">
        <f t="shared" si="60"/>
        <v>0</v>
      </c>
      <c r="U55" s="283">
        <f t="shared" si="61"/>
        <v>0</v>
      </c>
      <c r="V55" s="283">
        <f t="shared" si="62"/>
        <v>0</v>
      </c>
      <c r="W55" s="283">
        <f t="shared" si="63"/>
        <v>0</v>
      </c>
      <c r="X55" s="282">
        <f t="shared" si="64"/>
        <v>369.43113035171081</v>
      </c>
      <c r="Z55" s="209" t="s">
        <v>28</v>
      </c>
      <c r="AA55" s="910"/>
      <c r="AB55" s="910">
        <v>650</v>
      </c>
      <c r="AC55" s="910">
        <v>188.4</v>
      </c>
      <c r="AD55" s="910">
        <v>729.1</v>
      </c>
      <c r="AE55" s="910">
        <v>3902.4</v>
      </c>
      <c r="AF55" s="910">
        <v>1.4</v>
      </c>
      <c r="AG55" s="556">
        <f t="shared" si="73"/>
        <v>5471.2999999999993</v>
      </c>
    </row>
    <row r="56" spans="1:34">
      <c r="A56" s="186" t="s">
        <v>692</v>
      </c>
      <c r="J56" s="436">
        <f t="shared" si="66"/>
        <v>0</v>
      </c>
      <c r="K56" s="436">
        <f t="shared" si="67"/>
        <v>0.10318142735999998</v>
      </c>
      <c r="L56" s="436">
        <f t="shared" si="68"/>
        <v>0</v>
      </c>
      <c r="M56" s="436">
        <f t="shared" si="69"/>
        <v>0</v>
      </c>
      <c r="N56" s="436">
        <f t="shared" si="70"/>
        <v>0</v>
      </c>
      <c r="O56" s="436">
        <f t="shared" si="71"/>
        <v>0</v>
      </c>
      <c r="P56" s="190">
        <f t="shared" si="72"/>
        <v>0.10318142735999998</v>
      </c>
      <c r="Q56" s="186" t="str">
        <f>A56</f>
        <v>celle combustibili (CEC)</v>
      </c>
      <c r="R56" s="283">
        <f t="shared" si="58"/>
        <v>0</v>
      </c>
      <c r="S56" s="283">
        <f t="shared" si="59"/>
        <v>0</v>
      </c>
      <c r="T56" s="283">
        <f t="shared" si="60"/>
        <v>0</v>
      </c>
      <c r="U56" s="283">
        <f t="shared" si="61"/>
        <v>0</v>
      </c>
      <c r="V56" s="283">
        <f t="shared" si="62"/>
        <v>0</v>
      </c>
      <c r="W56" s="283">
        <f t="shared" si="63"/>
        <v>0</v>
      </c>
      <c r="X56" s="282">
        <f t="shared" si="64"/>
        <v>0</v>
      </c>
      <c r="Z56" s="209" t="s">
        <v>692</v>
      </c>
      <c r="AA56" s="910"/>
      <c r="AB56" s="910">
        <v>1.2</v>
      </c>
      <c r="AC56" s="910"/>
      <c r="AD56" s="910"/>
      <c r="AE56" s="910"/>
      <c r="AF56" s="910"/>
      <c r="AG56" s="556">
        <f t="shared" si="73"/>
        <v>1.2</v>
      </c>
      <c r="AH56" s="207"/>
    </row>
    <row r="57" spans="1:34">
      <c r="A57" s="193" t="s">
        <v>253</v>
      </c>
      <c r="J57" s="179">
        <f t="shared" ref="J57:O57" si="74">SUM(J58:J63)</f>
        <v>0</v>
      </c>
      <c r="K57" s="179">
        <f t="shared" si="74"/>
        <v>13620</v>
      </c>
      <c r="L57" s="179">
        <f t="shared" si="74"/>
        <v>210.9</v>
      </c>
      <c r="M57" s="179">
        <f t="shared" si="74"/>
        <v>723.19999999999993</v>
      </c>
      <c r="N57" s="179">
        <f t="shared" si="74"/>
        <v>3231.8</v>
      </c>
      <c r="O57" s="179">
        <f t="shared" si="74"/>
        <v>1263.3000000000002</v>
      </c>
      <c r="P57" s="266">
        <f t="shared" ref="P57:P63" si="75">SUM(J57:O57)</f>
        <v>19049.2</v>
      </c>
      <c r="Q57" s="193" t="s">
        <v>23</v>
      </c>
      <c r="R57" s="282">
        <f t="shared" si="58"/>
        <v>0</v>
      </c>
      <c r="S57" s="282">
        <f t="shared" si="59"/>
        <v>356.70206489582569</v>
      </c>
      <c r="T57" s="282">
        <f t="shared" si="60"/>
        <v>1302.6731012830433</v>
      </c>
      <c r="U57" s="282">
        <f t="shared" si="61"/>
        <v>392.3243361862929</v>
      </c>
      <c r="V57" s="282">
        <f t="shared" si="62"/>
        <v>328.37908292047183</v>
      </c>
      <c r="W57" s="282">
        <f t="shared" si="63"/>
        <v>2.4219687222175312</v>
      </c>
      <c r="X57" s="282">
        <f t="shared" si="64"/>
        <v>341.03554420869625</v>
      </c>
      <c r="Z57" s="555" t="s">
        <v>429</v>
      </c>
      <c r="AA57" s="419">
        <f t="shared" ref="AA57:AF57" si="76">SUM(AA58:AA63)</f>
        <v>0</v>
      </c>
      <c r="AB57" s="419">
        <f t="shared" si="76"/>
        <v>31372.739999999998</v>
      </c>
      <c r="AC57" s="419">
        <f t="shared" si="76"/>
        <v>393.9</v>
      </c>
      <c r="AD57" s="419">
        <f t="shared" si="76"/>
        <v>4236.0999999999995</v>
      </c>
      <c r="AE57" s="419">
        <f t="shared" si="76"/>
        <v>6832.4400000000005</v>
      </c>
      <c r="AF57" s="419">
        <f t="shared" si="76"/>
        <v>1380.6999999999998</v>
      </c>
      <c r="AG57" s="556">
        <f>SUM(AA57:AF57)</f>
        <v>44215.88</v>
      </c>
      <c r="AH57" s="207"/>
    </row>
    <row r="58" spans="1:34">
      <c r="A58" s="186" t="s">
        <v>24</v>
      </c>
      <c r="J58" s="914"/>
      <c r="K58" s="914">
        <v>2739.4</v>
      </c>
      <c r="L58" s="914">
        <v>31.8</v>
      </c>
      <c r="M58" s="914">
        <v>6.6</v>
      </c>
      <c r="N58" s="914">
        <v>403.4</v>
      </c>
      <c r="O58" s="914">
        <v>1252.9000000000001</v>
      </c>
      <c r="P58" s="266">
        <f t="shared" si="75"/>
        <v>4434.1000000000004</v>
      </c>
      <c r="Q58" s="186" t="s">
        <v>24</v>
      </c>
      <c r="R58" s="283">
        <f t="shared" si="58"/>
        <v>0</v>
      </c>
      <c r="S58" s="283">
        <f t="shared" si="59"/>
        <v>334.92252828430856</v>
      </c>
      <c r="T58" s="283">
        <f t="shared" si="60"/>
        <v>1113.642128638302</v>
      </c>
      <c r="U58" s="283">
        <f t="shared" si="61"/>
        <v>462.39153131900662</v>
      </c>
      <c r="V58" s="283">
        <f t="shared" si="62"/>
        <v>306.1115863729006</v>
      </c>
      <c r="W58" s="283">
        <f t="shared" si="63"/>
        <v>2.4250807433803914</v>
      </c>
      <c r="X58" s="282">
        <f t="shared" si="64"/>
        <v>249.74968834059541</v>
      </c>
      <c r="Z58" s="209" t="s">
        <v>24</v>
      </c>
      <c r="AA58" s="910"/>
      <c r="AB58" s="910">
        <v>9193.7000000000007</v>
      </c>
      <c r="AC58" s="910">
        <v>67.3</v>
      </c>
      <c r="AD58" s="910">
        <v>17</v>
      </c>
      <c r="AE58" s="910">
        <v>849.1</v>
      </c>
      <c r="AF58" s="910">
        <v>1360.2</v>
      </c>
      <c r="AG58" s="556">
        <f t="shared" ref="AG58:AG63" si="77">SUM(AA58:AF58)</f>
        <v>11487.300000000001</v>
      </c>
    </row>
    <row r="59" spans="1:34">
      <c r="A59" s="186" t="s">
        <v>25</v>
      </c>
      <c r="J59" s="914"/>
      <c r="K59" s="914">
        <v>1419.2</v>
      </c>
      <c r="L59" s="914"/>
      <c r="M59" s="914">
        <v>81.7</v>
      </c>
      <c r="N59" s="914">
        <v>9.6999999999999993</v>
      </c>
      <c r="O59" s="914">
        <v>2.4</v>
      </c>
      <c r="P59" s="266">
        <f t="shared" si="75"/>
        <v>1513.0000000000002</v>
      </c>
      <c r="Q59" s="186" t="s">
        <v>25</v>
      </c>
      <c r="R59" s="283">
        <f t="shared" si="58"/>
        <v>0</v>
      </c>
      <c r="S59" s="283">
        <f t="shared" si="59"/>
        <v>310.16378810238803</v>
      </c>
      <c r="T59" s="283">
        <f t="shared" si="60"/>
        <v>0</v>
      </c>
      <c r="U59" s="283">
        <f t="shared" si="61"/>
        <v>331.86500762095562</v>
      </c>
      <c r="V59" s="283">
        <f t="shared" si="62"/>
        <v>411.18997265095697</v>
      </c>
      <c r="W59" s="283">
        <f t="shared" si="63"/>
        <v>2.5102854040704363</v>
      </c>
      <c r="X59" s="282">
        <f t="shared" si="64"/>
        <v>310.87630991713769</v>
      </c>
      <c r="Z59" s="209" t="s">
        <v>25</v>
      </c>
      <c r="AA59" s="910"/>
      <c r="AB59" s="910">
        <v>7755.8</v>
      </c>
      <c r="AC59" s="910"/>
      <c r="AD59" s="910">
        <v>336.1</v>
      </c>
      <c r="AE59" s="910">
        <v>39.9</v>
      </c>
      <c r="AF59" s="910">
        <v>4.3</v>
      </c>
      <c r="AG59" s="556">
        <f t="shared" si="77"/>
        <v>8136.1</v>
      </c>
      <c r="AH59" s="210"/>
    </row>
    <row r="60" spans="1:34">
      <c r="A60" s="186" t="s">
        <v>26</v>
      </c>
      <c r="J60" s="914"/>
      <c r="K60" s="914">
        <v>9032.4</v>
      </c>
      <c r="L60" s="914">
        <v>54.9</v>
      </c>
      <c r="M60" s="914">
        <v>431.6</v>
      </c>
      <c r="N60" s="914">
        <v>1033.2</v>
      </c>
      <c r="O60" s="914">
        <v>7.4</v>
      </c>
      <c r="P60" s="266">
        <f t="shared" si="75"/>
        <v>10559.5</v>
      </c>
      <c r="Q60" s="186" t="s">
        <v>26</v>
      </c>
      <c r="R60" s="283">
        <f t="shared" si="58"/>
        <v>0</v>
      </c>
      <c r="S60" s="283">
        <f t="shared" si="59"/>
        <v>363.46303307635537</v>
      </c>
      <c r="T60" s="283">
        <f t="shared" si="60"/>
        <v>1220.4135460902969</v>
      </c>
      <c r="U60" s="283">
        <f t="shared" si="61"/>
        <v>405.25314923458649</v>
      </c>
      <c r="V60" s="283">
        <f t="shared" si="62"/>
        <v>235.04996810776302</v>
      </c>
      <c r="W60" s="283">
        <f t="shared" si="63"/>
        <v>1.817265816549501</v>
      </c>
      <c r="X60" s="282">
        <f t="shared" si="64"/>
        <v>354.77868320603221</v>
      </c>
      <c r="Z60" s="209" t="s">
        <v>26</v>
      </c>
      <c r="AA60" s="910"/>
      <c r="AB60" s="910">
        <v>12897.3</v>
      </c>
      <c r="AC60" s="910">
        <v>138.19999999999999</v>
      </c>
      <c r="AD60" s="910">
        <v>2374.6999999999998</v>
      </c>
      <c r="AE60" s="910">
        <v>1960.5</v>
      </c>
      <c r="AF60" s="910">
        <v>15.1</v>
      </c>
      <c r="AG60" s="556">
        <f t="shared" si="77"/>
        <v>17385.8</v>
      </c>
      <c r="AH60" s="207"/>
    </row>
    <row r="61" spans="1:34">
      <c r="A61" s="186" t="s">
        <v>27</v>
      </c>
      <c r="J61" s="914"/>
      <c r="K61" s="914">
        <v>117.9</v>
      </c>
      <c r="L61" s="914"/>
      <c r="M61" s="914">
        <v>112.8</v>
      </c>
      <c r="N61" s="914">
        <v>228.5</v>
      </c>
      <c r="O61" s="914"/>
      <c r="P61" s="266">
        <f t="shared" si="75"/>
        <v>459.2</v>
      </c>
      <c r="Q61" s="186" t="s">
        <v>27</v>
      </c>
      <c r="R61" s="283">
        <f t="shared" si="58"/>
        <v>0</v>
      </c>
      <c r="S61" s="283">
        <f t="shared" si="59"/>
        <v>283.04144503913869</v>
      </c>
      <c r="T61" s="283">
        <f t="shared" si="60"/>
        <v>0</v>
      </c>
      <c r="U61" s="283">
        <f t="shared" si="61"/>
        <v>323.34379225807675</v>
      </c>
      <c r="V61" s="283">
        <f t="shared" si="62"/>
        <v>239.06119393125167</v>
      </c>
      <c r="W61" s="283">
        <f t="shared" si="63"/>
        <v>0</v>
      </c>
      <c r="X61" s="282">
        <f t="shared" si="64"/>
        <v>263.86235095560528</v>
      </c>
      <c r="Z61" s="209" t="s">
        <v>27</v>
      </c>
      <c r="AA61" s="910"/>
      <c r="AB61" s="910">
        <v>909.8</v>
      </c>
      <c r="AC61" s="910"/>
      <c r="AD61" s="910">
        <v>967.3</v>
      </c>
      <c r="AE61" s="910">
        <v>1145.9000000000001</v>
      </c>
      <c r="AF61" s="910"/>
      <c r="AG61" s="556">
        <f t="shared" si="77"/>
        <v>3023</v>
      </c>
      <c r="AH61" s="207"/>
    </row>
    <row r="62" spans="1:34">
      <c r="A62" s="186" t="s">
        <v>28</v>
      </c>
      <c r="J62" s="914"/>
      <c r="K62" s="914">
        <v>310.7</v>
      </c>
      <c r="L62" s="914">
        <v>124.2</v>
      </c>
      <c r="M62" s="914">
        <v>90.5</v>
      </c>
      <c r="N62" s="914">
        <v>1557</v>
      </c>
      <c r="O62" s="914">
        <v>0.6</v>
      </c>
      <c r="P62" s="266">
        <f t="shared" si="75"/>
        <v>2083</v>
      </c>
      <c r="Q62" s="186" t="s">
        <v>28</v>
      </c>
      <c r="R62" s="283">
        <f t="shared" si="58"/>
        <v>0</v>
      </c>
      <c r="S62" s="283">
        <f t="shared" si="59"/>
        <v>539.55144773536006</v>
      </c>
      <c r="T62" s="283">
        <f t="shared" si="60"/>
        <v>1396.1507338743547</v>
      </c>
      <c r="U62" s="283">
        <f t="shared" si="61"/>
        <v>467.21361443133344</v>
      </c>
      <c r="V62" s="283">
        <f t="shared" si="62"/>
        <v>482.52687111966742</v>
      </c>
      <c r="W62" s="283">
        <f t="shared" si="63"/>
        <v>3.5730672022958783</v>
      </c>
      <c r="X62" s="282">
        <f t="shared" si="64"/>
        <v>568.72053469688649</v>
      </c>
      <c r="Z62" s="209" t="s">
        <v>28</v>
      </c>
      <c r="AA62" s="910"/>
      <c r="AB62" s="910">
        <v>615.14</v>
      </c>
      <c r="AC62" s="910">
        <v>188.4</v>
      </c>
      <c r="AD62" s="910">
        <v>541</v>
      </c>
      <c r="AE62" s="910">
        <v>2837.04</v>
      </c>
      <c r="AF62" s="910">
        <v>1.1000000000000001</v>
      </c>
      <c r="AG62" s="556">
        <f t="shared" si="77"/>
        <v>4182.68</v>
      </c>
      <c r="AH62" s="207"/>
    </row>
    <row r="63" spans="1:34">
      <c r="A63" s="186" t="s">
        <v>692</v>
      </c>
      <c r="J63" s="915"/>
      <c r="K63" s="915">
        <v>0.4</v>
      </c>
      <c r="L63" s="915"/>
      <c r="M63" s="914"/>
      <c r="N63" s="915"/>
      <c r="O63" s="915"/>
      <c r="P63" s="266">
        <f t="shared" si="75"/>
        <v>0.4</v>
      </c>
      <c r="Q63" s="186" t="str">
        <f>A63</f>
        <v>celle combustibili (CEC)</v>
      </c>
      <c r="R63" s="283">
        <f t="shared" si="58"/>
        <v>0</v>
      </c>
      <c r="S63" s="283">
        <f t="shared" si="59"/>
        <v>252.31460758186259</v>
      </c>
      <c r="T63" s="283">
        <f t="shared" si="60"/>
        <v>0</v>
      </c>
      <c r="U63" s="283">
        <f t="shared" si="61"/>
        <v>0</v>
      </c>
      <c r="V63" s="283">
        <f t="shared" si="62"/>
        <v>0</v>
      </c>
      <c r="W63" s="283">
        <f t="shared" si="63"/>
        <v>0</v>
      </c>
      <c r="X63" s="282">
        <f t="shared" si="64"/>
        <v>252.31460758186259</v>
      </c>
      <c r="Z63" s="209" t="s">
        <v>692</v>
      </c>
      <c r="AA63" s="910"/>
      <c r="AB63" s="910">
        <v>1</v>
      </c>
      <c r="AC63" s="910"/>
      <c r="AD63" s="910"/>
      <c r="AE63" s="910"/>
      <c r="AF63" s="910"/>
      <c r="AG63" s="556">
        <f t="shared" si="77"/>
        <v>1</v>
      </c>
      <c r="AH63" s="408"/>
    </row>
    <row r="64" spans="1:34">
      <c r="J64" s="426"/>
      <c r="K64" s="171"/>
      <c r="L64" s="171"/>
      <c r="M64" s="171"/>
      <c r="N64" s="171"/>
      <c r="O64" s="171"/>
      <c r="Q64" s="193" t="s">
        <v>9</v>
      </c>
      <c r="R64" s="195">
        <f t="shared" ref="R64:X64" si="78">R39/J20*1000000</f>
        <v>862.41958107114908</v>
      </c>
      <c r="S64" s="282">
        <f t="shared" si="78"/>
        <v>370.55877701037059</v>
      </c>
      <c r="T64" s="282">
        <f t="shared" si="78"/>
        <v>1302.9323884458681</v>
      </c>
      <c r="U64" s="282">
        <f t="shared" si="78"/>
        <v>476.58624435857377</v>
      </c>
      <c r="V64" s="282">
        <f t="shared" si="78"/>
        <v>372.13532298557038</v>
      </c>
      <c r="W64" s="282">
        <f t="shared" si="78"/>
        <v>2.6451962888414595</v>
      </c>
      <c r="X64" s="195">
        <f t="shared" si="78"/>
        <v>370.69270033579744</v>
      </c>
      <c r="AA64" s="180" t="s">
        <v>5</v>
      </c>
      <c r="AB64" s="180" t="s">
        <v>186</v>
      </c>
      <c r="AC64" s="180" t="s">
        <v>187</v>
      </c>
      <c r="AD64" s="180" t="s">
        <v>190</v>
      </c>
      <c r="AE64" s="180" t="s">
        <v>192</v>
      </c>
      <c r="AF64" s="180" t="s">
        <v>191</v>
      </c>
      <c r="AG64" s="207"/>
      <c r="AH64" s="408"/>
    </row>
    <row r="65" spans="1:34">
      <c r="J65" s="921" t="str">
        <f t="shared" ref="J65:O65" si="79">IFERROR((J13/11.63+J50)/J57,"")</f>
        <v/>
      </c>
      <c r="K65" s="921">
        <f t="shared" si="79"/>
        <v>0.6686458258721929</v>
      </c>
      <c r="L65" s="921">
        <f t="shared" si="79"/>
        <v>0.4959215449590737</v>
      </c>
      <c r="M65" s="921">
        <f t="shared" si="79"/>
        <v>0.80127421653481168</v>
      </c>
      <c r="N65" s="921">
        <f t="shared" si="79"/>
        <v>0.54758901988061814</v>
      </c>
      <c r="O65" s="921">
        <f t="shared" si="79"/>
        <v>0.57665714530789514</v>
      </c>
      <c r="P65" s="269"/>
      <c r="R65" s="196">
        <f>'7'!$AJ$6</f>
        <v>862.41226324509489</v>
      </c>
      <c r="S65" s="315">
        <f>'7'!$AJ$7</f>
        <v>370.55863419222806</v>
      </c>
      <c r="T65" s="204"/>
      <c r="U65" s="204"/>
      <c r="V65" s="204"/>
      <c r="W65" s="204"/>
      <c r="X65" s="196">
        <f>'7'!$AJ$12</f>
        <v>370.69254703068754</v>
      </c>
      <c r="Z65" s="555" t="s">
        <v>430</v>
      </c>
      <c r="AA65" s="559" t="str">
        <f t="shared" ref="AA65:AG65" si="80">IFERROR(AA57/AA50,"")</f>
        <v/>
      </c>
      <c r="AB65" s="559">
        <f t="shared" si="80"/>
        <v>0.91049910844470028</v>
      </c>
      <c r="AC65" s="559">
        <f t="shared" si="80"/>
        <v>0.99949251459020538</v>
      </c>
      <c r="AD65" s="559">
        <f t="shared" si="80"/>
        <v>0.84881577365447025</v>
      </c>
      <c r="AE65" s="559">
        <f t="shared" si="80"/>
        <v>0.76979167840283025</v>
      </c>
      <c r="AF65" s="559">
        <f t="shared" si="80"/>
        <v>0.45966641142590792</v>
      </c>
      <c r="AG65" s="559">
        <f t="shared" si="80"/>
        <v>0.85489650766791048</v>
      </c>
      <c r="AH65" s="210"/>
    </row>
    <row r="66" spans="1:34">
      <c r="J66" s="921" t="str">
        <f t="shared" ref="J66:O66" si="81">IFERROR((J14/11.63+J51)/J58,"")</f>
        <v/>
      </c>
      <c r="K66" s="921">
        <f t="shared" si="81"/>
        <v>0.72439935920606302</v>
      </c>
      <c r="L66" s="921">
        <f t="shared" si="81"/>
        <v>0.56322566343567648</v>
      </c>
      <c r="M66" s="921">
        <f t="shared" si="81"/>
        <v>0.6631230621474401</v>
      </c>
      <c r="N66" s="921">
        <f t="shared" si="81"/>
        <v>0.603000037136046</v>
      </c>
      <c r="O66" s="921">
        <f t="shared" si="81"/>
        <v>0.57679425353051506</v>
      </c>
      <c r="P66" s="272"/>
      <c r="R66" s="204">
        <f>R64-R65</f>
        <v>7.3178260541908458E-3</v>
      </c>
      <c r="S66" s="172">
        <f>S64-S65</f>
        <v>1.428181425353614E-4</v>
      </c>
      <c r="T66" s="172"/>
      <c r="U66" s="172"/>
      <c r="V66" s="172"/>
      <c r="W66" s="172"/>
      <c r="X66" s="197">
        <f>X64-X65</f>
        <v>1.533051099045224E-4</v>
      </c>
      <c r="Z66" s="209" t="s">
        <v>24</v>
      </c>
      <c r="AA66" s="911" t="str">
        <f>IFERROR(AA58/AA51,"")</f>
        <v/>
      </c>
      <c r="AB66" s="911">
        <f t="shared" ref="AB66:AG66" si="82">IFERROR(AB58/AB51,"")</f>
        <v>0.94017609702721217</v>
      </c>
      <c r="AC66" s="911">
        <f t="shared" si="82"/>
        <v>0.99703703703703694</v>
      </c>
      <c r="AD66" s="911">
        <f t="shared" si="82"/>
        <v>0.64638783269961975</v>
      </c>
      <c r="AE66" s="911">
        <f t="shared" si="82"/>
        <v>0.61802169007933616</v>
      </c>
      <c r="AF66" s="911">
        <f t="shared" si="82"/>
        <v>0.45647358883146516</v>
      </c>
      <c r="AG66" s="559">
        <f t="shared" si="82"/>
        <v>0.80747494060255021</v>
      </c>
      <c r="AH66" s="207"/>
    </row>
    <row r="67" spans="1:34">
      <c r="J67" s="921" t="str">
        <f t="shared" ref="J67:O67" si="83">IFERROR((J15/11.63+J52)/J59,"")</f>
        <v/>
      </c>
      <c r="K67" s="921">
        <f t="shared" si="83"/>
        <v>0.79859821970454314</v>
      </c>
      <c r="L67" s="921" t="str">
        <f t="shared" si="83"/>
        <v/>
      </c>
      <c r="M67" s="921">
        <f t="shared" si="83"/>
        <v>0.8318923647305031</v>
      </c>
      <c r="N67" s="921">
        <f t="shared" si="83"/>
        <v>0.67316130527967666</v>
      </c>
      <c r="O67" s="921">
        <f t="shared" si="83"/>
        <v>0.5803955288412439</v>
      </c>
      <c r="P67" s="272"/>
      <c r="Z67" s="209" t="s">
        <v>25</v>
      </c>
      <c r="AA67" s="911" t="str">
        <f t="shared" ref="AA67:AG67" si="84">IFERROR(AA59/AA52,"")</f>
        <v/>
      </c>
      <c r="AB67" s="911">
        <f t="shared" si="84"/>
        <v>0.98105140659785461</v>
      </c>
      <c r="AC67" s="911" t="str">
        <f t="shared" si="84"/>
        <v/>
      </c>
      <c r="AD67" s="911">
        <f t="shared" si="84"/>
        <v>0.62390941154631518</v>
      </c>
      <c r="AE67" s="911">
        <f t="shared" si="84"/>
        <v>0.66059602649006621</v>
      </c>
      <c r="AF67" s="911">
        <f t="shared" si="84"/>
        <v>0.69354838709677413</v>
      </c>
      <c r="AG67" s="559">
        <f t="shared" si="84"/>
        <v>0.95596235415760955</v>
      </c>
      <c r="AH67" s="207"/>
    </row>
    <row r="68" spans="1:34">
      <c r="J68" s="921" t="str">
        <f t="shared" ref="J68:O68" si="85">IFERROR((J16/11.63+J53)/J60,"")</f>
        <v/>
      </c>
      <c r="K68" s="921">
        <f t="shared" si="85"/>
        <v>0.63465609982045179</v>
      </c>
      <c r="L68" s="921">
        <f t="shared" si="85"/>
        <v>0.54698059635147578</v>
      </c>
      <c r="M68" s="921">
        <f t="shared" si="85"/>
        <v>0.77716780219193782</v>
      </c>
      <c r="N68" s="921">
        <f t="shared" si="85"/>
        <v>0.6431404290985816</v>
      </c>
      <c r="O68" s="921">
        <f t="shared" si="85"/>
        <v>0.56482535849356508</v>
      </c>
      <c r="Z68" s="209" t="s">
        <v>26</v>
      </c>
      <c r="AA68" s="911" t="str">
        <f t="shared" ref="AA68:AG68" si="86">IFERROR(AA60/AA53,"")</f>
        <v/>
      </c>
      <c r="AB68" s="911">
        <f t="shared" si="86"/>
        <v>0.84869641893581449</v>
      </c>
      <c r="AC68" s="911">
        <f t="shared" si="86"/>
        <v>1</v>
      </c>
      <c r="AD68" s="911">
        <f t="shared" si="86"/>
        <v>0.87546543778801833</v>
      </c>
      <c r="AE68" s="911">
        <f t="shared" si="86"/>
        <v>0.95031507513330105</v>
      </c>
      <c r="AF68" s="911">
        <f t="shared" si="86"/>
        <v>0.92638036809815949</v>
      </c>
      <c r="AG68" s="559">
        <f t="shared" si="86"/>
        <v>0.86382200669760401</v>
      </c>
      <c r="AH68" s="207"/>
    </row>
    <row r="69" spans="1:34">
      <c r="J69" s="921" t="str">
        <f t="shared" ref="J69:O69" si="87">IFERROR((J17/11.63+J54)/J61,"")</f>
        <v/>
      </c>
      <c r="K69" s="921">
        <f t="shared" si="87"/>
        <v>0.87093059477487178</v>
      </c>
      <c r="L69" s="921" t="str">
        <f t="shared" si="87"/>
        <v/>
      </c>
      <c r="M69" s="921">
        <f t="shared" si="87"/>
        <v>0.87264381076192044</v>
      </c>
      <c r="N69" s="921">
        <f t="shared" si="87"/>
        <v>0.77900096153728426</v>
      </c>
      <c r="O69" s="921" t="str">
        <f t="shared" si="87"/>
        <v/>
      </c>
      <c r="Z69" s="209" t="s">
        <v>27</v>
      </c>
      <c r="AA69" s="911" t="str">
        <f t="shared" ref="AA69:AG69" si="88">IFERROR(AA61/AA54,"")</f>
        <v/>
      </c>
      <c r="AB69" s="911">
        <f t="shared" si="88"/>
        <v>0.98405693642243708</v>
      </c>
      <c r="AC69" s="911" t="str">
        <f t="shared" si="88"/>
        <v/>
      </c>
      <c r="AD69" s="911">
        <f t="shared" si="88"/>
        <v>0.98302845528455285</v>
      </c>
      <c r="AE69" s="911">
        <f t="shared" si="88"/>
        <v>0.77635501355013559</v>
      </c>
      <c r="AF69" s="911" t="str">
        <f t="shared" si="88"/>
        <v/>
      </c>
      <c r="AG69" s="559">
        <f t="shared" si="88"/>
        <v>0.89317898444101707</v>
      </c>
      <c r="AH69" s="207"/>
    </row>
    <row r="70" spans="1:34">
      <c r="J70" s="921" t="str">
        <f t="shared" ref="J70:O70" si="89">IFERROR((J18/11.63+J55)/J62,"")</f>
        <v/>
      </c>
      <c r="K70" s="921">
        <f t="shared" si="89"/>
        <v>0.49465315750460576</v>
      </c>
      <c r="L70" s="921">
        <f t="shared" si="89"/>
        <v>0.45611950881576568</v>
      </c>
      <c r="M70" s="921">
        <f t="shared" si="89"/>
        <v>0.80971767634624903</v>
      </c>
      <c r="N70" s="921">
        <f t="shared" si="89"/>
        <v>0.43508278982168525</v>
      </c>
      <c r="O70" s="921">
        <f t="shared" si="89"/>
        <v>0.42132416168380621</v>
      </c>
      <c r="Z70" s="209" t="s">
        <v>28</v>
      </c>
      <c r="AA70" s="911" t="str">
        <f t="shared" ref="AA70:AG70" si="90">IFERROR(AA62/AA55,"")</f>
        <v/>
      </c>
      <c r="AB70" s="911">
        <f t="shared" si="90"/>
        <v>0.94636923076923074</v>
      </c>
      <c r="AC70" s="911">
        <f t="shared" si="90"/>
        <v>1</v>
      </c>
      <c r="AD70" s="911">
        <f t="shared" si="90"/>
        <v>0.74201069812097109</v>
      </c>
      <c r="AE70" s="911">
        <f t="shared" si="90"/>
        <v>0.72699876998769986</v>
      </c>
      <c r="AF70" s="911">
        <f t="shared" si="90"/>
        <v>0.78571428571428581</v>
      </c>
      <c r="AG70" s="559">
        <f t="shared" si="90"/>
        <v>0.76447644983824703</v>
      </c>
    </row>
    <row r="71" spans="1:34">
      <c r="J71" s="921" t="str">
        <f t="shared" ref="J71:O71" si="91">IFERROR((J19/11.63+J56)/J63,"")</f>
        <v/>
      </c>
      <c r="K71" s="921">
        <f t="shared" si="91"/>
        <v>0.81685296650834038</v>
      </c>
      <c r="L71" s="921" t="str">
        <f t="shared" si="91"/>
        <v/>
      </c>
      <c r="M71" s="921" t="str">
        <f t="shared" si="91"/>
        <v/>
      </c>
      <c r="N71" s="921" t="str">
        <f t="shared" si="91"/>
        <v/>
      </c>
      <c r="O71" s="921" t="str">
        <f t="shared" si="91"/>
        <v/>
      </c>
      <c r="Z71" s="209" t="s">
        <v>692</v>
      </c>
      <c r="AA71" s="911" t="str">
        <f>IFERROR(AA63/AA56,"")</f>
        <v/>
      </c>
      <c r="AB71" s="911">
        <f>IFERROR(AB63/AB56,"")</f>
        <v>0.83333333333333337</v>
      </c>
      <c r="AC71" s="911" t="str">
        <f>IFERROR(AC63/AC56,"")</f>
        <v/>
      </c>
      <c r="AD71" s="911" t="str">
        <f>IFERROR(AD63/AD56,"")</f>
        <v/>
      </c>
      <c r="AE71" s="911" t="str">
        <f>IFERROR(AE63/AE56,"")</f>
        <v/>
      </c>
      <c r="AF71" s="911"/>
      <c r="AG71" s="559">
        <f>IFERROR(AG63/AG56,"")</f>
        <v>0.83333333333333337</v>
      </c>
    </row>
    <row r="72" spans="1:34">
      <c r="Z72" s="209"/>
      <c r="AA72" s="911"/>
      <c r="AB72" s="911"/>
      <c r="AC72" s="911"/>
      <c r="AD72" s="911"/>
      <c r="AE72" s="911"/>
      <c r="AF72" s="911"/>
      <c r="AG72" s="559"/>
    </row>
    <row r="73" spans="1:34">
      <c r="A73" s="68" t="str">
        <f>A4</f>
        <v>Dati 2024 lorda</v>
      </c>
    </row>
    <row r="74" spans="1:34">
      <c r="A74" s="68" t="s">
        <v>257</v>
      </c>
      <c r="B74" s="68"/>
      <c r="C74" s="68"/>
      <c r="D74" s="68"/>
      <c r="E74" s="68"/>
      <c r="J74" s="428">
        <v>0</v>
      </c>
      <c r="K74" s="428">
        <v>8.2045725515227517</v>
      </c>
      <c r="L74" s="428">
        <v>0.28327396242565434</v>
      </c>
      <c r="M74" s="428">
        <v>1.1643135418396033</v>
      </c>
      <c r="N74" s="428">
        <v>1.8217690525826118</v>
      </c>
      <c r="O74" s="428">
        <v>4.6457614531283248E-4</v>
      </c>
      <c r="P74" s="429">
        <f>SUM(J74:O74)</f>
        <v>11.474393684515935</v>
      </c>
      <c r="Q74" t="s">
        <v>363</v>
      </c>
    </row>
    <row r="75" spans="1:34">
      <c r="A75" t="s">
        <v>258</v>
      </c>
      <c r="J75" s="315" t="str">
        <f>IFERROR(J74/(J50*11.63)*1000000,"")</f>
        <v/>
      </c>
      <c r="K75" s="315">
        <f t="shared" ref="K75:P75" si="92">IFERROR(K74/(K50*11.63)*1000000,"")</f>
        <v>238.11296023573985</v>
      </c>
      <c r="L75" s="315">
        <f t="shared" si="92"/>
        <v>718.7870144105492</v>
      </c>
      <c r="M75" s="315">
        <f t="shared" si="92"/>
        <v>233.30131480155811</v>
      </c>
      <c r="N75" s="315">
        <f t="shared" si="92"/>
        <v>205.25356335656252</v>
      </c>
      <c r="O75" s="315">
        <f t="shared" si="92"/>
        <v>0.15466795793076607</v>
      </c>
      <c r="P75" s="315">
        <f t="shared" si="92"/>
        <v>221.85285211762508</v>
      </c>
    </row>
    <row r="77" spans="1:34">
      <c r="A77" s="68" t="s">
        <v>259</v>
      </c>
      <c r="J77" s="271">
        <f t="shared" ref="J77:P77" si="93">J74+R32</f>
        <v>0</v>
      </c>
      <c r="K77" s="271">
        <f t="shared" si="93"/>
        <v>33.693524745320644</v>
      </c>
      <c r="L77" s="271">
        <f t="shared" si="93"/>
        <v>1.354436000148675</v>
      </c>
      <c r="M77" s="271">
        <f t="shared" si="93"/>
        <v>1.8503985712321067</v>
      </c>
      <c r="N77" s="271">
        <f t="shared" si="93"/>
        <v>5.6657384755505333</v>
      </c>
      <c r="O77" s="271">
        <f t="shared" si="93"/>
        <v>1.3709475398067736E-2</v>
      </c>
      <c r="P77" s="271">
        <f t="shared" si="93"/>
        <v>42.57780726765003</v>
      </c>
    </row>
    <row r="78" spans="1:34">
      <c r="A78" t="s">
        <v>260</v>
      </c>
      <c r="J78" s="90" t="str">
        <f>IFERROR(J77/((J50*11.63)+J13)*1000000,"")</f>
        <v/>
      </c>
      <c r="K78" s="181">
        <f t="shared" ref="K78:P78" si="94">K77/((K50*11.63)+K13)*1000000</f>
        <v>318.12183994284953</v>
      </c>
      <c r="L78" s="181">
        <f t="shared" si="94"/>
        <v>1113.4974268540318</v>
      </c>
      <c r="M78" s="181">
        <f t="shared" si="94"/>
        <v>274.56551146581745</v>
      </c>
      <c r="N78" s="181">
        <f t="shared" si="94"/>
        <v>275.28186477088644</v>
      </c>
      <c r="O78" s="181">
        <f t="shared" si="94"/>
        <v>1.6181431830921325</v>
      </c>
      <c r="P78" s="181">
        <f t="shared" si="94"/>
        <v>297.90608579817462</v>
      </c>
    </row>
    <row r="79" spans="1:34">
      <c r="J79" s="181" t="str">
        <f>IFERROR((J$628*J49*11.63/1000000+R31)/(J49*11.63+J12)*1000000,"")</f>
        <v/>
      </c>
      <c r="K79" s="168"/>
      <c r="L79" s="168"/>
      <c r="M79" s="168"/>
      <c r="N79" s="168"/>
      <c r="O79" s="168"/>
      <c r="P79" s="168"/>
    </row>
    <row r="80" spans="1:34">
      <c r="A80" s="68" t="s">
        <v>261</v>
      </c>
      <c r="J80" s="282" t="str">
        <f t="shared" ref="J80:P80" si="95">IFERROR((J75*J50*11.63/1000000+R32)/(J50*11.63+J13)*1000000,"")</f>
        <v/>
      </c>
      <c r="K80" s="282">
        <f t="shared" si="95"/>
        <v>318.12183994284953</v>
      </c>
      <c r="L80" s="282">
        <f t="shared" si="95"/>
        <v>1113.4974268540318</v>
      </c>
      <c r="M80" s="282">
        <f t="shared" si="95"/>
        <v>274.56551146581745</v>
      </c>
      <c r="N80" s="282">
        <f t="shared" si="95"/>
        <v>275.28186477088644</v>
      </c>
      <c r="O80" s="282">
        <f t="shared" si="95"/>
        <v>1.6181431830921325</v>
      </c>
      <c r="P80" s="282">
        <f t="shared" si="95"/>
        <v>297.90608579817462</v>
      </c>
      <c r="R80" s="255" t="str">
        <f t="shared" ref="R80:X86" si="96">IFERROR(J80/R57-1,"")</f>
        <v/>
      </c>
      <c r="S80" s="255">
        <f t="shared" si="96"/>
        <v>-0.10815812059917129</v>
      </c>
      <c r="T80" s="255">
        <f t="shared" si="96"/>
        <v>-0.14522114123849372</v>
      </c>
      <c r="U80" s="255">
        <f t="shared" si="96"/>
        <v>-0.30015681888405299</v>
      </c>
      <c r="V80" s="255">
        <f t="shared" si="96"/>
        <v>-0.16169488530560483</v>
      </c>
      <c r="W80" s="255">
        <f t="shared" si="96"/>
        <v>-0.33188931456943993</v>
      </c>
      <c r="X80" s="255">
        <f t="shared" si="96"/>
        <v>-0.12646616794913501</v>
      </c>
      <c r="AE80" s="186"/>
      <c r="AF80" s="185"/>
      <c r="AG80" s="207"/>
      <c r="AH80" s="207"/>
    </row>
    <row r="81" spans="1:33">
      <c r="A81" s="186" t="s">
        <v>24</v>
      </c>
      <c r="J81" s="315" t="str">
        <f t="shared" ref="J81:P81" si="97">IFERROR((J75*J51*11.63/1000000+R33)/(J51*11.63+J14)*1000000,"")</f>
        <v/>
      </c>
      <c r="K81" s="315">
        <f t="shared" si="97"/>
        <v>293.9034231676643</v>
      </c>
      <c r="L81" s="315">
        <f t="shared" si="97"/>
        <v>985.68859904959379</v>
      </c>
      <c r="M81" s="315">
        <f t="shared" si="97"/>
        <v>344.02075145876211</v>
      </c>
      <c r="N81" s="315">
        <f t="shared" si="97"/>
        <v>257.13002474906335</v>
      </c>
      <c r="O81" s="315">
        <f t="shared" si="97"/>
        <v>1.6201196484087164</v>
      </c>
      <c r="P81" s="315">
        <f t="shared" si="97"/>
        <v>238.2701510465875</v>
      </c>
      <c r="R81" s="254" t="str">
        <f t="shared" si="96"/>
        <v/>
      </c>
      <c r="S81" s="254">
        <f t="shared" si="96"/>
        <v>-0.12247341296141179</v>
      </c>
      <c r="T81" s="254">
        <f t="shared" si="96"/>
        <v>-0.11489645218896527</v>
      </c>
      <c r="U81" s="254">
        <f t="shared" si="96"/>
        <v>-0.25599685946363027</v>
      </c>
      <c r="V81" s="254">
        <f t="shared" si="96"/>
        <v>-0.16001211259010839</v>
      </c>
      <c r="W81" s="254">
        <f t="shared" si="96"/>
        <v>-0.33193166749970393</v>
      </c>
      <c r="X81" s="254">
        <f t="shared" si="96"/>
        <v>-4.5964170647343261E-2</v>
      </c>
    </row>
    <row r="82" spans="1:33">
      <c r="A82" s="186" t="s">
        <v>25</v>
      </c>
      <c r="J82" s="315" t="str">
        <f t="shared" ref="J82:P82" si="98">IFERROR((J75*J52*11.63/1000000+R34)/(J52*11.63+J15)*1000000,"")</f>
        <v/>
      </c>
      <c r="K82" s="315">
        <f t="shared" si="98"/>
        <v>266.95001802098648</v>
      </c>
      <c r="L82" s="315" t="str">
        <f t="shared" si="98"/>
        <v/>
      </c>
      <c r="M82" s="315">
        <f t="shared" si="98"/>
        <v>264.6919630829986</v>
      </c>
      <c r="N82" s="315">
        <f t="shared" si="98"/>
        <v>247.39540955115632</v>
      </c>
      <c r="O82" s="315">
        <f t="shared" si="98"/>
        <v>1.6087528011355925</v>
      </c>
      <c r="P82" s="315">
        <f t="shared" si="98"/>
        <v>257.00209299561124</v>
      </c>
      <c r="R82" s="254" t="str">
        <f t="shared" si="96"/>
        <v/>
      </c>
      <c r="S82" s="254">
        <f t="shared" si="96"/>
        <v>-0.13932564580084461</v>
      </c>
      <c r="T82" s="254" t="str">
        <f t="shared" si="96"/>
        <v/>
      </c>
      <c r="U82" s="254">
        <f t="shared" si="96"/>
        <v>-0.2024107483325861</v>
      </c>
      <c r="V82" s="254">
        <f t="shared" si="96"/>
        <v>-0.39834279528708116</v>
      </c>
      <c r="W82" s="254">
        <f t="shared" si="96"/>
        <v>-0.35913549968183123</v>
      </c>
      <c r="X82" s="254">
        <f t="shared" si="96"/>
        <v>-0.17329791689783736</v>
      </c>
    </row>
    <row r="83" spans="1:33">
      <c r="A83" s="186" t="s">
        <v>26</v>
      </c>
      <c r="J83" s="315" t="str">
        <f t="shared" ref="J83:P83" si="99">IFERROR((J75*J53*11.63/1000000+R35)/(J53*11.63+J16)*1000000,"")</f>
        <v/>
      </c>
      <c r="K83" s="315">
        <f t="shared" si="99"/>
        <v>334.89043792405141</v>
      </c>
      <c r="L83" s="315">
        <f t="shared" si="99"/>
        <v>1021.9116943980184</v>
      </c>
      <c r="M83" s="315">
        <f t="shared" si="99"/>
        <v>285.68910131792558</v>
      </c>
      <c r="N83" s="315">
        <f t="shared" si="99"/>
        <v>227.09582922290633</v>
      </c>
      <c r="O83" s="315">
        <f t="shared" si="99"/>
        <v>1.2597602601117408</v>
      </c>
      <c r="P83" s="315">
        <f t="shared" si="99"/>
        <v>320.78252037193772</v>
      </c>
      <c r="R83" s="254" t="str">
        <f t="shared" si="96"/>
        <v/>
      </c>
      <c r="S83" s="254">
        <f t="shared" si="96"/>
        <v>-7.861210784069339E-2</v>
      </c>
      <c r="T83" s="254">
        <f t="shared" si="96"/>
        <v>-0.16265130154298657</v>
      </c>
      <c r="U83" s="254">
        <f t="shared" si="96"/>
        <v>-0.29503545658432273</v>
      </c>
      <c r="V83" s="254">
        <f t="shared" si="96"/>
        <v>-3.384020405912147E-2</v>
      </c>
      <c r="W83" s="254">
        <f t="shared" si="96"/>
        <v>-0.306782613396819</v>
      </c>
      <c r="X83" s="254">
        <f t="shared" si="96"/>
        <v>-9.582357803146746E-2</v>
      </c>
    </row>
    <row r="84" spans="1:33">
      <c r="A84" s="186" t="s">
        <v>27</v>
      </c>
      <c r="J84" s="315"/>
      <c r="K84" s="315">
        <f t="shared" ref="K84:P84" si="100">IFERROR((K75*K54*11.63/1000000+S36)/(K54*11.63+K17)*1000000,"")</f>
        <v>248.2581747814996</v>
      </c>
      <c r="L84" s="315" t="str">
        <f t="shared" si="100"/>
        <v/>
      </c>
      <c r="M84" s="315">
        <f t="shared" si="100"/>
        <v>245.94811460605735</v>
      </c>
      <c r="N84" s="315">
        <f t="shared" si="100"/>
        <v>214.95674657907119</v>
      </c>
      <c r="O84" s="315" t="str">
        <f t="shared" si="100"/>
        <v/>
      </c>
      <c r="P84" s="315">
        <f t="shared" si="100"/>
        <v>231.61513115076397</v>
      </c>
      <c r="R84" s="254" t="str">
        <f t="shared" si="96"/>
        <v/>
      </c>
      <c r="S84" s="254">
        <f t="shared" si="96"/>
        <v>-0.12289108491807377</v>
      </c>
      <c r="T84" s="254" t="str">
        <f t="shared" si="96"/>
        <v/>
      </c>
      <c r="U84" s="254">
        <f t="shared" si="96"/>
        <v>-0.23936033257829203</v>
      </c>
      <c r="V84" s="254">
        <f t="shared" si="96"/>
        <v>-0.10082961168140214</v>
      </c>
      <c r="W84" s="254" t="str">
        <f t="shared" si="96"/>
        <v/>
      </c>
      <c r="X84" s="254">
        <f t="shared" si="96"/>
        <v>-0.12221228109298132</v>
      </c>
    </row>
    <row r="85" spans="1:33">
      <c r="A85" s="186" t="s">
        <v>28</v>
      </c>
      <c r="J85" s="315" t="str">
        <f t="shared" ref="J85:P85" si="101">IFERROR((J75*J55*11.63/1000000+R37)/(J55*11.63+J18)*1000000,"")</f>
        <v/>
      </c>
      <c r="K85" s="315">
        <f t="shared" si="101"/>
        <v>429.93131967493656</v>
      </c>
      <c r="L85" s="315">
        <f t="shared" si="101"/>
        <v>1202.4537440711779</v>
      </c>
      <c r="M85" s="315">
        <f t="shared" si="101"/>
        <v>267.09925971422263</v>
      </c>
      <c r="N85" s="315">
        <f t="shared" si="101"/>
        <v>345.18605792513949</v>
      </c>
      <c r="O85" s="315">
        <f t="shared" si="101"/>
        <v>1.9452580381726552</v>
      </c>
      <c r="P85" s="315">
        <f t="shared" si="101"/>
        <v>398.96732205783405</v>
      </c>
      <c r="R85" s="254" t="str">
        <f t="shared" si="96"/>
        <v/>
      </c>
      <c r="S85" s="254">
        <f t="shared" si="96"/>
        <v>-0.2031689999545514</v>
      </c>
      <c r="T85" s="254">
        <f t="shared" si="96"/>
        <v>-0.13873644521581319</v>
      </c>
      <c r="U85" s="254">
        <f t="shared" si="96"/>
        <v>-0.42831447658193555</v>
      </c>
      <c r="V85" s="254">
        <f t="shared" si="96"/>
        <v>-0.28462832106290548</v>
      </c>
      <c r="W85" s="254">
        <f t="shared" si="96"/>
        <v>-0.45557753939732015</v>
      </c>
      <c r="X85" s="254">
        <f t="shared" si="96"/>
        <v>-0.29848265058606782</v>
      </c>
    </row>
    <row r="86" spans="1:33">
      <c r="A86" s="186" t="s">
        <v>350</v>
      </c>
      <c r="J86" s="315" t="str">
        <f t="shared" ref="J86:P86" si="102">IFERROR((J75*J56*11.63/1000000+R38)/(J56*11.63+J19)*1000000,"")</f>
        <v/>
      </c>
      <c r="K86" s="315">
        <f t="shared" si="102"/>
        <v>247.82987684047851</v>
      </c>
      <c r="L86" s="315" t="str">
        <f t="shared" si="102"/>
        <v/>
      </c>
      <c r="M86" s="315" t="str">
        <f t="shared" si="102"/>
        <v/>
      </c>
      <c r="N86" s="315" t="str">
        <f t="shared" si="102"/>
        <v/>
      </c>
      <c r="O86" s="315" t="str">
        <f t="shared" si="102"/>
        <v/>
      </c>
      <c r="P86" s="315">
        <f t="shared" si="102"/>
        <v>242.69510585523452</v>
      </c>
      <c r="R86" s="254" t="str">
        <f t="shared" si="96"/>
        <v/>
      </c>
      <c r="S86" s="254">
        <f t="shared" si="96"/>
        <v>-1.7774360289183888E-2</v>
      </c>
      <c r="T86" s="254" t="str">
        <f t="shared" si="96"/>
        <v/>
      </c>
      <c r="U86" s="254" t="str">
        <f t="shared" si="96"/>
        <v/>
      </c>
      <c r="V86" s="254" t="str">
        <f t="shared" si="96"/>
        <v/>
      </c>
      <c r="W86" s="254" t="str">
        <f t="shared" si="96"/>
        <v/>
      </c>
      <c r="X86" s="254">
        <f t="shared" si="96"/>
        <v>-3.8125028981950915E-2</v>
      </c>
    </row>
    <row r="87" spans="1:33">
      <c r="A87" s="186"/>
      <c r="J87" s="181"/>
      <c r="K87" s="181"/>
      <c r="L87" s="181"/>
      <c r="M87" s="181"/>
      <c r="N87" s="181"/>
      <c r="O87" s="181"/>
      <c r="P87" s="181"/>
      <c r="R87" s="254"/>
      <c r="S87" s="254"/>
      <c r="T87" s="254"/>
      <c r="U87" s="254"/>
      <c r="V87" s="254"/>
      <c r="W87" s="254"/>
      <c r="X87" s="254"/>
    </row>
    <row r="88" spans="1:33">
      <c r="J88" s="90"/>
      <c r="K88" s="90"/>
      <c r="L88" s="90"/>
      <c r="M88" s="90"/>
      <c r="N88" s="90"/>
      <c r="O88" s="90"/>
      <c r="Z88" s="209"/>
      <c r="AA88" s="911"/>
      <c r="AB88" s="911"/>
      <c r="AC88" s="911"/>
      <c r="AD88" s="911"/>
      <c r="AE88" s="911"/>
      <c r="AF88" s="911"/>
      <c r="AG88" s="559"/>
    </row>
    <row r="89" spans="1:33">
      <c r="J89" s="90"/>
      <c r="K89" s="90"/>
      <c r="L89" s="90"/>
      <c r="M89" s="90"/>
      <c r="N89" s="90"/>
      <c r="O89" s="90"/>
      <c r="Z89" s="209"/>
      <c r="AA89" s="911"/>
      <c r="AB89" s="911"/>
      <c r="AC89" s="911"/>
      <c r="AD89" s="911"/>
      <c r="AE89" s="911"/>
      <c r="AF89" s="911"/>
      <c r="AG89" s="559"/>
    </row>
    <row r="90" spans="1:33">
      <c r="J90" s="90"/>
      <c r="K90" s="90"/>
      <c r="L90" s="90"/>
      <c r="M90" s="90"/>
      <c r="N90" s="90"/>
      <c r="O90" s="90"/>
      <c r="Z90" s="209"/>
      <c r="AA90" s="911"/>
      <c r="AB90" s="911"/>
      <c r="AC90" s="911"/>
      <c r="AD90" s="911"/>
      <c r="AE90" s="911"/>
      <c r="AF90" s="911"/>
      <c r="AG90" s="559"/>
    </row>
    <row r="91" spans="1:33">
      <c r="J91" s="90"/>
      <c r="K91" s="90"/>
      <c r="L91" s="90"/>
      <c r="M91" s="90"/>
      <c r="N91" s="90"/>
      <c r="O91" s="90"/>
      <c r="Z91" s="209"/>
      <c r="AA91" s="911"/>
      <c r="AB91" s="911"/>
      <c r="AC91" s="911"/>
      <c r="AD91" s="911"/>
      <c r="AE91" s="911"/>
      <c r="AF91" s="911"/>
      <c r="AG91" s="559"/>
    </row>
    <row r="92" spans="1:33">
      <c r="J92" s="90"/>
      <c r="K92" s="90"/>
      <c r="L92" s="90"/>
      <c r="M92" s="90"/>
      <c r="N92" s="90"/>
      <c r="O92" s="90"/>
      <c r="Z92" s="209"/>
      <c r="AA92" s="911"/>
      <c r="AB92" s="911"/>
      <c r="AC92" s="911"/>
      <c r="AD92" s="911"/>
      <c r="AE92" s="911"/>
      <c r="AF92" s="911"/>
      <c r="AG92" s="559"/>
    </row>
    <row r="93" spans="1:33">
      <c r="J93" s="90"/>
      <c r="K93" s="90"/>
      <c r="L93" s="90"/>
      <c r="M93" s="90"/>
      <c r="N93" s="90"/>
      <c r="O93" s="90"/>
      <c r="Z93" s="209"/>
      <c r="AA93" s="911"/>
      <c r="AB93" s="911"/>
      <c r="AC93" s="911"/>
      <c r="AD93" s="911"/>
      <c r="AE93" s="911"/>
      <c r="AF93" s="911"/>
      <c r="AG93" s="559"/>
    </row>
    <row r="94" spans="1:33">
      <c r="J94" s="90"/>
      <c r="K94" s="90"/>
      <c r="L94" s="90"/>
      <c r="M94" s="90"/>
      <c r="N94" s="90"/>
      <c r="O94" s="90"/>
      <c r="Z94" s="209"/>
      <c r="AA94" s="911"/>
      <c r="AB94" s="911"/>
      <c r="AC94" s="911"/>
      <c r="AD94" s="911"/>
      <c r="AE94" s="911"/>
      <c r="AF94" s="911"/>
      <c r="AG94" s="559"/>
    </row>
    <row r="95" spans="1:33">
      <c r="J95" s="90"/>
      <c r="K95" s="90"/>
      <c r="L95" s="90"/>
      <c r="M95" s="90"/>
      <c r="N95" s="90"/>
      <c r="O95" s="90"/>
      <c r="Z95" s="209"/>
      <c r="AA95" s="911"/>
      <c r="AB95" s="911"/>
      <c r="AC95" s="911"/>
      <c r="AD95" s="911"/>
      <c r="AE95" s="911"/>
      <c r="AF95" s="911"/>
      <c r="AG95" s="559"/>
    </row>
    <row r="96" spans="1:33">
      <c r="J96" s="254">
        <f t="shared" ref="J96:O96" si="103">J107/J114</f>
        <v>0</v>
      </c>
      <c r="K96" s="254">
        <f t="shared" si="103"/>
        <v>0.63865312451412559</v>
      </c>
      <c r="L96" s="254">
        <f>L107/L114</f>
        <v>0.98527108816184861</v>
      </c>
      <c r="M96" s="254">
        <f t="shared" si="103"/>
        <v>0.54373343639575977</v>
      </c>
      <c r="N96" s="254">
        <f t="shared" si="103"/>
        <v>0.67417414234719275</v>
      </c>
      <c r="O96" s="254">
        <f t="shared" si="103"/>
        <v>0.7207112901056254</v>
      </c>
      <c r="P96" s="254">
        <f>SUM(K107:O107)/SUM(K114:O114)</f>
        <v>0.64740459690758623</v>
      </c>
      <c r="Z96" s="209"/>
      <c r="AA96" s="911"/>
      <c r="AB96" s="911"/>
      <c r="AC96" s="911"/>
      <c r="AD96" s="911"/>
      <c r="AE96" s="911"/>
      <c r="AF96" s="911"/>
      <c r="AG96" s="559"/>
    </row>
    <row r="97" spans="1:43">
      <c r="J97" s="166" t="e">
        <f>J151*((J107/11.63)/((J107/11.63)+J144))*41.868</f>
        <v>#DIV/0!</v>
      </c>
      <c r="K97" s="166">
        <f t="shared" ref="K97:P97" si="104">K151*((K107/11.63)/((K107/11.63)+K144))*41.868</f>
        <v>413168.55588475917</v>
      </c>
      <c r="L97" s="166">
        <f t="shared" si="104"/>
        <v>8133.4980611972469</v>
      </c>
      <c r="M97" s="166">
        <f t="shared" si="104"/>
        <v>9229.2532067552947</v>
      </c>
      <c r="N97" s="166">
        <f t="shared" si="104"/>
        <v>78314.199187805993</v>
      </c>
      <c r="O97" s="166">
        <f t="shared" si="104"/>
        <v>33706.782833275844</v>
      </c>
      <c r="P97" s="166">
        <f t="shared" si="104"/>
        <v>542326.12374663015</v>
      </c>
      <c r="Z97" s="209"/>
      <c r="AA97" s="911"/>
      <c r="AB97" s="911"/>
      <c r="AC97" s="911"/>
      <c r="AD97" s="911"/>
      <c r="AE97" s="911"/>
      <c r="AF97" s="911"/>
      <c r="AG97" s="559"/>
    </row>
    <row r="98" spans="1:43">
      <c r="A98" s="402" t="s">
        <v>555</v>
      </c>
      <c r="J98" s="68"/>
      <c r="R98" s="68" t="s">
        <v>122</v>
      </c>
      <c r="S98" s="68"/>
    </row>
    <row r="99" spans="1:43" ht="15.5">
      <c r="A99" s="68" t="s">
        <v>531</v>
      </c>
      <c r="J99" s="180" t="s">
        <v>5</v>
      </c>
      <c r="K99" s="180" t="s">
        <v>186</v>
      </c>
      <c r="L99" s="180" t="s">
        <v>187</v>
      </c>
      <c r="M99" s="180" t="s">
        <v>190</v>
      </c>
      <c r="N99" s="180" t="s">
        <v>192</v>
      </c>
      <c r="O99" s="180" t="s">
        <v>191</v>
      </c>
      <c r="P99" s="180" t="s">
        <v>189</v>
      </c>
      <c r="Q99" s="2"/>
      <c r="R99" s="180" t="s">
        <v>5</v>
      </c>
      <c r="S99" s="180" t="s">
        <v>186</v>
      </c>
      <c r="T99" s="180" t="s">
        <v>187</v>
      </c>
      <c r="U99" s="180" t="s">
        <v>190</v>
      </c>
      <c r="V99" s="180" t="s">
        <v>192</v>
      </c>
      <c r="W99" s="180" t="s">
        <v>191</v>
      </c>
      <c r="X99" s="180" t="s">
        <v>189</v>
      </c>
      <c r="AA99" s="68"/>
      <c r="AB99" s="553"/>
      <c r="AJ99" s="68"/>
      <c r="AK99" s="180" t="s">
        <v>5</v>
      </c>
      <c r="AL99" s="180" t="s">
        <v>186</v>
      </c>
      <c r="AM99" s="180" t="s">
        <v>187</v>
      </c>
      <c r="AN99" s="180" t="s">
        <v>190</v>
      </c>
      <c r="AO99" s="180" t="s">
        <v>192</v>
      </c>
      <c r="AP99" s="180" t="s">
        <v>191</v>
      </c>
      <c r="AQ99" s="180" t="s">
        <v>189</v>
      </c>
    </row>
    <row r="100" spans="1:43" ht="15.5">
      <c r="A100" s="11" t="s">
        <v>16</v>
      </c>
      <c r="J100" s="179">
        <f t="shared" ref="J100:P100" si="105">SUM(J101:J106)</f>
        <v>13219.9</v>
      </c>
      <c r="K100" s="179">
        <f t="shared" si="105"/>
        <v>42995.4</v>
      </c>
      <c r="L100" s="179">
        <f t="shared" si="105"/>
        <v>17.399999999999999</v>
      </c>
      <c r="M100" s="179">
        <f t="shared" si="105"/>
        <v>1652.78</v>
      </c>
      <c r="N100" s="179">
        <f t="shared" si="105"/>
        <v>5687.45</v>
      </c>
      <c r="O100" s="179">
        <f t="shared" si="105"/>
        <v>2097.0700000000002</v>
      </c>
      <c r="P100" s="179">
        <f t="shared" si="105"/>
        <v>65670</v>
      </c>
      <c r="Q100" s="2"/>
      <c r="R100" s="206">
        <v>9.82</v>
      </c>
      <c r="S100" s="206">
        <v>6.6669999999999998</v>
      </c>
      <c r="T100" s="206">
        <v>9.42</v>
      </c>
      <c r="U100" s="206">
        <v>9.86</v>
      </c>
      <c r="V100" s="206">
        <v>11.839</v>
      </c>
      <c r="W100" s="206">
        <v>9.9079999999999995</v>
      </c>
      <c r="X100" s="451">
        <v>7.9340000000000002</v>
      </c>
      <c r="AA100" s="68"/>
      <c r="AC100" s="403"/>
      <c r="AJ100" s="11" t="s">
        <v>16</v>
      </c>
      <c r="AK100" s="256">
        <f t="shared" ref="AK100:AK114" si="106">IFERROR(J100*3.6/J119,"")</f>
        <v>0.36659877800407331</v>
      </c>
      <c r="AL100" s="256">
        <f t="shared" ref="AL100:AL114" si="107">IFERROR(K100*3.6/K119,"")</f>
        <v>0.53998726931728791</v>
      </c>
      <c r="AM100" s="256">
        <f t="shared" ref="AM100:AM114" si="108">IFERROR(L100*3.6/L119,"")</f>
        <v>0.38216560509554137</v>
      </c>
      <c r="AN100" s="256">
        <f t="shared" ref="AN100:AN114" si="109">IFERROR(M100*3.6/M119,"")</f>
        <v>0.36510154266233308</v>
      </c>
      <c r="AO100" s="256">
        <f t="shared" ref="AO100:AO114" si="110">IFERROR(N100*3.6/N119,"")</f>
        <v>0.30406811242861764</v>
      </c>
      <c r="AP100" s="256">
        <f t="shared" ref="AP100:AP114" si="111">IFERROR(O100*3.6/O119,"")</f>
        <v>0.36332984674190505</v>
      </c>
      <c r="AQ100" s="256">
        <f t="shared" ref="AQ100:AQ114" si="112">IFERROR(P100*3.6/P119,"")</f>
        <v>0.45373296413937336</v>
      </c>
    </row>
    <row r="101" spans="1:43" ht="15.5">
      <c r="A101" s="10" t="s">
        <v>17</v>
      </c>
      <c r="J101" s="181"/>
      <c r="K101" s="181">
        <v>415.7</v>
      </c>
      <c r="L101" s="181">
        <v>17.399999999999999</v>
      </c>
      <c r="M101" s="181">
        <v>192.61</v>
      </c>
      <c r="N101" s="181">
        <v>611.49</v>
      </c>
      <c r="O101" s="181">
        <v>2049.44</v>
      </c>
      <c r="P101" s="179">
        <f t="shared" ref="P101:P106" si="113">SUM(J101:O101)</f>
        <v>3286.6400000000003</v>
      </c>
      <c r="Q101" s="2"/>
      <c r="R101" s="584"/>
      <c r="S101" s="584">
        <v>8.6679999999999993</v>
      </c>
      <c r="T101" s="584">
        <v>9.42</v>
      </c>
      <c r="U101" s="584">
        <v>9.5860000000000003</v>
      </c>
      <c r="V101" s="584">
        <v>8.9559999999999995</v>
      </c>
      <c r="W101" s="584">
        <v>9.8870000000000005</v>
      </c>
      <c r="X101" s="206">
        <v>9.5389999999999997</v>
      </c>
      <c r="Z101" s="169"/>
      <c r="AA101" s="207"/>
      <c r="AB101" s="207"/>
      <c r="AC101" s="186"/>
      <c r="AF101" s="185"/>
      <c r="AG101" s="207"/>
      <c r="AH101" s="207"/>
      <c r="AJ101" s="10" t="s">
        <v>17</v>
      </c>
      <c r="AK101" s="56" t="str">
        <f t="shared" si="106"/>
        <v/>
      </c>
      <c r="AL101" s="56">
        <f t="shared" si="107"/>
        <v>0.41532071988924785</v>
      </c>
      <c r="AM101" s="56">
        <f t="shared" si="108"/>
        <v>0.38216560509554137</v>
      </c>
      <c r="AN101" s="56">
        <f t="shared" si="109"/>
        <v>0.37554767369079911</v>
      </c>
      <c r="AO101" s="56">
        <f t="shared" si="110"/>
        <v>0.40196516301920504</v>
      </c>
      <c r="AP101" s="56">
        <f t="shared" si="111"/>
        <v>0.36411449377971072</v>
      </c>
      <c r="AQ101" s="256">
        <f t="shared" si="112"/>
        <v>0.37737862437752673</v>
      </c>
    </row>
    <row r="102" spans="1:43" ht="15.5">
      <c r="A102" s="10" t="s">
        <v>18</v>
      </c>
      <c r="J102" s="181"/>
      <c r="K102" s="181">
        <v>209.9</v>
      </c>
      <c r="L102" s="181"/>
      <c r="M102" s="181">
        <v>4.6100000000000003</v>
      </c>
      <c r="N102" s="181">
        <v>4.4800000000000004</v>
      </c>
      <c r="O102" s="181">
        <v>34.130000000000003</v>
      </c>
      <c r="P102" s="179">
        <f t="shared" si="113"/>
        <v>253.12</v>
      </c>
      <c r="Q102" s="2"/>
      <c r="R102" s="584"/>
      <c r="S102" s="584">
        <v>10.647</v>
      </c>
      <c r="T102" s="584"/>
      <c r="U102" s="584">
        <v>14.170999999999999</v>
      </c>
      <c r="V102" s="584">
        <v>13.286</v>
      </c>
      <c r="W102" s="584">
        <v>11.548999999999999</v>
      </c>
      <c r="X102" s="206">
        <v>10.879</v>
      </c>
      <c r="Z102" s="169"/>
      <c r="AA102" s="207"/>
      <c r="AB102" s="207"/>
      <c r="AC102" s="186"/>
      <c r="AF102" s="185"/>
      <c r="AG102" s="207"/>
      <c r="AH102" s="207"/>
      <c r="AJ102" s="10" t="s">
        <v>18</v>
      </c>
      <c r="AK102" s="56" t="str">
        <f t="shared" si="106"/>
        <v/>
      </c>
      <c r="AL102" s="56">
        <f t="shared" si="107"/>
        <v>0.33812341504649196</v>
      </c>
      <c r="AM102" s="56" t="str">
        <f t="shared" si="108"/>
        <v/>
      </c>
      <c r="AN102" s="56">
        <f t="shared" si="109"/>
        <v>0.25403994072401381</v>
      </c>
      <c r="AO102" s="56">
        <f t="shared" si="110"/>
        <v>0.27096191479753129</v>
      </c>
      <c r="AP102" s="56">
        <f t="shared" si="111"/>
        <v>0.31171530002597631</v>
      </c>
      <c r="AQ102" s="256">
        <f t="shared" si="112"/>
        <v>0.33089717271731262</v>
      </c>
    </row>
    <row r="103" spans="1:43" ht="15.5">
      <c r="A103" s="10" t="s">
        <v>19</v>
      </c>
      <c r="J103" s="181">
        <v>13219.9</v>
      </c>
      <c r="K103" s="181">
        <v>836.7</v>
      </c>
      <c r="L103" s="181"/>
      <c r="M103" s="181">
        <v>1454.44</v>
      </c>
      <c r="N103" s="181">
        <v>3574.69</v>
      </c>
      <c r="O103" s="181">
        <v>8.5</v>
      </c>
      <c r="P103" s="179">
        <f t="shared" si="113"/>
        <v>19094.23</v>
      </c>
      <c r="Q103" s="2"/>
      <c r="R103" s="584">
        <v>9.82</v>
      </c>
      <c r="S103" s="584">
        <v>7.524</v>
      </c>
      <c r="T103" s="584"/>
      <c r="U103" s="584">
        <v>9.8840000000000003</v>
      </c>
      <c r="V103" s="584">
        <v>14.016</v>
      </c>
      <c r="W103" s="584">
        <v>9.0020000000000007</v>
      </c>
      <c r="X103" s="206">
        <v>10.509</v>
      </c>
      <c r="Z103" s="169"/>
      <c r="AA103" s="207"/>
      <c r="AB103" s="207"/>
      <c r="AC103" s="186"/>
      <c r="AF103" s="185"/>
      <c r="AG103" s="207"/>
      <c r="AH103" s="207"/>
      <c r="AJ103" s="10" t="s">
        <v>19</v>
      </c>
      <c r="AK103" s="56">
        <f t="shared" si="106"/>
        <v>0.36659877800407331</v>
      </c>
      <c r="AL103" s="56">
        <f t="shared" si="107"/>
        <v>0.4784688995215311</v>
      </c>
      <c r="AM103" s="56" t="str">
        <f t="shared" si="108"/>
        <v/>
      </c>
      <c r="AN103" s="56">
        <f t="shared" si="109"/>
        <v>0.36422501011736141</v>
      </c>
      <c r="AO103" s="56">
        <f t="shared" si="110"/>
        <v>0.25684931506849312</v>
      </c>
      <c r="AP103" s="56">
        <f t="shared" si="111"/>
        <v>0.39991113085980889</v>
      </c>
      <c r="AQ103" s="256">
        <f t="shared" si="112"/>
        <v>0.3425489336871626</v>
      </c>
    </row>
    <row r="104" spans="1:43" ht="15.5">
      <c r="A104" s="10" t="s">
        <v>20</v>
      </c>
      <c r="J104" s="181"/>
      <c r="K104" s="181">
        <v>41529.4</v>
      </c>
      <c r="L104" s="181"/>
      <c r="M104" s="181">
        <v>1.1200000000000001</v>
      </c>
      <c r="N104" s="181">
        <v>1496.79</v>
      </c>
      <c r="O104" s="181">
        <v>5</v>
      </c>
      <c r="P104" s="179">
        <f t="shared" si="113"/>
        <v>43032.310000000005</v>
      </c>
      <c r="Q104" s="2"/>
      <c r="R104" s="584"/>
      <c r="S104" s="584">
        <v>6.61</v>
      </c>
      <c r="T104" s="584"/>
      <c r="U104" s="584">
        <v>8.4689999999999994</v>
      </c>
      <c r="V104" s="584">
        <v>7.8150000000000004</v>
      </c>
      <c r="W104" s="584">
        <v>9.0020000000000007</v>
      </c>
      <c r="X104" s="206">
        <v>6.6520000000000001</v>
      </c>
      <c r="Z104" s="169"/>
      <c r="AA104" s="207"/>
      <c r="AB104" s="207"/>
      <c r="AC104" s="186"/>
      <c r="AF104" s="185"/>
      <c r="AG104" s="207"/>
      <c r="AH104" s="207"/>
      <c r="AJ104" s="10" t="s">
        <v>20</v>
      </c>
      <c r="AK104" s="56" t="str">
        <f t="shared" si="106"/>
        <v/>
      </c>
      <c r="AL104" s="56">
        <f t="shared" si="107"/>
        <v>0.54462934947049912</v>
      </c>
      <c r="AM104" s="56" t="str">
        <f t="shared" si="108"/>
        <v/>
      </c>
      <c r="AN104" s="56">
        <f t="shared" si="109"/>
        <v>0.4250797024442084</v>
      </c>
      <c r="AO104" s="56">
        <f t="shared" si="110"/>
        <v>0.46065259117082535</v>
      </c>
      <c r="AP104" s="56">
        <f t="shared" si="111"/>
        <v>0.39991113085980889</v>
      </c>
      <c r="AQ104" s="256">
        <f t="shared" si="112"/>
        <v>0.54117111456002354</v>
      </c>
    </row>
    <row r="105" spans="1:43" ht="15.5">
      <c r="A105" s="10" t="s">
        <v>22</v>
      </c>
      <c r="J105" s="181"/>
      <c r="K105" s="181"/>
      <c r="L105" s="181"/>
      <c r="M105" s="181"/>
      <c r="N105" s="181"/>
      <c r="O105" s="181"/>
      <c r="P105" s="179">
        <f t="shared" si="113"/>
        <v>0</v>
      </c>
      <c r="Q105" s="2"/>
      <c r="R105" s="584"/>
      <c r="S105" s="584"/>
      <c r="T105" s="584"/>
      <c r="U105" s="584"/>
      <c r="V105" s="584"/>
      <c r="W105" s="584"/>
      <c r="X105" s="206"/>
      <c r="AC105" s="403"/>
      <c r="AF105" s="210"/>
      <c r="AG105" s="210"/>
      <c r="AH105" s="210"/>
      <c r="AJ105" s="10" t="s">
        <v>22</v>
      </c>
      <c r="AK105" s="56" t="str">
        <f t="shared" si="106"/>
        <v/>
      </c>
      <c r="AL105" s="56" t="str">
        <f t="shared" si="107"/>
        <v/>
      </c>
      <c r="AM105" s="56" t="str">
        <f t="shared" si="108"/>
        <v/>
      </c>
      <c r="AN105" s="56" t="str">
        <f t="shared" si="109"/>
        <v/>
      </c>
      <c r="AO105" s="56" t="str">
        <f t="shared" si="110"/>
        <v/>
      </c>
      <c r="AP105" s="56" t="str">
        <f t="shared" si="111"/>
        <v/>
      </c>
      <c r="AQ105" s="256" t="str">
        <f t="shared" si="112"/>
        <v/>
      </c>
    </row>
    <row r="106" spans="1:43" ht="15.5">
      <c r="A106" s="10" t="s">
        <v>349</v>
      </c>
      <c r="J106" s="181"/>
      <c r="K106" s="181">
        <v>3.7</v>
      </c>
      <c r="L106" s="181"/>
      <c r="M106" s="181"/>
      <c r="N106" s="181"/>
      <c r="O106" s="181"/>
      <c r="P106" s="179">
        <f t="shared" si="113"/>
        <v>3.7</v>
      </c>
      <c r="Q106" s="2"/>
      <c r="R106" s="584"/>
      <c r="S106" s="584">
        <v>6.0439999999999996</v>
      </c>
      <c r="T106" s="584"/>
      <c r="U106" s="584"/>
      <c r="V106" s="584"/>
      <c r="W106" s="584"/>
      <c r="X106" s="206">
        <v>6.0439999999999996</v>
      </c>
      <c r="Z106" s="169"/>
      <c r="AA106" s="207"/>
      <c r="AB106" s="207"/>
      <c r="AC106" s="403"/>
      <c r="AF106" s="185"/>
      <c r="AG106" s="207"/>
      <c r="AH106" s="207"/>
      <c r="AJ106" s="10" t="s">
        <v>349</v>
      </c>
      <c r="AK106" s="56" t="str">
        <f t="shared" si="106"/>
        <v/>
      </c>
      <c r="AL106" s="56" t="str">
        <f t="shared" si="107"/>
        <v/>
      </c>
      <c r="AM106" s="56" t="str">
        <f t="shared" si="108"/>
        <v/>
      </c>
      <c r="AN106" s="56" t="str">
        <f t="shared" si="109"/>
        <v/>
      </c>
      <c r="AO106" s="56" t="str">
        <f t="shared" si="110"/>
        <v/>
      </c>
      <c r="AP106" s="56" t="str">
        <f t="shared" si="111"/>
        <v/>
      </c>
      <c r="AQ106" s="256" t="str">
        <f t="shared" si="112"/>
        <v/>
      </c>
    </row>
    <row r="107" spans="1:43" ht="15.5">
      <c r="A107" s="11" t="s">
        <v>23</v>
      </c>
      <c r="J107" s="179">
        <f t="shared" ref="J107:P107" si="114">SUM(J108:J113)</f>
        <v>0</v>
      </c>
      <c r="K107" s="179">
        <f t="shared" si="114"/>
        <v>75991.100000000006</v>
      </c>
      <c r="L107" s="179">
        <f t="shared" si="114"/>
        <v>1163.9499999999998</v>
      </c>
      <c r="M107" s="179">
        <f t="shared" si="114"/>
        <v>1969.6200000000001</v>
      </c>
      <c r="N107" s="179">
        <f t="shared" si="114"/>
        <v>11768.04</v>
      </c>
      <c r="O107" s="179">
        <f t="shared" si="114"/>
        <v>5411.54</v>
      </c>
      <c r="P107" s="179">
        <f t="shared" si="114"/>
        <v>96304.250000000015</v>
      </c>
      <c r="Q107" s="2"/>
      <c r="R107" s="206">
        <v>0</v>
      </c>
      <c r="S107" s="206">
        <v>6.0629999999999997</v>
      </c>
      <c r="T107" s="206">
        <v>8.3849999999999998</v>
      </c>
      <c r="U107" s="206">
        <v>6.3970000000000002</v>
      </c>
      <c r="V107" s="206">
        <v>8.3460000000000001</v>
      </c>
      <c r="W107" s="206">
        <v>7.4720000000000004</v>
      </c>
      <c r="X107" s="451">
        <v>6.4560000000000004</v>
      </c>
      <c r="Z107" s="169"/>
      <c r="AA107" s="419"/>
      <c r="AB107" s="342"/>
      <c r="AC107" s="403"/>
      <c r="AF107" s="210"/>
      <c r="AG107" s="210"/>
      <c r="AH107" s="210"/>
      <c r="AJ107" s="11" t="s">
        <v>23</v>
      </c>
      <c r="AK107" s="256" t="str">
        <f t="shared" si="106"/>
        <v/>
      </c>
      <c r="AL107" s="256">
        <f t="shared" si="107"/>
        <v>0.59379933531538109</v>
      </c>
      <c r="AM107" s="256">
        <f t="shared" si="108"/>
        <v>0.4293597153340844</v>
      </c>
      <c r="AN107" s="256">
        <f t="shared" si="109"/>
        <v>0.56275242092310795</v>
      </c>
      <c r="AO107" s="256">
        <f t="shared" si="110"/>
        <v>0.43134251018938913</v>
      </c>
      <c r="AP107" s="256">
        <f t="shared" si="111"/>
        <v>0.48176001394065399</v>
      </c>
      <c r="AQ107" s="256">
        <f t="shared" si="112"/>
        <v>0.55763748227765775</v>
      </c>
    </row>
    <row r="108" spans="1:43" ht="15.5">
      <c r="A108" s="10" t="s">
        <v>24</v>
      </c>
      <c r="J108" s="181"/>
      <c r="K108" s="181">
        <v>12367.2</v>
      </c>
      <c r="L108" s="181">
        <v>151.65</v>
      </c>
      <c r="M108" s="181">
        <v>8.6999999999999993</v>
      </c>
      <c r="N108" s="181">
        <v>1076.74</v>
      </c>
      <c r="O108" s="181">
        <v>5371.55</v>
      </c>
      <c r="P108" s="179">
        <f t="shared" ref="P108:P113" si="115">SUM(J108:O108)</f>
        <v>18975.84</v>
      </c>
      <c r="Q108" s="2"/>
      <c r="R108" s="584"/>
      <c r="S108" s="584">
        <v>5.6219999999999999</v>
      </c>
      <c r="T108" s="584">
        <v>6.9130000000000003</v>
      </c>
      <c r="U108" s="584">
        <v>5.9560000000000004</v>
      </c>
      <c r="V108" s="584">
        <v>7.7690000000000001</v>
      </c>
      <c r="W108" s="584">
        <v>7.4710000000000001</v>
      </c>
      <c r="X108" s="206">
        <v>6.2779999999999996</v>
      </c>
      <c r="Z108" s="169"/>
      <c r="AA108" s="207"/>
      <c r="AB108" s="207"/>
      <c r="AC108" s="186"/>
      <c r="AF108" s="185"/>
      <c r="AG108" s="207"/>
      <c r="AH108" s="207"/>
      <c r="AJ108" s="10" t="s">
        <v>24</v>
      </c>
      <c r="AK108" s="56" t="str">
        <f t="shared" si="106"/>
        <v/>
      </c>
      <c r="AL108" s="56">
        <f t="shared" si="107"/>
        <v>0.64034151547492002</v>
      </c>
      <c r="AM108" s="56">
        <f t="shared" si="108"/>
        <v>0.52075799218863017</v>
      </c>
      <c r="AN108" s="56">
        <f t="shared" si="109"/>
        <v>0.60443250503693746</v>
      </c>
      <c r="AO108" s="56">
        <f t="shared" si="110"/>
        <v>0.46338010039902178</v>
      </c>
      <c r="AP108" s="56">
        <f t="shared" si="111"/>
        <v>0.48186320439030922</v>
      </c>
      <c r="AQ108" s="256">
        <f t="shared" si="112"/>
        <v>0.57345850736429771</v>
      </c>
    </row>
    <row r="109" spans="1:43" ht="15.5">
      <c r="A109" s="10" t="s">
        <v>25</v>
      </c>
      <c r="J109" s="181"/>
      <c r="K109" s="181">
        <v>5237.3</v>
      </c>
      <c r="L109" s="181"/>
      <c r="M109" s="181">
        <v>210</v>
      </c>
      <c r="N109" s="181">
        <v>19.46</v>
      </c>
      <c r="O109" s="181">
        <v>7.2</v>
      </c>
      <c r="P109" s="179">
        <f t="shared" si="115"/>
        <v>5473.96</v>
      </c>
      <c r="Q109" s="2"/>
      <c r="R109" s="584"/>
      <c r="S109" s="584">
        <v>5.3460000000000001</v>
      </c>
      <c r="T109" s="584"/>
      <c r="U109" s="584">
        <v>5.024</v>
      </c>
      <c r="V109" s="584">
        <v>10.709</v>
      </c>
      <c r="W109" s="584">
        <v>7.6989999999999998</v>
      </c>
      <c r="X109" s="206">
        <v>5.3559999999999999</v>
      </c>
      <c r="Z109" s="169"/>
      <c r="AA109" s="207"/>
      <c r="AB109" s="207"/>
      <c r="AC109" s="186"/>
      <c r="AF109" s="185"/>
      <c r="AG109" s="207"/>
      <c r="AH109" s="207"/>
      <c r="AJ109" s="10" t="s">
        <v>25</v>
      </c>
      <c r="AK109" s="56" t="str">
        <f t="shared" si="106"/>
        <v/>
      </c>
      <c r="AL109" s="56">
        <f t="shared" si="107"/>
        <v>0.67340067340067344</v>
      </c>
      <c r="AM109" s="56" t="str">
        <f t="shared" si="108"/>
        <v/>
      </c>
      <c r="AN109" s="56">
        <f t="shared" si="109"/>
        <v>0.71656050955414019</v>
      </c>
      <c r="AO109" s="56">
        <f t="shared" si="110"/>
        <v>0.33616584181529557</v>
      </c>
      <c r="AP109" s="56">
        <f t="shared" si="111"/>
        <v>0.46759319392128851</v>
      </c>
      <c r="AQ109" s="256">
        <f t="shared" si="112"/>
        <v>0.67216755544589046</v>
      </c>
    </row>
    <row r="110" spans="1:43" ht="15.5">
      <c r="A110" s="10" t="s">
        <v>26</v>
      </c>
      <c r="J110" s="181"/>
      <c r="K110" s="181">
        <v>57029</v>
      </c>
      <c r="L110" s="181">
        <v>567.54999999999995</v>
      </c>
      <c r="M110" s="181">
        <v>1424.47</v>
      </c>
      <c r="N110" s="181">
        <v>6228.24</v>
      </c>
      <c r="O110" s="181">
        <v>31.49</v>
      </c>
      <c r="P110" s="179">
        <f t="shared" si="115"/>
        <v>65280.75</v>
      </c>
      <c r="Q110" s="2"/>
      <c r="R110" s="584"/>
      <c r="S110" s="584">
        <v>6.1820000000000004</v>
      </c>
      <c r="T110" s="584">
        <v>8.1959999999999997</v>
      </c>
      <c r="U110" s="584">
        <v>6.7080000000000002</v>
      </c>
      <c r="V110" s="584">
        <v>6.1639999999999997</v>
      </c>
      <c r="W110" s="584">
        <v>7.55</v>
      </c>
      <c r="X110" s="206">
        <v>6.21</v>
      </c>
      <c r="Z110" s="169"/>
      <c r="AA110" s="207"/>
      <c r="AB110" s="207"/>
      <c r="AC110" s="186"/>
      <c r="AF110" s="185"/>
      <c r="AG110" s="207"/>
      <c r="AH110" s="207"/>
      <c r="AJ110" s="10" t="s">
        <v>26</v>
      </c>
      <c r="AK110" s="56" t="str">
        <f t="shared" si="106"/>
        <v/>
      </c>
      <c r="AL110" s="56">
        <f t="shared" si="107"/>
        <v>0.5823358136525395</v>
      </c>
      <c r="AM110" s="56">
        <f t="shared" si="108"/>
        <v>0.43923865300146409</v>
      </c>
      <c r="AN110" s="56">
        <f t="shared" si="109"/>
        <v>0.53667262969588558</v>
      </c>
      <c r="AO110" s="56">
        <f t="shared" si="110"/>
        <v>0.58403634003893579</v>
      </c>
      <c r="AP110" s="56">
        <f t="shared" si="111"/>
        <v>0.47682119205298013</v>
      </c>
      <c r="AQ110" s="256">
        <f t="shared" si="112"/>
        <v>0.57971668590753878</v>
      </c>
    </row>
    <row r="111" spans="1:43" ht="15.5">
      <c r="A111" s="10" t="s">
        <v>27</v>
      </c>
      <c r="J111" s="181"/>
      <c r="K111" s="181">
        <v>380</v>
      </c>
      <c r="L111" s="181"/>
      <c r="M111" s="181">
        <v>152.19999999999999</v>
      </c>
      <c r="N111" s="181">
        <v>636.35</v>
      </c>
      <c r="O111" s="181"/>
      <c r="P111" s="179">
        <f t="shared" si="115"/>
        <v>1168.5500000000002</v>
      </c>
      <c r="Q111" s="2"/>
      <c r="R111" s="584"/>
      <c r="S111" s="584">
        <v>4.79</v>
      </c>
      <c r="T111" s="584"/>
      <c r="U111" s="584">
        <v>4.9130000000000003</v>
      </c>
      <c r="V111" s="584">
        <v>6.7169999999999996</v>
      </c>
      <c r="W111" s="584"/>
      <c r="X111" s="206">
        <v>5.8550000000000004</v>
      </c>
      <c r="Z111" s="169"/>
      <c r="AA111" s="207"/>
      <c r="AB111" s="207"/>
      <c r="AC111" s="186"/>
      <c r="AF111" s="210"/>
      <c r="AG111" s="210"/>
      <c r="AH111" s="210"/>
      <c r="AJ111" s="10" t="s">
        <v>27</v>
      </c>
      <c r="AK111" s="56" t="str">
        <f t="shared" si="106"/>
        <v/>
      </c>
      <c r="AL111" s="56">
        <f t="shared" si="107"/>
        <v>0.75156576200417535</v>
      </c>
      <c r="AM111" s="56" t="str">
        <f t="shared" si="108"/>
        <v/>
      </c>
      <c r="AN111" s="56">
        <f t="shared" si="109"/>
        <v>0.73274984734378179</v>
      </c>
      <c r="AO111" s="56">
        <f t="shared" si="110"/>
        <v>0.53595355069227335</v>
      </c>
      <c r="AP111" s="56" t="str">
        <f t="shared" si="111"/>
        <v/>
      </c>
      <c r="AQ111" s="256">
        <f t="shared" si="112"/>
        <v>0.61481764182801391</v>
      </c>
    </row>
    <row r="112" spans="1:43" ht="15.5">
      <c r="A112" s="10" t="s">
        <v>28</v>
      </c>
      <c r="J112" s="181"/>
      <c r="K112" s="181">
        <v>977.5</v>
      </c>
      <c r="L112" s="181">
        <v>444.75</v>
      </c>
      <c r="M112" s="181">
        <v>174.25</v>
      </c>
      <c r="N112" s="181">
        <v>3807.25</v>
      </c>
      <c r="O112" s="181">
        <v>1.3</v>
      </c>
      <c r="P112" s="179">
        <f t="shared" si="115"/>
        <v>5405.05</v>
      </c>
      <c r="Q112" s="2"/>
      <c r="R112" s="584"/>
      <c r="S112" s="584">
        <v>9.01</v>
      </c>
      <c r="T112" s="584">
        <v>9.1270000000000007</v>
      </c>
      <c r="U112" s="584">
        <v>6.8289999999999997</v>
      </c>
      <c r="V112" s="584">
        <v>12.339</v>
      </c>
      <c r="W112" s="584">
        <v>10.956</v>
      </c>
      <c r="X112" s="206">
        <v>11.295</v>
      </c>
      <c r="AA112" s="419"/>
      <c r="AB112" s="342"/>
      <c r="AC112" s="403"/>
      <c r="AJ112" s="10" t="s">
        <v>28</v>
      </c>
      <c r="AK112" s="56" t="str">
        <f t="shared" si="106"/>
        <v/>
      </c>
      <c r="AL112" s="56">
        <f t="shared" si="107"/>
        <v>0.3995560488346282</v>
      </c>
      <c r="AM112" s="56">
        <f t="shared" si="108"/>
        <v>0.3944340966363537</v>
      </c>
      <c r="AN112" s="56">
        <f t="shared" si="109"/>
        <v>0.52716356714013768</v>
      </c>
      <c r="AO112" s="56">
        <f t="shared" si="110"/>
        <v>0.29175784099197666</v>
      </c>
      <c r="AP112" s="56">
        <f t="shared" si="111"/>
        <v>0.32858707557502742</v>
      </c>
      <c r="AQ112" s="256">
        <f t="shared" si="112"/>
        <v>0.31873385864248593</v>
      </c>
    </row>
    <row r="113" spans="1:43" ht="15.5">
      <c r="A113" s="10" t="s">
        <v>351</v>
      </c>
      <c r="J113" s="181"/>
      <c r="K113" s="181">
        <v>0.1</v>
      </c>
      <c r="L113" s="181"/>
      <c r="M113" s="181"/>
      <c r="N113" s="181"/>
      <c r="O113" s="181"/>
      <c r="P113" s="179">
        <f t="shared" si="115"/>
        <v>0.1</v>
      </c>
      <c r="Q113" s="2"/>
      <c r="R113" s="584"/>
      <c r="S113" s="584">
        <v>6.3849999999999998</v>
      </c>
      <c r="T113" s="584"/>
      <c r="U113" s="584"/>
      <c r="V113" s="584"/>
      <c r="W113" s="584"/>
      <c r="X113" s="206">
        <v>6.3849999999999998</v>
      </c>
      <c r="Z113" s="169"/>
      <c r="AA113" s="207"/>
      <c r="AB113" s="207"/>
      <c r="AC113" s="186"/>
      <c r="AF113" s="207"/>
      <c r="AG113" s="207"/>
      <c r="AH113" s="207"/>
      <c r="AJ113" s="10" t="s">
        <v>351</v>
      </c>
      <c r="AK113" s="56" t="str">
        <f t="shared" si="106"/>
        <v/>
      </c>
      <c r="AL113" s="56">
        <f t="shared" si="107"/>
        <v>0.5638214565387627</v>
      </c>
      <c r="AM113" s="56" t="str">
        <f t="shared" si="108"/>
        <v/>
      </c>
      <c r="AN113" s="56" t="str">
        <f t="shared" si="109"/>
        <v/>
      </c>
      <c r="AO113" s="56" t="str">
        <f t="shared" si="110"/>
        <v/>
      </c>
      <c r="AP113" s="56" t="str">
        <f t="shared" si="111"/>
        <v/>
      </c>
      <c r="AQ113" s="256">
        <f t="shared" si="112"/>
        <v>0.5638214565387627</v>
      </c>
    </row>
    <row r="114" spans="1:43" ht="15.5">
      <c r="A114" s="11" t="s">
        <v>9</v>
      </c>
      <c r="J114" s="179">
        <f t="shared" ref="J114:O114" si="116">J100+J107</f>
        <v>13219.9</v>
      </c>
      <c r="K114" s="179">
        <f t="shared" si="116"/>
        <v>118986.5</v>
      </c>
      <c r="L114" s="179">
        <f t="shared" si="116"/>
        <v>1181.3499999999999</v>
      </c>
      <c r="M114" s="179">
        <f t="shared" si="116"/>
        <v>3622.4</v>
      </c>
      <c r="N114" s="179">
        <f t="shared" si="116"/>
        <v>17455.490000000002</v>
      </c>
      <c r="O114" s="179">
        <f t="shared" si="116"/>
        <v>7508.6100000000006</v>
      </c>
      <c r="P114" s="785">
        <f>P100+P107+'3'!$AI$27*1000</f>
        <v>162587.66666783424</v>
      </c>
      <c r="Q114" s="2"/>
      <c r="R114" s="206">
        <v>9.82</v>
      </c>
      <c r="S114" s="206">
        <v>6.2809999999999997</v>
      </c>
      <c r="T114" s="206">
        <v>8.4</v>
      </c>
      <c r="U114" s="206">
        <v>7.9770000000000003</v>
      </c>
      <c r="V114" s="206">
        <v>9.484</v>
      </c>
      <c r="W114" s="206">
        <v>8.1530000000000005</v>
      </c>
      <c r="X114" s="206">
        <v>7.0549999999999997</v>
      </c>
      <c r="Z114" s="169"/>
      <c r="AA114" s="207"/>
      <c r="AB114" s="207"/>
      <c r="AC114" s="186"/>
      <c r="AF114" s="207"/>
      <c r="AG114" s="207"/>
      <c r="AH114" s="207"/>
      <c r="AJ114" s="11" t="s">
        <v>9</v>
      </c>
      <c r="AK114" s="256">
        <f t="shared" si="106"/>
        <v>0.36659877800407331</v>
      </c>
      <c r="AL114" s="256">
        <f t="shared" si="107"/>
        <v>0.57315997174005562</v>
      </c>
      <c r="AM114" s="256">
        <f t="shared" si="108"/>
        <v>0.42858017436521456</v>
      </c>
      <c r="AN114" s="256">
        <f t="shared" si="109"/>
        <v>0.45128362715500031</v>
      </c>
      <c r="AO114" s="256">
        <f t="shared" si="110"/>
        <v>0.37957541509161646</v>
      </c>
      <c r="AP114" s="256">
        <f t="shared" si="111"/>
        <v>0.44156185221808164</v>
      </c>
      <c r="AQ114" s="256">
        <f t="shared" si="112"/>
        <v>0.51219495463013021</v>
      </c>
    </row>
    <row r="115" spans="1:43">
      <c r="J115" s="147">
        <f t="shared" ref="J115:P115" si="117">J107/11.63</f>
        <v>0</v>
      </c>
      <c r="K115" s="147">
        <f t="shared" si="117"/>
        <v>6534.0584694754943</v>
      </c>
      <c r="L115" s="147">
        <f t="shared" si="117"/>
        <v>100.08168529664658</v>
      </c>
      <c r="M115" s="147">
        <f t="shared" si="117"/>
        <v>169.35683576956148</v>
      </c>
      <c r="N115" s="147">
        <f t="shared" si="117"/>
        <v>1011.8693035253655</v>
      </c>
      <c r="O115" s="147">
        <f t="shared" si="117"/>
        <v>465.30868443680134</v>
      </c>
      <c r="P115" s="147">
        <f t="shared" si="117"/>
        <v>8280.6749785038701</v>
      </c>
      <c r="Z115" s="169"/>
      <c r="AA115" s="207"/>
      <c r="AB115" s="207"/>
      <c r="AC115" s="186"/>
      <c r="AF115" s="207"/>
      <c r="AG115" s="207"/>
      <c r="AH115" s="207"/>
    </row>
    <row r="116" spans="1:43">
      <c r="J116" s="56"/>
      <c r="K116" s="56">
        <f>SUM(K107:M107)/SUM(K114:M114)</f>
        <v>0.63918337671989511</v>
      </c>
      <c r="L116" s="56"/>
      <c r="M116" s="56"/>
      <c r="N116" s="56">
        <f>N107/N114</f>
        <v>0.67417414234719275</v>
      </c>
      <c r="O116" s="56">
        <f>O107/O114</f>
        <v>0.7207112901056254</v>
      </c>
      <c r="Z116" s="169"/>
      <c r="AA116" s="207"/>
      <c r="AB116" s="207"/>
      <c r="AC116" s="186"/>
      <c r="AF116" s="207"/>
      <c r="AG116" s="207"/>
      <c r="AH116" s="207"/>
      <c r="AJ116" s="68"/>
    </row>
    <row r="117" spans="1:43">
      <c r="A117" s="68" t="str">
        <f>A98</f>
        <v>Dati 2023 lorda</v>
      </c>
      <c r="J117" s="68"/>
      <c r="K117" s="56">
        <f>(SUM(K126:M126)/41.868)/SUM(K151:M151)</f>
        <v>0.75232126428715285</v>
      </c>
      <c r="L117" s="56"/>
      <c r="M117" s="56"/>
      <c r="N117" s="56">
        <f>(N126/41.868)/N151</f>
        <v>0.73381518296384651</v>
      </c>
      <c r="O117" s="56">
        <f>(O126/41.868)/O151</f>
        <v>0.76543112330177665</v>
      </c>
      <c r="Z117" s="169"/>
      <c r="AA117" s="207"/>
      <c r="AB117" s="207"/>
      <c r="AC117" s="186"/>
      <c r="AF117" s="207"/>
      <c r="AG117" s="207"/>
      <c r="AH117" s="207"/>
      <c r="AJ117" s="68"/>
    </row>
    <row r="118" spans="1:43">
      <c r="A118" s="68" t="s">
        <v>532</v>
      </c>
      <c r="J118" s="180" t="s">
        <v>5</v>
      </c>
      <c r="K118" s="180" t="s">
        <v>186</v>
      </c>
      <c r="L118" s="180" t="s">
        <v>187</v>
      </c>
      <c r="M118" s="180" t="s">
        <v>190</v>
      </c>
      <c r="N118" s="180" t="s">
        <v>192</v>
      </c>
      <c r="O118" s="180" t="s">
        <v>191</v>
      </c>
      <c r="P118" s="180" t="s">
        <v>189</v>
      </c>
      <c r="R118" s="68" t="s">
        <v>210</v>
      </c>
      <c r="Z118" s="169"/>
      <c r="AA118" s="207"/>
      <c r="AB118" s="207"/>
      <c r="AC118" s="186"/>
      <c r="AF118" s="207"/>
      <c r="AG118" s="207"/>
      <c r="AH118" s="207"/>
      <c r="AJ118" s="68"/>
    </row>
    <row r="119" spans="1:43">
      <c r="A119" s="11" t="s">
        <v>16</v>
      </c>
      <c r="J119" s="179">
        <f t="shared" ref="J119:O119" si="118">SUM(J120:J124)</f>
        <v>129819.41800000001</v>
      </c>
      <c r="K119" s="179">
        <f t="shared" si="118"/>
        <v>286642.75770000002</v>
      </c>
      <c r="L119" s="179">
        <f t="shared" si="118"/>
        <v>163.90799999999999</v>
      </c>
      <c r="M119" s="179">
        <f t="shared" si="118"/>
        <v>16296.858010000002</v>
      </c>
      <c r="N119" s="179">
        <f t="shared" si="118"/>
        <v>67336.294609999997</v>
      </c>
      <c r="O119" s="179">
        <f t="shared" si="118"/>
        <v>20778.50765</v>
      </c>
      <c r="P119" s="182">
        <f t="shared" ref="P119:P124" si="119">SUM(J119:O119)</f>
        <v>521037.74397000001</v>
      </c>
      <c r="Q119" s="172"/>
      <c r="R119" s="179">
        <f t="shared" ref="R119:W119" si="120">SUM(R120:R124)</f>
        <v>12.124241789987698</v>
      </c>
      <c r="S119" s="179">
        <f t="shared" si="120"/>
        <v>16.971792116153953</v>
      </c>
      <c r="T119" s="179">
        <f t="shared" si="120"/>
        <v>2.6610775048117642E-2</v>
      </c>
      <c r="U119" s="179">
        <f t="shared" si="120"/>
        <v>1.1314301799392492</v>
      </c>
      <c r="V119" s="179">
        <f t="shared" si="120"/>
        <v>3.0287860436575942</v>
      </c>
      <c r="W119" s="179">
        <f t="shared" si="120"/>
        <v>6.9036461624657E-3</v>
      </c>
      <c r="X119" s="190">
        <f>SUM(R119:W119)</f>
        <v>33.289764550949073</v>
      </c>
      <c r="Z119" s="169"/>
      <c r="AA119" s="205"/>
      <c r="AB119" s="554"/>
      <c r="AC119" s="193"/>
      <c r="AJ119" s="68"/>
    </row>
    <row r="120" spans="1:43">
      <c r="A120" s="10" t="s">
        <v>17</v>
      </c>
      <c r="J120" s="167">
        <f t="shared" ref="J120:O124" si="121">IFERROR(J101*R101,"")</f>
        <v>0</v>
      </c>
      <c r="K120" s="167">
        <f t="shared" si="121"/>
        <v>3603.2875999999997</v>
      </c>
      <c r="L120" s="167">
        <f t="shared" si="121"/>
        <v>163.90799999999999</v>
      </c>
      <c r="M120" s="167">
        <f t="shared" si="121"/>
        <v>1846.3594600000001</v>
      </c>
      <c r="N120" s="167">
        <f t="shared" si="121"/>
        <v>5476.5044399999997</v>
      </c>
      <c r="O120" s="167">
        <f t="shared" si="121"/>
        <v>20262.813280000002</v>
      </c>
      <c r="P120" s="182">
        <f t="shared" si="119"/>
        <v>31352.872780000002</v>
      </c>
      <c r="Q120" s="172"/>
      <c r="R120" s="181">
        <f t="shared" ref="R120:W120" si="122">J120*J136/1000000</f>
        <v>0</v>
      </c>
      <c r="S120" s="181">
        <f t="shared" si="122"/>
        <v>0.21334656620181999</v>
      </c>
      <c r="T120" s="181">
        <f t="shared" si="122"/>
        <v>2.6610775048117642E-2</v>
      </c>
      <c r="U120" s="181">
        <f t="shared" si="122"/>
        <v>0.12818586348230293</v>
      </c>
      <c r="V120" s="181">
        <f t="shared" si="122"/>
        <v>0.2463331300299603</v>
      </c>
      <c r="W120" s="181">
        <f t="shared" si="122"/>
        <v>6.7323070307809619E-3</v>
      </c>
      <c r="X120" s="190">
        <f t="shared" ref="X120:X132" si="123">SUM(R120:W120)</f>
        <v>0.62120864179298185</v>
      </c>
      <c r="Z120" s="169"/>
      <c r="AA120" s="419"/>
      <c r="AB120" s="342"/>
      <c r="AC120" s="403"/>
      <c r="AJ120" s="68"/>
      <c r="AQ120" s="252"/>
    </row>
    <row r="121" spans="1:43">
      <c r="A121" s="10" t="s">
        <v>18</v>
      </c>
      <c r="J121" s="167">
        <f t="shared" si="121"/>
        <v>0</v>
      </c>
      <c r="K121" s="167">
        <f t="shared" si="121"/>
        <v>2234.8053</v>
      </c>
      <c r="L121" s="167">
        <f t="shared" si="121"/>
        <v>0</v>
      </c>
      <c r="M121" s="167">
        <f t="shared" si="121"/>
        <v>65.328310000000002</v>
      </c>
      <c r="N121" s="167">
        <f t="shared" si="121"/>
        <v>59.521280000000004</v>
      </c>
      <c r="O121" s="167">
        <f t="shared" si="121"/>
        <v>394.16737000000001</v>
      </c>
      <c r="P121" s="182">
        <f t="shared" si="119"/>
        <v>2753.8222599999999</v>
      </c>
      <c r="Q121" s="172"/>
      <c r="R121" s="181">
        <f t="shared" ref="R121:W121" si="124">J121*J136/1000000</f>
        <v>0</v>
      </c>
      <c r="S121" s="181">
        <f t="shared" si="124"/>
        <v>0.13232028353346764</v>
      </c>
      <c r="T121" s="181">
        <f t="shared" si="124"/>
        <v>0</v>
      </c>
      <c r="U121" s="181">
        <f t="shared" si="124"/>
        <v>4.5355013520441819E-3</v>
      </c>
      <c r="V121" s="181">
        <f t="shared" si="124"/>
        <v>2.677266743125233E-3</v>
      </c>
      <c r="W121" s="181">
        <f t="shared" si="124"/>
        <v>1.3096186199251404E-4</v>
      </c>
      <c r="X121" s="190">
        <f t="shared" si="123"/>
        <v>0.13966401349062957</v>
      </c>
      <c r="Z121" s="169"/>
      <c r="AA121" s="207"/>
      <c r="AB121" s="207"/>
      <c r="AC121" s="186"/>
      <c r="AF121" s="207"/>
      <c r="AG121" s="207"/>
      <c r="AH121" s="207"/>
      <c r="AJ121" s="68" t="s">
        <v>265</v>
      </c>
    </row>
    <row r="122" spans="1:43">
      <c r="A122" s="10" t="s">
        <v>19</v>
      </c>
      <c r="J122" s="167">
        <f t="shared" si="121"/>
        <v>129819.41800000001</v>
      </c>
      <c r="K122" s="167">
        <f t="shared" si="121"/>
        <v>6295.3308000000006</v>
      </c>
      <c r="L122" s="167">
        <f t="shared" si="121"/>
        <v>0</v>
      </c>
      <c r="M122" s="167">
        <f t="shared" si="121"/>
        <v>14375.684960000001</v>
      </c>
      <c r="N122" s="167">
        <f t="shared" si="121"/>
        <v>50102.855040000002</v>
      </c>
      <c r="O122" s="167">
        <f t="shared" si="121"/>
        <v>76.51700000000001</v>
      </c>
      <c r="P122" s="182">
        <f t="shared" si="119"/>
        <v>200669.8058</v>
      </c>
      <c r="Q122" s="172"/>
      <c r="R122" s="181">
        <f t="shared" ref="R122:W122" si="125">J122*J136/1000000</f>
        <v>12.124241789987698</v>
      </c>
      <c r="S122" s="181">
        <f t="shared" si="125"/>
        <v>0.37273938646600302</v>
      </c>
      <c r="T122" s="181">
        <f t="shared" si="125"/>
        <v>0</v>
      </c>
      <c r="U122" s="181">
        <f t="shared" si="125"/>
        <v>0.99805028742732227</v>
      </c>
      <c r="V122" s="181">
        <f t="shared" si="125"/>
        <v>2.2536260566677409</v>
      </c>
      <c r="W122" s="181">
        <f t="shared" si="125"/>
        <v>2.542272536177005E-5</v>
      </c>
      <c r="X122" s="190">
        <f t="shared" si="123"/>
        <v>15.748682943274126</v>
      </c>
      <c r="Z122" s="169"/>
      <c r="AA122" s="207"/>
      <c r="AB122" s="207"/>
      <c r="AC122" s="186"/>
      <c r="AF122" s="207"/>
      <c r="AG122" s="207"/>
      <c r="AH122" s="207"/>
    </row>
    <row r="123" spans="1:43">
      <c r="A123" s="10" t="s">
        <v>20</v>
      </c>
      <c r="J123" s="167">
        <f t="shared" si="121"/>
        <v>0</v>
      </c>
      <c r="K123" s="167">
        <f t="shared" si="121"/>
        <v>274509.33400000003</v>
      </c>
      <c r="L123" s="167">
        <f t="shared" si="121"/>
        <v>0</v>
      </c>
      <c r="M123" s="167">
        <f t="shared" si="121"/>
        <v>9.4852799999999995</v>
      </c>
      <c r="N123" s="167">
        <f t="shared" si="121"/>
        <v>11697.413850000001</v>
      </c>
      <c r="O123" s="167">
        <f t="shared" si="121"/>
        <v>45.010000000000005</v>
      </c>
      <c r="P123" s="182">
        <f t="shared" si="119"/>
        <v>286261.24313000008</v>
      </c>
      <c r="Q123" s="172"/>
      <c r="R123" s="181">
        <f t="shared" ref="R123:W123" si="126">J123*J136/1000000</f>
        <v>0</v>
      </c>
      <c r="S123" s="181">
        <f t="shared" si="126"/>
        <v>16.253385879952663</v>
      </c>
      <c r="T123" s="181">
        <f t="shared" si="126"/>
        <v>0</v>
      </c>
      <c r="U123" s="181">
        <f t="shared" si="126"/>
        <v>6.5852767757986744E-4</v>
      </c>
      <c r="V123" s="181">
        <f t="shared" si="126"/>
        <v>0.52614959021676777</v>
      </c>
      <c r="W123" s="181">
        <f t="shared" si="126"/>
        <v>1.4954544330452968E-5</v>
      </c>
      <c r="X123" s="190">
        <f t="shared" si="123"/>
        <v>16.780208952391341</v>
      </c>
      <c r="Z123" s="169"/>
      <c r="AA123" s="207"/>
      <c r="AB123" s="207"/>
      <c r="AC123" s="186"/>
      <c r="AF123" s="207"/>
      <c r="AG123" s="207"/>
      <c r="AH123" s="207"/>
      <c r="AJ123" s="11" t="s">
        <v>23</v>
      </c>
      <c r="AK123" s="256" t="str">
        <f t="shared" ref="AK123:AK129" si="127">IFERROR(((J107/11.63)+J144)/J151,"")</f>
        <v/>
      </c>
      <c r="AL123" s="256">
        <f t="shared" ref="AL123:AL128" si="128">IFERROR(((K107/11.63)+K144)/K151,"")</f>
        <v>0.66212192603617082</v>
      </c>
      <c r="AM123" s="256">
        <f t="shared" ref="AM123:AM129" si="129">IFERROR(((L107/11.63)+L144)/L151,"")</f>
        <v>0.51518054943547886</v>
      </c>
      <c r="AN123" s="256">
        <f t="shared" ref="AN123:AN129" si="130">IFERROR(((M107/11.63)+M144)/M151,"")</f>
        <v>0.76827797885207627</v>
      </c>
      <c r="AO123" s="256">
        <f t="shared" ref="AO123:AO129" si="131">IFERROR(((N107/11.63)+N144)/N151,"")</f>
        <v>0.54096121060248914</v>
      </c>
      <c r="AP123" s="256">
        <f t="shared" ref="AP123:AP129" si="132">IFERROR(((O107/11.63)+O144)/O151,"")</f>
        <v>0.57797103023334295</v>
      </c>
      <c r="AQ123" s="256">
        <f t="shared" ref="AQ123:AQ129" si="133">IFERROR(((P107/11.63)+P144)/P151,"")</f>
        <v>0.63927457081520378</v>
      </c>
    </row>
    <row r="124" spans="1:43">
      <c r="A124" s="10" t="s">
        <v>22</v>
      </c>
      <c r="J124" s="167">
        <f t="shared" si="121"/>
        <v>0</v>
      </c>
      <c r="K124" s="167">
        <f t="shared" si="121"/>
        <v>0</v>
      </c>
      <c r="L124" s="167">
        <f t="shared" si="121"/>
        <v>0</v>
      </c>
      <c r="M124" s="167">
        <f t="shared" si="121"/>
        <v>0</v>
      </c>
      <c r="N124" s="167">
        <f t="shared" si="121"/>
        <v>0</v>
      </c>
      <c r="O124" s="167">
        <f t="shared" si="121"/>
        <v>0</v>
      </c>
      <c r="P124" s="182">
        <f t="shared" si="119"/>
        <v>0</v>
      </c>
      <c r="Q124" s="172"/>
      <c r="R124" s="181">
        <f t="shared" ref="R124:W124" si="134">J124*J136/1000000</f>
        <v>0</v>
      </c>
      <c r="S124" s="181">
        <f t="shared" si="134"/>
        <v>0</v>
      </c>
      <c r="T124" s="181">
        <f t="shared" si="134"/>
        <v>0</v>
      </c>
      <c r="U124" s="181">
        <f t="shared" si="134"/>
        <v>0</v>
      </c>
      <c r="V124" s="181">
        <f t="shared" si="134"/>
        <v>0</v>
      </c>
      <c r="W124" s="181">
        <f t="shared" si="134"/>
        <v>0</v>
      </c>
      <c r="X124" s="190">
        <f t="shared" si="123"/>
        <v>0</v>
      </c>
      <c r="Z124" s="169"/>
      <c r="AA124" s="207"/>
      <c r="AB124" s="207"/>
      <c r="AC124" s="186"/>
      <c r="AF124" s="207"/>
      <c r="AG124" s="207"/>
      <c r="AH124" s="207"/>
      <c r="AJ124" s="10" t="s">
        <v>24</v>
      </c>
      <c r="AK124" s="56" t="str">
        <f t="shared" si="127"/>
        <v/>
      </c>
      <c r="AL124" s="56">
        <f t="shared" si="128"/>
        <v>0.72822315817487626</v>
      </c>
      <c r="AM124" s="56">
        <f t="shared" si="129"/>
        <v>0.62647631476441135</v>
      </c>
      <c r="AN124" s="56">
        <f t="shared" si="130"/>
        <v>0.75666380059092686</v>
      </c>
      <c r="AO124" s="56">
        <f t="shared" si="131"/>
        <v>0.64286869705660388</v>
      </c>
      <c r="AP124" s="56">
        <f t="shared" si="132"/>
        <v>0.57784333562917334</v>
      </c>
      <c r="AQ124" s="256">
        <f t="shared" si="133"/>
        <v>0.6750815071753854</v>
      </c>
    </row>
    <row r="125" spans="1:43">
      <c r="A125" s="10" t="s">
        <v>349</v>
      </c>
      <c r="J125" s="167"/>
      <c r="K125" s="167"/>
      <c r="L125" s="167"/>
      <c r="M125" s="167"/>
      <c r="N125" s="167"/>
      <c r="O125" s="167"/>
      <c r="P125" s="182"/>
      <c r="Q125" s="172"/>
      <c r="R125" s="181">
        <f t="shared" ref="R125:W125" si="135">J125*J136/1000000</f>
        <v>0</v>
      </c>
      <c r="S125" s="181">
        <f t="shared" si="135"/>
        <v>0</v>
      </c>
      <c r="T125" s="181">
        <f t="shared" si="135"/>
        <v>0</v>
      </c>
      <c r="U125" s="181">
        <f t="shared" si="135"/>
        <v>0</v>
      </c>
      <c r="V125" s="181">
        <f t="shared" si="135"/>
        <v>0</v>
      </c>
      <c r="W125" s="181">
        <f t="shared" si="135"/>
        <v>0</v>
      </c>
      <c r="X125" s="190">
        <f t="shared" si="123"/>
        <v>0</v>
      </c>
      <c r="Z125" s="169"/>
      <c r="AA125" s="207"/>
      <c r="AB125" s="403"/>
      <c r="AC125" s="186"/>
      <c r="AJ125" s="10" t="s">
        <v>25</v>
      </c>
      <c r="AK125" s="56" t="str">
        <f t="shared" si="127"/>
        <v/>
      </c>
      <c r="AL125" s="56">
        <f t="shared" si="128"/>
        <v>0.79210148439845374</v>
      </c>
      <c r="AM125" s="56" t="str">
        <f t="shared" si="129"/>
        <v/>
      </c>
      <c r="AN125" s="56">
        <f t="shared" si="130"/>
        <v>0.83752652656460658</v>
      </c>
      <c r="AO125" s="56">
        <f t="shared" si="131"/>
        <v>0.60063771861391524</v>
      </c>
      <c r="AP125" s="56">
        <f t="shared" si="132"/>
        <v>0.6577448538540468</v>
      </c>
      <c r="AQ125" s="256">
        <f t="shared" si="133"/>
        <v>0.79291992433344138</v>
      </c>
    </row>
    <row r="126" spans="1:43">
      <c r="A126" s="11" t="s">
        <v>23</v>
      </c>
      <c r="J126" s="179">
        <f t="shared" ref="J126:O126" si="136">SUM(J127:J131)</f>
        <v>0</v>
      </c>
      <c r="K126" s="179">
        <f t="shared" si="136"/>
        <v>460707.75720000011</v>
      </c>
      <c r="L126" s="179">
        <f t="shared" si="136"/>
        <v>9759.2295000000013</v>
      </c>
      <c r="M126" s="179">
        <f t="shared" si="136"/>
        <v>12599.91381</v>
      </c>
      <c r="N126" s="179">
        <f t="shared" si="136"/>
        <v>98216.48225999999</v>
      </c>
      <c r="O126" s="179">
        <f t="shared" si="136"/>
        <v>40438.275150000001</v>
      </c>
      <c r="P126" s="266">
        <f t="shared" ref="P126:P131" si="137">SUM(J126:O126)</f>
        <v>621721.65792000014</v>
      </c>
      <c r="Q126" s="172"/>
      <c r="R126" s="179">
        <f t="shared" ref="R126:W126" si="138">SUM(R127:R131)</f>
        <v>0</v>
      </c>
      <c r="S126" s="179">
        <f t="shared" si="138"/>
        <v>27.277983034482688</v>
      </c>
      <c r="T126" s="179">
        <f t="shared" si="138"/>
        <v>1.5844294413174076</v>
      </c>
      <c r="U126" s="179">
        <f t="shared" si="138"/>
        <v>0.87476510751457004</v>
      </c>
      <c r="V126" s="179">
        <f t="shared" si="138"/>
        <v>4.4177766604052771</v>
      </c>
      <c r="W126" s="179">
        <f t="shared" si="138"/>
        <v>1.3435591610258377E-2</v>
      </c>
      <c r="X126" s="190">
        <f t="shared" si="123"/>
        <v>34.168389835330203</v>
      </c>
      <c r="Z126" s="169"/>
      <c r="AA126" s="207"/>
      <c r="AB126" s="403"/>
      <c r="AC126" s="186"/>
      <c r="AJ126" s="10" t="s">
        <v>26</v>
      </c>
      <c r="AK126" s="56" t="str">
        <f t="shared" si="127"/>
        <v/>
      </c>
      <c r="AL126" s="56">
        <f t="shared" si="128"/>
        <v>0.62815807991351669</v>
      </c>
      <c r="AM126" s="56">
        <f t="shared" si="129"/>
        <v>0.52613113583947968</v>
      </c>
      <c r="AN126" s="56">
        <f t="shared" si="130"/>
        <v>0.72412529630849132</v>
      </c>
      <c r="AO126" s="56">
        <f t="shared" si="131"/>
        <v>0.63500054128287664</v>
      </c>
      <c r="AP126" s="56">
        <f t="shared" si="132"/>
        <v>0.58114072803839256</v>
      </c>
      <c r="AQ126" s="256">
        <f t="shared" si="133"/>
        <v>0.63156310740369481</v>
      </c>
    </row>
    <row r="127" spans="1:43">
      <c r="A127" s="10" t="s">
        <v>24</v>
      </c>
      <c r="J127" s="167">
        <f t="shared" ref="J127:J132" si="139">IFERROR(J108*R108,"")</f>
        <v>0</v>
      </c>
      <c r="K127" s="167">
        <f t="shared" ref="K127:K132" si="140">IFERROR(K108*S108,"")</f>
        <v>69528.398400000005</v>
      </c>
      <c r="L127" s="167">
        <f t="shared" ref="L127:L132" si="141">IFERROR(L108*T108,"")</f>
        <v>1048.35645</v>
      </c>
      <c r="M127" s="167">
        <f t="shared" ref="M127:M132" si="142">IFERROR(M108*U108,"")</f>
        <v>51.8172</v>
      </c>
      <c r="N127" s="167">
        <f t="shared" ref="N127:N132" si="143">IFERROR(N108*V108,"")</f>
        <v>8365.1930599999996</v>
      </c>
      <c r="O127" s="181">
        <f t="shared" ref="O127:O132" si="144">IFERROR(O108*W108,"")</f>
        <v>40130.850050000001</v>
      </c>
      <c r="P127" s="182">
        <f t="shared" si="137"/>
        <v>119124.61516000002</v>
      </c>
      <c r="Q127" s="172"/>
      <c r="R127" s="181">
        <f t="shared" ref="R127:W127" si="145">J127*J136/1000000</f>
        <v>0</v>
      </c>
      <c r="S127" s="181">
        <f t="shared" si="145"/>
        <v>4.1166974992926226</v>
      </c>
      <c r="T127" s="181">
        <f t="shared" si="145"/>
        <v>0.17020266040213528</v>
      </c>
      <c r="U127" s="181">
        <f t="shared" si="145"/>
        <v>3.5974752853570493E-3</v>
      </c>
      <c r="V127" s="181">
        <f t="shared" si="145"/>
        <v>0.37626632322691989</v>
      </c>
      <c r="W127" s="181">
        <f t="shared" si="145"/>
        <v>1.3333449813185639E-2</v>
      </c>
      <c r="X127" s="190">
        <f t="shared" si="123"/>
        <v>4.6800974080202211</v>
      </c>
      <c r="Z127" s="169"/>
      <c r="AA127" s="207"/>
      <c r="AB127" s="403"/>
      <c r="AC127" s="186"/>
      <c r="AJ127" s="10" t="s">
        <v>27</v>
      </c>
      <c r="AK127" s="56" t="str">
        <f t="shared" si="127"/>
        <v/>
      </c>
      <c r="AL127" s="56">
        <f t="shared" si="128"/>
        <v>0.83979768631497576</v>
      </c>
      <c r="AM127" s="56" t="str">
        <f t="shared" si="129"/>
        <v/>
      </c>
      <c r="AN127" s="56">
        <f t="shared" si="130"/>
        <v>0.87341201673028412</v>
      </c>
      <c r="AO127" s="56">
        <f t="shared" si="131"/>
        <v>0.7044793743739185</v>
      </c>
      <c r="AP127" s="56" t="str">
        <f t="shared" si="132"/>
        <v/>
      </c>
      <c r="AQ127" s="256">
        <f t="shared" si="133"/>
        <v>0.7878020997228149</v>
      </c>
    </row>
    <row r="128" spans="1:43">
      <c r="A128" s="10" t="s">
        <v>25</v>
      </c>
      <c r="J128" s="167">
        <f t="shared" si="139"/>
        <v>0</v>
      </c>
      <c r="K128" s="167">
        <f t="shared" si="140"/>
        <v>27998.605800000001</v>
      </c>
      <c r="L128" s="167">
        <f t="shared" si="141"/>
        <v>0</v>
      </c>
      <c r="M128" s="167">
        <f t="shared" si="142"/>
        <v>1055.04</v>
      </c>
      <c r="N128" s="167">
        <f t="shared" si="143"/>
        <v>208.39714000000001</v>
      </c>
      <c r="O128" s="167">
        <f t="shared" si="144"/>
        <v>55.4328</v>
      </c>
      <c r="P128" s="182">
        <f t="shared" si="137"/>
        <v>29317.475740000002</v>
      </c>
      <c r="Q128" s="172"/>
      <c r="R128" s="181">
        <f t="shared" ref="R128:W128" si="146">J128*J136/1000000</f>
        <v>0</v>
      </c>
      <c r="S128" s="181">
        <f t="shared" si="146"/>
        <v>1.6577656487559753</v>
      </c>
      <c r="T128" s="181">
        <f t="shared" si="146"/>
        <v>0</v>
      </c>
      <c r="U128" s="181">
        <f t="shared" si="146"/>
        <v>7.3247499383662207E-2</v>
      </c>
      <c r="V128" s="181">
        <f t="shared" si="146"/>
        <v>9.3737018472118423E-3</v>
      </c>
      <c r="W128" s="181">
        <f t="shared" si="146"/>
        <v>1.8417513107334663E-5</v>
      </c>
      <c r="X128" s="190">
        <f t="shared" si="123"/>
        <v>1.7404052674999566</v>
      </c>
      <c r="Z128" s="169"/>
      <c r="AA128" s="207"/>
      <c r="AB128" s="207"/>
      <c r="AC128" s="186"/>
      <c r="AJ128" s="10" t="s">
        <v>28</v>
      </c>
      <c r="AK128" s="56" t="str">
        <f t="shared" si="127"/>
        <v/>
      </c>
      <c r="AL128" s="56">
        <f t="shared" si="128"/>
        <v>0.49643956023841629</v>
      </c>
      <c r="AM128" s="56">
        <f t="shared" si="129"/>
        <v>0.46779674898755175</v>
      </c>
      <c r="AN128" s="56">
        <f t="shared" si="130"/>
        <v>0.80626560229342847</v>
      </c>
      <c r="AO128" s="56">
        <f t="shared" si="131"/>
        <v>0.41718777160939491</v>
      </c>
      <c r="AP128" s="56">
        <f t="shared" si="132"/>
        <v>0.4514187446541702</v>
      </c>
      <c r="AQ128" s="256">
        <f t="shared" si="133"/>
        <v>0.45354771914976677</v>
      </c>
    </row>
    <row r="129" spans="1:43">
      <c r="A129" s="10" t="s">
        <v>26</v>
      </c>
      <c r="J129" s="167">
        <f t="shared" si="139"/>
        <v>0</v>
      </c>
      <c r="K129" s="167">
        <f t="shared" si="140"/>
        <v>352553.27800000005</v>
      </c>
      <c r="L129" s="167">
        <f t="shared" si="141"/>
        <v>4651.6397999999999</v>
      </c>
      <c r="M129" s="167">
        <f t="shared" si="142"/>
        <v>9555.34476</v>
      </c>
      <c r="N129" s="167">
        <f t="shared" si="143"/>
        <v>38390.871359999997</v>
      </c>
      <c r="O129" s="167">
        <f t="shared" si="144"/>
        <v>237.74949999999998</v>
      </c>
      <c r="P129" s="182">
        <f t="shared" si="137"/>
        <v>405388.88342000003</v>
      </c>
      <c r="Q129" s="172"/>
      <c r="R129" s="181">
        <f t="shared" ref="R129:W129" si="147">J129*J136/1000000</f>
        <v>0</v>
      </c>
      <c r="S129" s="181">
        <f t="shared" si="147"/>
        <v>20.87427916231157</v>
      </c>
      <c r="T129" s="181">
        <f t="shared" si="147"/>
        <v>0.75520255462009755</v>
      </c>
      <c r="U129" s="181">
        <f t="shared" si="147"/>
        <v>0.66339201302204642</v>
      </c>
      <c r="V129" s="181">
        <f t="shared" si="147"/>
        <v>1.7268211156031417</v>
      </c>
      <c r="W129" s="181">
        <f t="shared" si="147"/>
        <v>7.8992122579271879E-5</v>
      </c>
      <c r="X129" s="190">
        <f t="shared" si="123"/>
        <v>24.019773837679434</v>
      </c>
      <c r="Z129" s="169"/>
      <c r="AA129" s="408"/>
      <c r="AB129" s="342"/>
      <c r="AC129" s="186"/>
      <c r="AJ129" s="10" t="s">
        <v>351</v>
      </c>
      <c r="AK129" s="56" t="str">
        <f t="shared" si="127"/>
        <v/>
      </c>
      <c r="AL129" s="56" t="str">
        <f>IFERROR(((K113/11.63)+K150)/K157,"")</f>
        <v/>
      </c>
      <c r="AM129" s="56" t="str">
        <f t="shared" si="129"/>
        <v/>
      </c>
      <c r="AN129" s="56" t="str">
        <f t="shared" si="130"/>
        <v/>
      </c>
      <c r="AO129" s="56" t="str">
        <f t="shared" si="131"/>
        <v/>
      </c>
      <c r="AP129" s="56" t="str">
        <f t="shared" si="132"/>
        <v/>
      </c>
      <c r="AQ129" s="256" t="str">
        <f t="shared" si="133"/>
        <v/>
      </c>
    </row>
    <row r="130" spans="1:43">
      <c r="A130" s="10" t="s">
        <v>27</v>
      </c>
      <c r="J130" s="167">
        <f t="shared" si="139"/>
        <v>0</v>
      </c>
      <c r="K130" s="167">
        <f t="shared" si="140"/>
        <v>1820.2</v>
      </c>
      <c r="L130" s="167">
        <f t="shared" si="141"/>
        <v>0</v>
      </c>
      <c r="M130" s="167">
        <f t="shared" si="142"/>
        <v>747.7586</v>
      </c>
      <c r="N130" s="167">
        <f t="shared" si="143"/>
        <v>4274.3629499999997</v>
      </c>
      <c r="O130" s="167">
        <f t="shared" si="144"/>
        <v>0</v>
      </c>
      <c r="P130" s="182">
        <f t="shared" si="137"/>
        <v>6842.3215499999997</v>
      </c>
      <c r="Q130" s="172"/>
      <c r="R130" s="181">
        <f t="shared" ref="R130:W130" si="148">J130*J136/1000000</f>
        <v>0</v>
      </c>
      <c r="S130" s="181">
        <f t="shared" si="148"/>
        <v>0.1077719746268804</v>
      </c>
      <c r="T130" s="181">
        <f t="shared" si="148"/>
        <v>0</v>
      </c>
      <c r="U130" s="181">
        <f t="shared" si="148"/>
        <v>5.19140957618935E-2</v>
      </c>
      <c r="V130" s="181">
        <f t="shared" si="148"/>
        <v>0.19226081452014576</v>
      </c>
      <c r="W130" s="181">
        <f t="shared" si="148"/>
        <v>0</v>
      </c>
      <c r="X130" s="190">
        <f t="shared" si="123"/>
        <v>0.35194688490891968</v>
      </c>
      <c r="Z130" s="169"/>
      <c r="AA130" s="207"/>
      <c r="AB130" s="207"/>
      <c r="AC130" s="186"/>
      <c r="AF130" s="185"/>
      <c r="AG130" s="207"/>
      <c r="AH130" s="207"/>
      <c r="AJ130" s="275" t="s">
        <v>266</v>
      </c>
      <c r="AK130" s="274">
        <f t="shared" ref="AK130:AQ130" si="149">IFERROR(((J114/11.63)+J144)/(J151+J119/41.868),"")</f>
        <v>0.36659877800407331</v>
      </c>
      <c r="AL130" s="274">
        <f t="shared" si="149"/>
        <v>0.62251928206178808</v>
      </c>
      <c r="AM130" s="274">
        <f t="shared" si="149"/>
        <v>0.51337940751038191</v>
      </c>
      <c r="AN130" s="274">
        <f t="shared" si="149"/>
        <v>0.63444198433075072</v>
      </c>
      <c r="AO130" s="274">
        <f t="shared" si="149"/>
        <v>0.46167146992266483</v>
      </c>
      <c r="AP130" s="274">
        <f t="shared" si="149"/>
        <v>0.51738183795319848</v>
      </c>
      <c r="AQ130" s="274">
        <f t="shared" si="149"/>
        <v>0.56929020075568548</v>
      </c>
    </row>
    <row r="131" spans="1:43">
      <c r="A131" s="10" t="s">
        <v>28</v>
      </c>
      <c r="J131" s="167">
        <f t="shared" si="139"/>
        <v>0</v>
      </c>
      <c r="K131" s="167">
        <f t="shared" si="140"/>
        <v>8807.2749999999996</v>
      </c>
      <c r="L131" s="167">
        <f t="shared" si="141"/>
        <v>4059.2332500000002</v>
      </c>
      <c r="M131" s="167">
        <f t="shared" si="142"/>
        <v>1189.95325</v>
      </c>
      <c r="N131" s="167">
        <f t="shared" si="143"/>
        <v>46977.657749999998</v>
      </c>
      <c r="O131" s="167">
        <f t="shared" si="144"/>
        <v>14.242799999999999</v>
      </c>
      <c r="P131" s="182">
        <f t="shared" si="137"/>
        <v>61048.362049999996</v>
      </c>
      <c r="Q131" s="172"/>
      <c r="R131" s="181">
        <f t="shared" ref="R131:W131" si="150">J131*J136/1000000</f>
        <v>0</v>
      </c>
      <c r="S131" s="181">
        <f t="shared" si="150"/>
        <v>0.52146874949563671</v>
      </c>
      <c r="T131" s="181">
        <f t="shared" si="150"/>
        <v>0.65902422629517465</v>
      </c>
      <c r="U131" s="181">
        <f t="shared" si="150"/>
        <v>8.261402406161078E-2</v>
      </c>
      <c r="V131" s="181">
        <f t="shared" si="150"/>
        <v>2.1130547052078579</v>
      </c>
      <c r="W131" s="181">
        <f t="shared" si="150"/>
        <v>4.732161386131427E-6</v>
      </c>
      <c r="X131" s="190">
        <f t="shared" si="123"/>
        <v>3.3761664372216664</v>
      </c>
      <c r="Z131" s="169"/>
      <c r="AA131" s="207"/>
      <c r="AB131" s="207"/>
      <c r="AC131" s="186"/>
      <c r="AF131" s="185"/>
      <c r="AG131" s="207"/>
      <c r="AH131" s="207"/>
    </row>
    <row r="132" spans="1:43">
      <c r="A132" s="10" t="s">
        <v>351</v>
      </c>
      <c r="J132" s="167">
        <f t="shared" si="139"/>
        <v>0</v>
      </c>
      <c r="K132" s="167">
        <f t="shared" si="140"/>
        <v>0.63850000000000007</v>
      </c>
      <c r="L132" s="167">
        <f t="shared" si="141"/>
        <v>0</v>
      </c>
      <c r="M132" s="167">
        <f t="shared" si="142"/>
        <v>0</v>
      </c>
      <c r="N132" s="167">
        <f t="shared" si="143"/>
        <v>0</v>
      </c>
      <c r="O132" s="167">
        <f t="shared" si="144"/>
        <v>0</v>
      </c>
      <c r="P132" s="182">
        <f>SUM(J132:O132)</f>
        <v>0.63850000000000007</v>
      </c>
      <c r="Q132" s="172"/>
      <c r="R132" s="181">
        <f t="shared" ref="R132:W132" si="151">J132*J136/1000000</f>
        <v>0</v>
      </c>
      <c r="S132" s="181">
        <f t="shared" si="151"/>
        <v>3.7804859795222031E-5</v>
      </c>
      <c r="T132" s="181">
        <f t="shared" si="151"/>
        <v>0</v>
      </c>
      <c r="U132" s="181">
        <f t="shared" si="151"/>
        <v>0</v>
      </c>
      <c r="V132" s="181">
        <f t="shared" si="151"/>
        <v>0</v>
      </c>
      <c r="W132" s="181">
        <f t="shared" si="151"/>
        <v>0</v>
      </c>
      <c r="X132" s="190">
        <f t="shared" si="123"/>
        <v>3.7804859795222031E-5</v>
      </c>
      <c r="Z132" s="169"/>
      <c r="AA132" s="207"/>
      <c r="AB132" s="207"/>
      <c r="AC132" s="189"/>
      <c r="AF132" s="185"/>
      <c r="AG132" s="207"/>
      <c r="AH132" s="207"/>
    </row>
    <row r="133" spans="1:43">
      <c r="A133" s="11" t="s">
        <v>9</v>
      </c>
      <c r="J133" s="182">
        <f t="shared" ref="J133:P133" si="152">J119+J126</f>
        <v>129819.41800000001</v>
      </c>
      <c r="K133" s="182">
        <f t="shared" si="152"/>
        <v>747350.51490000007</v>
      </c>
      <c r="L133" s="182">
        <f t="shared" si="152"/>
        <v>9923.1375000000007</v>
      </c>
      <c r="M133" s="182">
        <f t="shared" si="152"/>
        <v>28896.771820000002</v>
      </c>
      <c r="N133" s="182">
        <f t="shared" si="152"/>
        <v>165552.77687</v>
      </c>
      <c r="O133" s="182">
        <f t="shared" si="152"/>
        <v>61216.782800000001</v>
      </c>
      <c r="P133" s="182">
        <f t="shared" si="152"/>
        <v>1142759.4018900001</v>
      </c>
      <c r="Q133" s="172"/>
      <c r="R133" s="199">
        <f t="shared" ref="R133:W133" si="153">R119+R126</f>
        <v>12.124241789987698</v>
      </c>
      <c r="S133" s="199">
        <f t="shared" si="153"/>
        <v>44.249775150636637</v>
      </c>
      <c r="T133" s="199">
        <f t="shared" si="153"/>
        <v>1.6110402163655253</v>
      </c>
      <c r="U133" s="199">
        <f t="shared" si="153"/>
        <v>2.0061952874538194</v>
      </c>
      <c r="V133" s="199">
        <f t="shared" si="153"/>
        <v>7.4465627040628712</v>
      </c>
      <c r="W133" s="199">
        <f t="shared" si="153"/>
        <v>2.0339237772724075E-2</v>
      </c>
      <c r="X133" s="199">
        <f>X119+X126</f>
        <v>67.458154386279276</v>
      </c>
      <c r="Z133" s="169"/>
      <c r="AA133" s="207"/>
      <c r="AB133" s="207"/>
      <c r="AC133" s="186"/>
      <c r="AF133" s="185"/>
      <c r="AG133" s="207"/>
      <c r="AH133" s="207"/>
    </row>
    <row r="134" spans="1:43">
      <c r="E134" s="68" t="s">
        <v>176</v>
      </c>
      <c r="F134" s="68"/>
      <c r="G134" s="68"/>
      <c r="H134" s="68"/>
      <c r="I134" s="68"/>
      <c r="J134" s="321">
        <f>J133/41.868</f>
        <v>3100.6835291869684</v>
      </c>
      <c r="K134" s="321">
        <f t="shared" ref="K134:P134" si="154">K133/41.868</f>
        <v>17850.160382631126</v>
      </c>
      <c r="L134" s="321">
        <f t="shared" si="154"/>
        <v>237.01006735454285</v>
      </c>
      <c r="M134" s="321">
        <f t="shared" si="154"/>
        <v>690.1875374988058</v>
      </c>
      <c r="N134" s="321">
        <f t="shared" si="154"/>
        <v>3954.1601430686919</v>
      </c>
      <c r="O134" s="321">
        <f t="shared" si="154"/>
        <v>1462.1377376516671</v>
      </c>
      <c r="P134" s="321">
        <f t="shared" si="154"/>
        <v>27294.339397391803</v>
      </c>
      <c r="R134" s="197">
        <v>12.1242417899877</v>
      </c>
      <c r="S134" s="197">
        <v>44.249775150636637</v>
      </c>
      <c r="T134" s="197">
        <v>1.6110402163655244</v>
      </c>
      <c r="U134" s="197">
        <v>2.0061952874538203</v>
      </c>
      <c r="V134" s="197">
        <v>7.4465627040628721</v>
      </c>
      <c r="W134" s="197">
        <v>2.0339237772724072E-2</v>
      </c>
      <c r="X134" s="197">
        <v>67.458154386279276</v>
      </c>
      <c r="Z134" s="169"/>
      <c r="AA134" s="207"/>
      <c r="AB134" s="207"/>
      <c r="AC134" s="186"/>
      <c r="AF134" s="185"/>
      <c r="AG134" s="207"/>
      <c r="AH134" s="207"/>
    </row>
    <row r="135" spans="1:43">
      <c r="A135" s="652" t="s">
        <v>469</v>
      </c>
      <c r="E135" s="68" t="s">
        <v>176</v>
      </c>
      <c r="J135" s="321">
        <f>(J119)/41.868+J151</f>
        <v>3100.6835291869684</v>
      </c>
      <c r="K135" s="321">
        <f t="shared" ref="K135:P135" si="155">(K119)/41.868+K151</f>
        <v>21114.144647463458</v>
      </c>
      <c r="L135" s="321">
        <f t="shared" si="155"/>
        <v>289.114875322442</v>
      </c>
      <c r="M135" s="321">
        <f t="shared" si="155"/>
        <v>1172.5837663609441</v>
      </c>
      <c r="N135" s="321">
        <f t="shared" si="155"/>
        <v>4805.0997661698675</v>
      </c>
      <c r="O135" s="321">
        <f t="shared" si="155"/>
        <v>1758.1261290245532</v>
      </c>
      <c r="P135" s="321">
        <f t="shared" si="155"/>
        <v>32239.752713528229</v>
      </c>
      <c r="T135" s="197"/>
      <c r="U135" s="198"/>
      <c r="Z135" s="169"/>
      <c r="AA135" s="207"/>
      <c r="AB135" s="207"/>
      <c r="AC135" s="186"/>
      <c r="AF135" s="185"/>
      <c r="AG135" s="207"/>
      <c r="AH135" s="207"/>
    </row>
    <row r="136" spans="1:43">
      <c r="A136" s="183" t="s">
        <v>193</v>
      </c>
      <c r="J136" s="168">
        <f>95+J137</f>
        <v>93.393130063082694</v>
      </c>
      <c r="K136" s="185">
        <f>56+K137</f>
        <v>59.208864205516093</v>
      </c>
      <c r="L136" s="147">
        <f>177+L137</f>
        <v>162.35189891962347</v>
      </c>
      <c r="M136" s="168">
        <f>68+M137</f>
        <v>69.426277092491475</v>
      </c>
      <c r="N136" s="168">
        <f>36+N137</f>
        <v>44.979992754275997</v>
      </c>
      <c r="O136" s="168">
        <f>1+O137</f>
        <v>0.33224937414914391</v>
      </c>
      <c r="P136" s="317">
        <f>P126/41.868</f>
        <v>14849.566683863573</v>
      </c>
      <c r="Q136" s="90">
        <f>P136-'5-x'!$AC$82</f>
        <v>0</v>
      </c>
      <c r="Z136" s="169"/>
      <c r="AA136" s="207"/>
      <c r="AB136" s="207"/>
      <c r="AC136" s="186"/>
      <c r="AF136" s="185"/>
      <c r="AG136" s="207"/>
      <c r="AH136" s="207"/>
    </row>
    <row r="137" spans="1:43">
      <c r="A137" s="453" t="s">
        <v>376</v>
      </c>
      <c r="B137" s="452"/>
      <c r="C137" s="452"/>
      <c r="D137" s="452"/>
      <c r="E137" s="452"/>
      <c r="F137" s="452"/>
      <c r="G137" s="452"/>
      <c r="H137" s="452"/>
      <c r="I137" s="452"/>
      <c r="J137" s="506">
        <v>-1.6068699369173025</v>
      </c>
      <c r="K137" s="506">
        <v>3.2088642055160945</v>
      </c>
      <c r="L137" s="506">
        <v>-14.648101080376534</v>
      </c>
      <c r="M137" s="506">
        <v>1.4262770924914709</v>
      </c>
      <c r="N137" s="506">
        <v>8.979992754276001</v>
      </c>
      <c r="O137" s="506">
        <v>-0.66775062585085609</v>
      </c>
      <c r="P137" s="318">
        <f>P119/41.868</f>
        <v>12444.772713528231</v>
      </c>
      <c r="Q137" s="90">
        <f>P137-'5-x'!$AC$83</f>
        <v>0</v>
      </c>
      <c r="R137" s="455">
        <f>R133-R134</f>
        <v>0</v>
      </c>
      <c r="S137" s="455">
        <f>S133-S134</f>
        <v>0</v>
      </c>
      <c r="T137" s="455">
        <f>T133-SUM(T134:T135)</f>
        <v>0</v>
      </c>
      <c r="U137" s="455">
        <f>U133-U134</f>
        <v>0</v>
      </c>
      <c r="V137" s="455">
        <f>V133-V134</f>
        <v>0</v>
      </c>
      <c r="W137" s="455">
        <f>W133-W134</f>
        <v>0</v>
      </c>
      <c r="X137" s="222">
        <f>X133-X134</f>
        <v>0</v>
      </c>
      <c r="AA137" s="419"/>
      <c r="AB137" s="342"/>
      <c r="AC137" s="403"/>
    </row>
    <row r="138" spans="1:43">
      <c r="J138" s="168">
        <f t="shared" ref="J138:O138" si="156">J228</f>
        <v>93.23114491978842</v>
      </c>
      <c r="K138" s="168">
        <f t="shared" si="156"/>
        <v>58.919954755120884</v>
      </c>
      <c r="L138" s="168">
        <f t="shared" si="156"/>
        <v>175.91858667767531</v>
      </c>
      <c r="M138" s="168">
        <f t="shared" si="156"/>
        <v>70.867843451026062</v>
      </c>
      <c r="N138" s="168">
        <f t="shared" si="156"/>
        <v>42.793619643509075</v>
      </c>
      <c r="O138" s="168">
        <f t="shared" si="156"/>
        <v>0.45308345617924284</v>
      </c>
      <c r="P138" s="319">
        <f>P151-P136</f>
        <v>4945.4133161364261</v>
      </c>
      <c r="Q138" s="90">
        <f>P138-'5-x'!$AC$84</f>
        <v>0</v>
      </c>
      <c r="Z138" s="169"/>
      <c r="AA138" s="207"/>
      <c r="AB138" s="554"/>
      <c r="AC138" s="186"/>
    </row>
    <row r="139" spans="1:43">
      <c r="J139" s="168">
        <f t="shared" ref="J139:O139" si="157">J126/41.868</f>
        <v>0</v>
      </c>
      <c r="K139" s="168">
        <f t="shared" si="157"/>
        <v>11003.815735167673</v>
      </c>
      <c r="L139" s="168">
        <f t="shared" si="157"/>
        <v>233.0951920321009</v>
      </c>
      <c r="M139" s="168">
        <f t="shared" si="157"/>
        <v>300.94377113786186</v>
      </c>
      <c r="N139" s="168">
        <f t="shared" si="157"/>
        <v>2345.8603768988246</v>
      </c>
      <c r="O139" s="168">
        <f t="shared" si="157"/>
        <v>965.85160862711382</v>
      </c>
      <c r="P139" s="320">
        <f>SUM(P136:P138)</f>
        <v>32239.752713528233</v>
      </c>
      <c r="Q139" s="320"/>
      <c r="Z139" s="169"/>
      <c r="AA139" s="207"/>
      <c r="AB139" s="207"/>
      <c r="AC139" s="186"/>
    </row>
    <row r="140" spans="1:43">
      <c r="J140" s="168" t="str">
        <f t="shared" ref="J140:O140" si="158">IFERROR(J151-(J144/J141),"")</f>
        <v/>
      </c>
      <c r="K140" s="168">
        <f t="shared" si="158"/>
        <v>11003.815735167673</v>
      </c>
      <c r="L140" s="168">
        <f t="shared" si="158"/>
        <v>233.0951920321009</v>
      </c>
      <c r="M140" s="168">
        <f t="shared" si="158"/>
        <v>300.94377113786186</v>
      </c>
      <c r="N140" s="168">
        <f t="shared" si="158"/>
        <v>2345.8603768988246</v>
      </c>
      <c r="O140" s="168">
        <f t="shared" si="158"/>
        <v>965.85160862711382</v>
      </c>
      <c r="P140" s="168"/>
      <c r="Z140" s="169"/>
      <c r="AA140" s="207"/>
      <c r="AB140" s="207"/>
      <c r="AC140" s="186"/>
    </row>
    <row r="141" spans="1:43">
      <c r="A141" s="241" t="s">
        <v>374</v>
      </c>
      <c r="I141" s="500"/>
      <c r="J141" s="500" t="str">
        <f t="shared" ref="J141:P141" si="159">IFERROR(J144/(J151-J126/41.868),"")</f>
        <v/>
      </c>
      <c r="K141" s="500">
        <f t="shared" si="159"/>
        <v>0.89245673706488438</v>
      </c>
      <c r="L141" s="500">
        <f t="shared" si="159"/>
        <v>0.89910718855761074</v>
      </c>
      <c r="M141" s="500">
        <f t="shared" si="159"/>
        <v>0.89649547469413671</v>
      </c>
      <c r="N141" s="500">
        <f t="shared" si="159"/>
        <v>0.84315675877672125</v>
      </c>
      <c r="O141" s="500">
        <f t="shared" si="159"/>
        <v>0.89192106193196952</v>
      </c>
      <c r="P141" s="500">
        <f t="shared" si="159"/>
        <v>0.88440582934100209</v>
      </c>
      <c r="Z141" s="169"/>
      <c r="AA141" s="207"/>
      <c r="AB141" s="207"/>
      <c r="AC141" s="186"/>
    </row>
    <row r="142" spans="1:43">
      <c r="A142" s="68" t="s">
        <v>252</v>
      </c>
      <c r="J142" s="168"/>
      <c r="K142" s="168"/>
      <c r="L142" s="500">
        <f>IFERROR(SUM(K144:M144)/(SUM(K151:M151)-SUM(K126:M126)/41.868),"")</f>
        <v>0.89306087058585315</v>
      </c>
      <c r="P142" s="426"/>
      <c r="R142" s="191" t="s">
        <v>397</v>
      </c>
      <c r="S142" s="165"/>
      <c r="T142" s="165"/>
      <c r="U142" s="165"/>
      <c r="V142" s="165"/>
      <c r="W142" s="165"/>
      <c r="X142" s="165"/>
      <c r="Z142" s="169"/>
      <c r="AA142" s="207"/>
      <c r="AB142" s="207"/>
      <c r="AC142" s="186"/>
    </row>
    <row r="143" spans="1:43">
      <c r="A143" s="68" t="str">
        <f>A98</f>
        <v>Dati 2023 lorda</v>
      </c>
      <c r="J143" s="180" t="s">
        <v>5</v>
      </c>
      <c r="K143" s="180" t="s">
        <v>186</v>
      </c>
      <c r="L143" s="180" t="s">
        <v>187</v>
      </c>
      <c r="M143" s="180" t="s">
        <v>190</v>
      </c>
      <c r="N143" s="180" t="s">
        <v>192</v>
      </c>
      <c r="O143" s="180" t="s">
        <v>191</v>
      </c>
      <c r="P143" s="180" t="s">
        <v>189</v>
      </c>
      <c r="R143" s="191" t="s">
        <v>5</v>
      </c>
      <c r="S143" s="191" t="s">
        <v>186</v>
      </c>
      <c r="T143" s="191" t="s">
        <v>187</v>
      </c>
      <c r="U143" s="191" t="s">
        <v>190</v>
      </c>
      <c r="V143" s="191" t="s">
        <v>192</v>
      </c>
      <c r="W143" s="191" t="s">
        <v>191</v>
      </c>
      <c r="X143" s="191" t="s">
        <v>189</v>
      </c>
      <c r="AA143" s="180" t="s">
        <v>5</v>
      </c>
      <c r="AB143" s="180" t="s">
        <v>186</v>
      </c>
      <c r="AC143" s="180" t="s">
        <v>187</v>
      </c>
      <c r="AD143" s="180" t="s">
        <v>190</v>
      </c>
      <c r="AE143" s="180" t="s">
        <v>192</v>
      </c>
      <c r="AF143" s="180" t="s">
        <v>191</v>
      </c>
      <c r="AG143" s="180" t="s">
        <v>189</v>
      </c>
    </row>
    <row r="144" spans="1:43">
      <c r="A144" s="193" t="s">
        <v>251</v>
      </c>
      <c r="J144" s="179">
        <f t="shared" ref="J144:O144" si="160">SUM(J145:J150)</f>
        <v>0</v>
      </c>
      <c r="K144" s="179">
        <f t="shared" si="160"/>
        <v>2912.9647468233834</v>
      </c>
      <c r="L144" s="179">
        <f t="shared" si="160"/>
        <v>46.847807402351997</v>
      </c>
      <c r="M144" s="179">
        <f t="shared" si="160"/>
        <v>432.46603618442396</v>
      </c>
      <c r="N144" s="179">
        <f t="shared" si="160"/>
        <v>717.47549452867202</v>
      </c>
      <c r="O144" s="179">
        <f t="shared" si="160"/>
        <v>263.99828035283997</v>
      </c>
      <c r="P144" s="266">
        <f>SUM(J144:O144)</f>
        <v>4373.7523652916716</v>
      </c>
      <c r="Q144" s="193" t="s">
        <v>16</v>
      </c>
      <c r="R144" s="282">
        <f t="shared" ref="R144:R157" si="161">IFERROR(R119/J100*1000000,0)</f>
        <v>917.120537219472</v>
      </c>
      <c r="S144" s="282">
        <f t="shared" ref="S144:S157" si="162">IFERROR(S119/K100*1000000,0)</f>
        <v>394.73506738288171</v>
      </c>
      <c r="T144" s="282">
        <f t="shared" ref="T144:T157" si="163">IFERROR(T119/L100*1000000,0)</f>
        <v>1529.354887822853</v>
      </c>
      <c r="U144" s="282">
        <f t="shared" ref="U144:U157" si="164">IFERROR(U119/M100*1000000,0)</f>
        <v>684.56187752710548</v>
      </c>
      <c r="V144" s="282">
        <f t="shared" ref="V144:V157" si="165">IFERROR(V119/N100*1000000,0)</f>
        <v>532.53849153093108</v>
      </c>
      <c r="W144" s="282">
        <f t="shared" ref="W144:W157" si="166">IFERROR(W119/O100*1000000,0)</f>
        <v>3.2920437383900865</v>
      </c>
      <c r="X144" s="282">
        <f t="shared" ref="X144:X157" si="167">IFERROR(X119/P100*1000000,0)</f>
        <v>506.92499696892145</v>
      </c>
      <c r="Z144" s="555" t="s">
        <v>427</v>
      </c>
      <c r="AA144" s="179">
        <f t="shared" ref="AA144:AF144" si="168">SUM(AA145:AA150)</f>
        <v>0</v>
      </c>
      <c r="AB144" s="179">
        <f t="shared" si="168"/>
        <v>33877.780000000006</v>
      </c>
      <c r="AC144" s="179">
        <f t="shared" si="168"/>
        <v>544.83999999999992</v>
      </c>
      <c r="AD144" s="179">
        <f t="shared" si="168"/>
        <v>5029.58</v>
      </c>
      <c r="AE144" s="179">
        <f t="shared" si="168"/>
        <v>8344.24</v>
      </c>
      <c r="AF144" s="179">
        <f t="shared" si="168"/>
        <v>3070.2999999999997</v>
      </c>
      <c r="AG144" s="266">
        <f>SUM(AA144:AF144)</f>
        <v>50866.740000000005</v>
      </c>
    </row>
    <row r="145" spans="1:34">
      <c r="A145" s="186" t="s">
        <v>24</v>
      </c>
      <c r="J145" s="436">
        <f t="shared" ref="J145:J150" si="169">IFERROR(AA145*85.9845228/1000,"")</f>
        <v>0</v>
      </c>
      <c r="K145" s="436">
        <f t="shared" ref="K145:K150" si="170">IFERROR(AB145*85.9845228/1000,"")</f>
        <v>779.38091156376004</v>
      </c>
      <c r="L145" s="436">
        <f t="shared" ref="L145:L150" si="171">IFERROR(AC145*85.9845228/1000,"")</f>
        <v>8.7618228733199999</v>
      </c>
      <c r="M145" s="436">
        <f t="shared" ref="M145:M150" si="172">IFERROR(AD145*85.9845228/1000,"")</f>
        <v>1.14359415324</v>
      </c>
      <c r="N145" s="436">
        <f t="shared" ref="N145:N150" si="173">IFERROR(AE145*85.9845228/1000,"")</f>
        <v>132.61392951443997</v>
      </c>
      <c r="O145" s="436">
        <f t="shared" ref="O145:O150" si="174">IFERROR(AF145*85.9845228/1000,"")</f>
        <v>261.35855550287999</v>
      </c>
      <c r="P145" s="266">
        <f t="shared" ref="P145:P150" si="175">SUM(J145:O145)</f>
        <v>1183.2588136076399</v>
      </c>
      <c r="Q145" s="186" t="s">
        <v>17</v>
      </c>
      <c r="R145" s="283">
        <f t="shared" si="161"/>
        <v>0</v>
      </c>
      <c r="S145" s="283">
        <f t="shared" si="162"/>
        <v>513.22243493341352</v>
      </c>
      <c r="T145" s="283">
        <f t="shared" si="163"/>
        <v>1529.354887822853</v>
      </c>
      <c r="U145" s="283">
        <f t="shared" si="164"/>
        <v>665.52029220862323</v>
      </c>
      <c r="V145" s="283">
        <f t="shared" si="165"/>
        <v>402.84081510729573</v>
      </c>
      <c r="W145" s="283">
        <f t="shared" si="166"/>
        <v>3.2849495622125859</v>
      </c>
      <c r="X145" s="282">
        <f t="shared" si="167"/>
        <v>189.01024809318386</v>
      </c>
      <c r="Z145" s="209" t="s">
        <v>24</v>
      </c>
      <c r="AA145" s="405"/>
      <c r="AB145" s="405">
        <v>9064.2000000000007</v>
      </c>
      <c r="AC145" s="405">
        <v>101.9</v>
      </c>
      <c r="AD145" s="405">
        <v>13.3</v>
      </c>
      <c r="AE145" s="405">
        <v>1542.3</v>
      </c>
      <c r="AF145" s="405">
        <v>3039.6</v>
      </c>
      <c r="AG145" s="556">
        <f t="shared" ref="AG145:AG150" si="176">SUM(AA145:AF145)</f>
        <v>13761.3</v>
      </c>
    </row>
    <row r="146" spans="1:34">
      <c r="A146" s="186" t="s">
        <v>25</v>
      </c>
      <c r="J146" s="436">
        <f t="shared" si="169"/>
        <v>0</v>
      </c>
      <c r="K146" s="436">
        <f t="shared" si="170"/>
        <v>683.64574387823995</v>
      </c>
      <c r="L146" s="436">
        <f t="shared" si="171"/>
        <v>0</v>
      </c>
      <c r="M146" s="436">
        <f t="shared" si="172"/>
        <v>44.539982810399998</v>
      </c>
      <c r="N146" s="436">
        <f t="shared" si="173"/>
        <v>4.09286328528</v>
      </c>
      <c r="O146" s="436">
        <f t="shared" si="174"/>
        <v>0.92003439395999986</v>
      </c>
      <c r="P146" s="266">
        <f t="shared" si="175"/>
        <v>733.19862436788003</v>
      </c>
      <c r="Q146" s="186" t="s">
        <v>18</v>
      </c>
      <c r="R146" s="283">
        <f t="shared" si="161"/>
        <v>0</v>
      </c>
      <c r="S146" s="283">
        <f t="shared" si="162"/>
        <v>630.39677719612985</v>
      </c>
      <c r="T146" s="283">
        <f t="shared" si="163"/>
        <v>0</v>
      </c>
      <c r="U146" s="283">
        <f t="shared" si="164"/>
        <v>983.8397726776966</v>
      </c>
      <c r="V146" s="283">
        <f t="shared" si="165"/>
        <v>597.60418373331083</v>
      </c>
      <c r="W146" s="283">
        <f t="shared" si="166"/>
        <v>3.8371480220484631</v>
      </c>
      <c r="X146" s="282">
        <f t="shared" si="167"/>
        <v>551.76996480179184</v>
      </c>
      <c r="Z146" s="209" t="s">
        <v>25</v>
      </c>
      <c r="AA146" s="405"/>
      <c r="AB146" s="405">
        <v>7950.8</v>
      </c>
      <c r="AC146" s="405"/>
      <c r="AD146" s="405">
        <v>518</v>
      </c>
      <c r="AE146" s="405">
        <v>47.6</v>
      </c>
      <c r="AF146" s="405">
        <v>10.7</v>
      </c>
      <c r="AG146" s="556">
        <f t="shared" si="176"/>
        <v>8527.1</v>
      </c>
    </row>
    <row r="147" spans="1:34">
      <c r="A147" s="186" t="s">
        <v>26</v>
      </c>
      <c r="J147" s="436">
        <f t="shared" si="169"/>
        <v>0</v>
      </c>
      <c r="K147" s="436">
        <f t="shared" si="170"/>
        <v>1312.075666595232</v>
      </c>
      <c r="L147" s="436">
        <f t="shared" si="171"/>
        <v>23.279449702872</v>
      </c>
      <c r="M147" s="436">
        <f t="shared" si="172"/>
        <v>225.532244233032</v>
      </c>
      <c r="N147" s="436">
        <f t="shared" si="173"/>
        <v>208.94239040399998</v>
      </c>
      <c r="O147" s="436">
        <f t="shared" si="174"/>
        <v>1.6509028377599997</v>
      </c>
      <c r="P147" s="266">
        <f t="shared" si="175"/>
        <v>1771.4806537728959</v>
      </c>
      <c r="Q147" s="186" t="s">
        <v>19</v>
      </c>
      <c r="R147" s="283">
        <f t="shared" si="161"/>
        <v>917.120537219472</v>
      </c>
      <c r="S147" s="283">
        <f t="shared" si="162"/>
        <v>445.48749428230309</v>
      </c>
      <c r="T147" s="283">
        <f t="shared" si="163"/>
        <v>0</v>
      </c>
      <c r="U147" s="283">
        <f t="shared" si="164"/>
        <v>686.20932278218572</v>
      </c>
      <c r="V147" s="283">
        <f t="shared" si="165"/>
        <v>630.43957844393242</v>
      </c>
      <c r="W147" s="283">
        <f t="shared" si="166"/>
        <v>2.990908866090594</v>
      </c>
      <c r="X147" s="282">
        <f t="shared" si="167"/>
        <v>824.78753755842081</v>
      </c>
      <c r="Z147" s="209" t="s">
        <v>26</v>
      </c>
      <c r="AA147" s="405"/>
      <c r="AB147" s="405">
        <v>15259.44</v>
      </c>
      <c r="AC147" s="405">
        <v>270.74</v>
      </c>
      <c r="AD147" s="405">
        <v>2622.94</v>
      </c>
      <c r="AE147" s="405">
        <v>2430</v>
      </c>
      <c r="AF147" s="405">
        <v>19.2</v>
      </c>
      <c r="AG147" s="556">
        <f t="shared" si="176"/>
        <v>20602.32</v>
      </c>
    </row>
    <row r="148" spans="1:34">
      <c r="A148" s="186" t="s">
        <v>27</v>
      </c>
      <c r="J148" s="436">
        <f t="shared" si="169"/>
        <v>0</v>
      </c>
      <c r="K148" s="436">
        <f t="shared" si="170"/>
        <v>91.447979378711992</v>
      </c>
      <c r="L148" s="436">
        <f t="shared" si="171"/>
        <v>0</v>
      </c>
      <c r="M148" s="436">
        <f t="shared" si="172"/>
        <v>84.560619102432</v>
      </c>
      <c r="N148" s="436">
        <f t="shared" si="173"/>
        <v>91.181427358031996</v>
      </c>
      <c r="O148" s="436">
        <f t="shared" si="174"/>
        <v>0</v>
      </c>
      <c r="P148" s="266">
        <f t="shared" si="175"/>
        <v>267.19002583917597</v>
      </c>
      <c r="Q148" s="186" t="s">
        <v>20</v>
      </c>
      <c r="R148" s="283">
        <f t="shared" si="161"/>
        <v>0</v>
      </c>
      <c r="S148" s="283">
        <f t="shared" si="162"/>
        <v>391.37059239846138</v>
      </c>
      <c r="T148" s="283">
        <f t="shared" si="163"/>
        <v>0</v>
      </c>
      <c r="U148" s="283">
        <f t="shared" si="164"/>
        <v>587.97114069631016</v>
      </c>
      <c r="V148" s="283">
        <f t="shared" si="165"/>
        <v>351.51864337466696</v>
      </c>
      <c r="W148" s="283">
        <f t="shared" si="166"/>
        <v>2.9909088660905936</v>
      </c>
      <c r="X148" s="282">
        <f t="shared" si="167"/>
        <v>389.94441507767857</v>
      </c>
      <c r="Z148" s="209" t="s">
        <v>27</v>
      </c>
      <c r="AA148" s="405"/>
      <c r="AB148" s="405">
        <v>1063.54</v>
      </c>
      <c r="AC148" s="405"/>
      <c r="AD148" s="405">
        <v>983.44</v>
      </c>
      <c r="AE148" s="405">
        <v>1060.44</v>
      </c>
      <c r="AF148" s="405"/>
      <c r="AG148" s="556">
        <f t="shared" si="176"/>
        <v>3107.42</v>
      </c>
    </row>
    <row r="149" spans="1:34">
      <c r="A149" s="186" t="s">
        <v>28</v>
      </c>
      <c r="J149" s="436">
        <f t="shared" si="169"/>
        <v>0</v>
      </c>
      <c r="K149" s="436">
        <f t="shared" si="170"/>
        <v>46.414445407439992</v>
      </c>
      <c r="L149" s="436">
        <f t="shared" si="171"/>
        <v>14.806534826159998</v>
      </c>
      <c r="M149" s="436">
        <f t="shared" si="172"/>
        <v>76.689595885320003</v>
      </c>
      <c r="N149" s="436">
        <f t="shared" si="173"/>
        <v>280.64488396691996</v>
      </c>
      <c r="O149" s="436">
        <f t="shared" si="174"/>
        <v>6.8787618240000001E-2</v>
      </c>
      <c r="P149" s="266">
        <f t="shared" si="175"/>
        <v>418.62424770407995</v>
      </c>
      <c r="Q149" s="186" t="s">
        <v>22</v>
      </c>
      <c r="R149" s="283">
        <f t="shared" si="161"/>
        <v>0</v>
      </c>
      <c r="S149" s="283">
        <f t="shared" si="162"/>
        <v>0</v>
      </c>
      <c r="T149" s="283">
        <f t="shared" si="163"/>
        <v>0</v>
      </c>
      <c r="U149" s="283">
        <f t="shared" si="164"/>
        <v>0</v>
      </c>
      <c r="V149" s="283">
        <f t="shared" si="165"/>
        <v>0</v>
      </c>
      <c r="W149" s="283">
        <f t="shared" si="166"/>
        <v>0</v>
      </c>
      <c r="X149" s="282">
        <f t="shared" si="167"/>
        <v>0</v>
      </c>
      <c r="Z149" s="209" t="s">
        <v>28</v>
      </c>
      <c r="AA149" s="405"/>
      <c r="AB149" s="405">
        <v>539.79999999999995</v>
      </c>
      <c r="AC149" s="405">
        <v>172.2</v>
      </c>
      <c r="AD149" s="405">
        <v>891.9</v>
      </c>
      <c r="AE149" s="405">
        <v>3263.9</v>
      </c>
      <c r="AF149" s="405">
        <v>0.8</v>
      </c>
      <c r="AG149" s="556">
        <f t="shared" si="176"/>
        <v>4868.6000000000004</v>
      </c>
    </row>
    <row r="150" spans="1:34">
      <c r="A150" s="186" t="s">
        <v>350</v>
      </c>
      <c r="J150" s="436">
        <f t="shared" si="169"/>
        <v>0</v>
      </c>
      <c r="K150" s="436">
        <f t="shared" si="170"/>
        <v>0</v>
      </c>
      <c r="L150" s="436">
        <f t="shared" si="171"/>
        <v>0</v>
      </c>
      <c r="M150" s="436">
        <f t="shared" si="172"/>
        <v>0</v>
      </c>
      <c r="N150" s="436">
        <f t="shared" si="173"/>
        <v>0</v>
      </c>
      <c r="O150" s="436">
        <f t="shared" si="174"/>
        <v>0</v>
      </c>
      <c r="P150" s="190">
        <f t="shared" si="175"/>
        <v>0</v>
      </c>
      <c r="Q150" s="186" t="str">
        <f>A150</f>
        <v>a celle combustibile (CEC)</v>
      </c>
      <c r="R150" s="283">
        <f t="shared" si="161"/>
        <v>0</v>
      </c>
      <c r="S150" s="283">
        <f t="shared" si="162"/>
        <v>0</v>
      </c>
      <c r="T150" s="283">
        <f t="shared" si="163"/>
        <v>0</v>
      </c>
      <c r="U150" s="283">
        <f t="shared" si="164"/>
        <v>0</v>
      </c>
      <c r="V150" s="283">
        <f t="shared" si="165"/>
        <v>0</v>
      </c>
      <c r="W150" s="283">
        <f t="shared" si="166"/>
        <v>0</v>
      </c>
      <c r="X150" s="282">
        <f t="shared" si="167"/>
        <v>0</v>
      </c>
      <c r="Z150" s="209" t="s">
        <v>692</v>
      </c>
      <c r="AA150" s="405"/>
      <c r="AB150" s="405"/>
      <c r="AC150" s="405"/>
      <c r="AD150" s="405"/>
      <c r="AE150" s="405"/>
      <c r="AF150" s="405"/>
      <c r="AG150" s="556">
        <f t="shared" si="176"/>
        <v>0</v>
      </c>
      <c r="AH150" s="207"/>
    </row>
    <row r="151" spans="1:34">
      <c r="A151" s="193" t="s">
        <v>253</v>
      </c>
      <c r="J151" s="179">
        <f t="shared" ref="J151:O151" si="177">SUM(J152:J157)</f>
        <v>0</v>
      </c>
      <c r="K151" s="179">
        <f t="shared" si="177"/>
        <v>14267.8</v>
      </c>
      <c r="L151" s="179">
        <f t="shared" si="177"/>
        <v>285.20000000000005</v>
      </c>
      <c r="M151" s="179">
        <f t="shared" si="177"/>
        <v>783.34</v>
      </c>
      <c r="N151" s="179">
        <f t="shared" si="177"/>
        <v>3196.8</v>
      </c>
      <c r="O151" s="179">
        <f t="shared" si="177"/>
        <v>1261.8399999999999</v>
      </c>
      <c r="P151" s="266">
        <f t="shared" ref="P151:P157" si="178">SUM(J151:O151)</f>
        <v>19794.98</v>
      </c>
      <c r="Q151" s="193" t="s">
        <v>23</v>
      </c>
      <c r="R151" s="282">
        <f t="shared" si="161"/>
        <v>0</v>
      </c>
      <c r="S151" s="282">
        <f t="shared" si="162"/>
        <v>358.96286584195627</v>
      </c>
      <c r="T151" s="282">
        <f t="shared" si="163"/>
        <v>1361.2521511382859</v>
      </c>
      <c r="U151" s="282">
        <f t="shared" si="164"/>
        <v>444.12887131252222</v>
      </c>
      <c r="V151" s="282">
        <f t="shared" si="165"/>
        <v>375.40462646330883</v>
      </c>
      <c r="W151" s="282">
        <f t="shared" si="166"/>
        <v>2.4827667559065212</v>
      </c>
      <c r="X151" s="282">
        <f t="shared" si="167"/>
        <v>354.7962819432185</v>
      </c>
      <c r="Z151" s="555" t="s">
        <v>429</v>
      </c>
      <c r="AA151" s="419">
        <f t="shared" ref="AA151:AF151" si="179">SUM(AA152:AA157)</f>
        <v>0</v>
      </c>
      <c r="AB151" s="419">
        <f t="shared" si="179"/>
        <v>31057.34</v>
      </c>
      <c r="AC151" s="419">
        <f t="shared" si="179"/>
        <v>544.79999999999995</v>
      </c>
      <c r="AD151" s="419">
        <f t="shared" si="179"/>
        <v>4530.7</v>
      </c>
      <c r="AE151" s="419">
        <f t="shared" si="179"/>
        <v>6370.0599999999995</v>
      </c>
      <c r="AF151" s="419">
        <f t="shared" si="179"/>
        <v>1336.1</v>
      </c>
      <c r="AG151" s="556">
        <f>SUM(AA151:AF151)</f>
        <v>43838.999999999993</v>
      </c>
      <c r="AH151" s="207"/>
    </row>
    <row r="152" spans="1:34">
      <c r="A152" s="186" t="s">
        <v>24</v>
      </c>
      <c r="J152" s="147"/>
      <c r="K152" s="147">
        <v>2530.5</v>
      </c>
      <c r="L152" s="147">
        <v>34.799999999999997</v>
      </c>
      <c r="M152" s="147">
        <v>2.5</v>
      </c>
      <c r="N152" s="147">
        <v>350.3</v>
      </c>
      <c r="O152" s="147">
        <v>1251.5999999999999</v>
      </c>
      <c r="P152" s="266">
        <f t="shared" si="178"/>
        <v>4169.7000000000007</v>
      </c>
      <c r="Q152" s="186" t="s">
        <v>24</v>
      </c>
      <c r="R152" s="283">
        <f t="shared" si="161"/>
        <v>0</v>
      </c>
      <c r="S152" s="283">
        <f t="shared" si="162"/>
        <v>332.87223456341144</v>
      </c>
      <c r="T152" s="283">
        <f t="shared" si="163"/>
        <v>1122.3386772313568</v>
      </c>
      <c r="U152" s="283">
        <f t="shared" si="164"/>
        <v>413.50290636287929</v>
      </c>
      <c r="V152" s="283">
        <f t="shared" si="165"/>
        <v>349.4495637079703</v>
      </c>
      <c r="W152" s="283">
        <f t="shared" si="166"/>
        <v>2.482235074268254</v>
      </c>
      <c r="X152" s="282">
        <f t="shared" si="167"/>
        <v>246.63453148952672</v>
      </c>
      <c r="Z152" s="209" t="s">
        <v>24</v>
      </c>
      <c r="AA152" s="405"/>
      <c r="AB152" s="405">
        <v>8455.6</v>
      </c>
      <c r="AC152" s="405">
        <v>101.9</v>
      </c>
      <c r="AD152" s="405">
        <v>9.1</v>
      </c>
      <c r="AE152" s="405">
        <v>858.9</v>
      </c>
      <c r="AF152" s="405">
        <v>1319.6</v>
      </c>
      <c r="AG152" s="556">
        <f t="shared" ref="AG152:AG157" si="180">SUM(AA152:AF152)</f>
        <v>10745.1</v>
      </c>
    </row>
    <row r="153" spans="1:34">
      <c r="A153" s="186" t="s">
        <v>25</v>
      </c>
      <c r="J153" s="147"/>
      <c r="K153" s="147">
        <v>1431.6</v>
      </c>
      <c r="L153" s="147"/>
      <c r="M153" s="147">
        <v>74.739999999999995</v>
      </c>
      <c r="N153" s="147">
        <v>9.6</v>
      </c>
      <c r="O153" s="147">
        <v>2.34</v>
      </c>
      <c r="P153" s="266">
        <f t="shared" si="178"/>
        <v>1518.2799999999997</v>
      </c>
      <c r="Q153" s="186" t="s">
        <v>25</v>
      </c>
      <c r="R153" s="283">
        <f t="shared" si="161"/>
        <v>0</v>
      </c>
      <c r="S153" s="283">
        <f t="shared" si="162"/>
        <v>316.53058804268903</v>
      </c>
      <c r="T153" s="283">
        <f t="shared" si="163"/>
        <v>0</v>
      </c>
      <c r="U153" s="283">
        <f t="shared" si="164"/>
        <v>348.79761611267719</v>
      </c>
      <c r="V153" s="283">
        <f t="shared" si="165"/>
        <v>481.6907424055417</v>
      </c>
      <c r="W153" s="283">
        <f t="shared" si="166"/>
        <v>2.5579879315742584</v>
      </c>
      <c r="X153" s="282">
        <f t="shared" si="167"/>
        <v>317.94263522202516</v>
      </c>
      <c r="Z153" s="209" t="s">
        <v>25</v>
      </c>
      <c r="AA153" s="405"/>
      <c r="AB153" s="405">
        <v>7749.7</v>
      </c>
      <c r="AC153" s="405"/>
      <c r="AD153" s="405">
        <v>297.3</v>
      </c>
      <c r="AE153" s="405">
        <v>39.700000000000003</v>
      </c>
      <c r="AF153" s="405">
        <v>4.7</v>
      </c>
      <c r="AG153" s="556">
        <f t="shared" si="180"/>
        <v>8091.4</v>
      </c>
      <c r="AH153" s="210"/>
    </row>
    <row r="154" spans="1:34">
      <c r="A154" s="186" t="s">
        <v>26</v>
      </c>
      <c r="J154" s="147"/>
      <c r="K154" s="147">
        <v>9895.1</v>
      </c>
      <c r="L154" s="147">
        <v>137</v>
      </c>
      <c r="M154" s="147">
        <v>480.6</v>
      </c>
      <c r="N154" s="147">
        <v>1172.4000000000001</v>
      </c>
      <c r="O154" s="147">
        <v>7.5</v>
      </c>
      <c r="P154" s="266">
        <f t="shared" si="178"/>
        <v>11692.6</v>
      </c>
      <c r="Q154" s="186" t="s">
        <v>26</v>
      </c>
      <c r="R154" s="283">
        <f t="shared" si="161"/>
        <v>0</v>
      </c>
      <c r="S154" s="283">
        <f t="shared" si="162"/>
        <v>366.02919851850061</v>
      </c>
      <c r="T154" s="283">
        <f t="shared" si="163"/>
        <v>1330.636163545234</v>
      </c>
      <c r="U154" s="283">
        <f t="shared" si="164"/>
        <v>465.71146673643278</v>
      </c>
      <c r="V154" s="283">
        <f t="shared" si="165"/>
        <v>277.25667533735719</v>
      </c>
      <c r="W154" s="283">
        <f t="shared" si="166"/>
        <v>2.5084827748260365</v>
      </c>
      <c r="X154" s="282">
        <f t="shared" si="167"/>
        <v>367.94573955843697</v>
      </c>
      <c r="Z154" s="209" t="s">
        <v>26</v>
      </c>
      <c r="AA154" s="405"/>
      <c r="AB154" s="405">
        <v>13262.34</v>
      </c>
      <c r="AC154" s="405">
        <v>270.7</v>
      </c>
      <c r="AD154" s="405">
        <v>2436.64</v>
      </c>
      <c r="AE154" s="405">
        <v>1682</v>
      </c>
      <c r="AF154" s="405">
        <v>11.2</v>
      </c>
      <c r="AG154" s="556">
        <f t="shared" si="180"/>
        <v>17662.88</v>
      </c>
      <c r="AH154" s="207"/>
    </row>
    <row r="155" spans="1:34">
      <c r="A155" s="186" t="s">
        <v>27</v>
      </c>
      <c r="J155" s="147"/>
      <c r="K155" s="147">
        <v>147.80000000000001</v>
      </c>
      <c r="L155" s="147"/>
      <c r="M155" s="147">
        <v>111.8</v>
      </c>
      <c r="N155" s="147">
        <v>207.1</v>
      </c>
      <c r="O155" s="147"/>
      <c r="P155" s="266">
        <f t="shared" si="178"/>
        <v>466.70000000000005</v>
      </c>
      <c r="Q155" s="186" t="s">
        <v>27</v>
      </c>
      <c r="R155" s="283">
        <f t="shared" si="161"/>
        <v>0</v>
      </c>
      <c r="S155" s="283">
        <f t="shared" si="162"/>
        <v>283.6104595444221</v>
      </c>
      <c r="T155" s="283">
        <f t="shared" si="163"/>
        <v>0</v>
      </c>
      <c r="U155" s="283">
        <f t="shared" si="164"/>
        <v>341.09129935541063</v>
      </c>
      <c r="V155" s="283">
        <f t="shared" si="165"/>
        <v>302.13061133047182</v>
      </c>
      <c r="W155" s="283">
        <f t="shared" si="166"/>
        <v>0</v>
      </c>
      <c r="X155" s="282">
        <f t="shared" si="167"/>
        <v>301.18256378325242</v>
      </c>
      <c r="Z155" s="209" t="s">
        <v>27</v>
      </c>
      <c r="AA155" s="405"/>
      <c r="AB155" s="405">
        <v>1054.5</v>
      </c>
      <c r="AC155" s="405"/>
      <c r="AD155" s="405">
        <v>962.36</v>
      </c>
      <c r="AE155" s="405">
        <v>1054.8599999999999</v>
      </c>
      <c r="AF155" s="405"/>
      <c r="AG155" s="556">
        <f t="shared" si="180"/>
        <v>3071.7200000000003</v>
      </c>
      <c r="AH155" s="207"/>
    </row>
    <row r="156" spans="1:34">
      <c r="A156" s="186" t="s">
        <v>28</v>
      </c>
      <c r="J156" s="147"/>
      <c r="K156" s="147">
        <v>262.8</v>
      </c>
      <c r="L156" s="147">
        <v>113.4</v>
      </c>
      <c r="M156" s="147">
        <v>113.7</v>
      </c>
      <c r="N156" s="147">
        <v>1457.4</v>
      </c>
      <c r="O156" s="147">
        <v>0.4</v>
      </c>
      <c r="P156" s="266">
        <f t="shared" si="178"/>
        <v>1947.7000000000003</v>
      </c>
      <c r="Q156" s="186" t="s">
        <v>28</v>
      </c>
      <c r="R156" s="283">
        <f t="shared" si="161"/>
        <v>0</v>
      </c>
      <c r="S156" s="283">
        <f t="shared" si="162"/>
        <v>533.47186649169998</v>
      </c>
      <c r="T156" s="283">
        <f t="shared" si="163"/>
        <v>1481.7857814394035</v>
      </c>
      <c r="U156" s="283">
        <f t="shared" si="164"/>
        <v>474.11204626462427</v>
      </c>
      <c r="V156" s="283">
        <f t="shared" si="165"/>
        <v>555.00813059501149</v>
      </c>
      <c r="W156" s="283">
        <f t="shared" si="166"/>
        <v>3.6401241431780207</v>
      </c>
      <c r="X156" s="282">
        <f t="shared" si="167"/>
        <v>624.63186043083158</v>
      </c>
      <c r="Z156" s="209" t="s">
        <v>28</v>
      </c>
      <c r="AA156" s="405"/>
      <c r="AB156" s="405">
        <v>535.20000000000005</v>
      </c>
      <c r="AC156" s="405">
        <v>172.2</v>
      </c>
      <c r="AD156" s="405">
        <v>825.3</v>
      </c>
      <c r="AE156" s="405">
        <v>2734.6</v>
      </c>
      <c r="AF156" s="405">
        <v>0.6</v>
      </c>
      <c r="AG156" s="556">
        <f t="shared" si="180"/>
        <v>4267.9000000000005</v>
      </c>
      <c r="AH156" s="207"/>
    </row>
    <row r="157" spans="1:34">
      <c r="A157" s="186" t="s">
        <v>350</v>
      </c>
      <c r="M157" s="147"/>
      <c r="P157" s="266">
        <f t="shared" si="178"/>
        <v>0</v>
      </c>
      <c r="Q157" s="186" t="str">
        <f>A157</f>
        <v>a celle combustibile (CEC)</v>
      </c>
      <c r="R157" s="283">
        <f t="shared" si="161"/>
        <v>0</v>
      </c>
      <c r="S157" s="283">
        <f t="shared" si="162"/>
        <v>378.04859795222029</v>
      </c>
      <c r="T157" s="283">
        <f t="shared" si="163"/>
        <v>0</v>
      </c>
      <c r="U157" s="283">
        <f t="shared" si="164"/>
        <v>0</v>
      </c>
      <c r="V157" s="283">
        <f t="shared" si="165"/>
        <v>0</v>
      </c>
      <c r="W157" s="283">
        <f t="shared" si="166"/>
        <v>0</v>
      </c>
      <c r="X157" s="282">
        <f t="shared" si="167"/>
        <v>378.04859795222029</v>
      </c>
      <c r="Z157" s="209" t="s">
        <v>692</v>
      </c>
      <c r="AA157" s="405"/>
      <c r="AB157" s="405"/>
      <c r="AC157" s="405"/>
      <c r="AD157" s="405"/>
      <c r="AE157" s="405"/>
      <c r="AF157" s="405"/>
      <c r="AG157" s="556">
        <f t="shared" si="180"/>
        <v>0</v>
      </c>
      <c r="AH157" s="408"/>
    </row>
    <row r="158" spans="1:34">
      <c r="J158" s="426"/>
      <c r="K158" s="171"/>
      <c r="L158" s="171"/>
      <c r="M158" s="171"/>
      <c r="N158" s="171"/>
      <c r="O158" s="171"/>
      <c r="Q158" s="193" t="s">
        <v>9</v>
      </c>
      <c r="R158" s="195">
        <f t="shared" ref="R158:X158" si="181">R133/J114*1000000</f>
        <v>917.120537219472</v>
      </c>
      <c r="S158" s="282">
        <f t="shared" si="181"/>
        <v>371.8890390980207</v>
      </c>
      <c r="T158" s="282">
        <f t="shared" si="181"/>
        <v>1363.7281215266648</v>
      </c>
      <c r="U158" s="282">
        <f t="shared" si="181"/>
        <v>553.83041283508703</v>
      </c>
      <c r="V158" s="282">
        <f t="shared" si="181"/>
        <v>426.60290281526733</v>
      </c>
      <c r="W158" s="282">
        <f t="shared" si="181"/>
        <v>2.7087886802915686</v>
      </c>
      <c r="X158" s="195">
        <f t="shared" si="181"/>
        <v>414.90326891827493</v>
      </c>
      <c r="AA158" s="186"/>
      <c r="AB158" s="207"/>
      <c r="AC158" s="207"/>
      <c r="AD158" s="403"/>
      <c r="AE158" s="186"/>
      <c r="AF158" s="185"/>
      <c r="AG158" s="207"/>
      <c r="AH158" s="408"/>
    </row>
    <row r="159" spans="1:34">
      <c r="J159" s="921" t="str">
        <f t="shared" ref="J159:O159" si="182">IFERROR((J107/11.63+J144)/J151,"")</f>
        <v/>
      </c>
      <c r="K159" s="921">
        <f t="shared" si="182"/>
        <v>0.66212192603617082</v>
      </c>
      <c r="L159" s="921">
        <f t="shared" si="182"/>
        <v>0.51518054943547886</v>
      </c>
      <c r="M159" s="921">
        <f t="shared" si="182"/>
        <v>0.76827797885207627</v>
      </c>
      <c r="N159" s="921">
        <f t="shared" si="182"/>
        <v>0.54096121060248914</v>
      </c>
      <c r="O159" s="921">
        <f t="shared" si="182"/>
        <v>0.57797103023334295</v>
      </c>
      <c r="P159" s="269"/>
      <c r="R159" s="196">
        <f>'7'!$AI$6</f>
        <v>917.12156981121166</v>
      </c>
      <c r="S159" s="315">
        <f>'7'!$AI$7</f>
        <v>371.88898839494607</v>
      </c>
      <c r="T159" s="204"/>
      <c r="U159" s="204"/>
      <c r="V159" s="204"/>
      <c r="W159" s="204"/>
      <c r="X159" s="196">
        <f>'7'!$AI$12</f>
        <v>414.90312101526052</v>
      </c>
      <c r="Z159" s="555" t="s">
        <v>430</v>
      </c>
      <c r="AA159" s="559" t="str">
        <f t="shared" ref="AA159:AG159" si="183">IFERROR(AA151/AA144,"")</f>
        <v/>
      </c>
      <c r="AB159" s="559">
        <f t="shared" si="183"/>
        <v>0.91674661090543696</v>
      </c>
      <c r="AC159" s="559">
        <f t="shared" si="183"/>
        <v>0.99992658395125178</v>
      </c>
      <c r="AD159" s="559">
        <f t="shared" si="183"/>
        <v>0.90081080328774965</v>
      </c>
      <c r="AE159" s="559">
        <f t="shared" si="183"/>
        <v>0.76340805154214164</v>
      </c>
      <c r="AF159" s="559">
        <f t="shared" si="183"/>
        <v>0.43516920170667361</v>
      </c>
      <c r="AG159" s="559">
        <f t="shared" si="183"/>
        <v>0.86184017296960624</v>
      </c>
      <c r="AH159" s="210"/>
    </row>
    <row r="160" spans="1:34">
      <c r="J160" s="921" t="str">
        <f t="shared" ref="J160:O160" si="184">IFERROR((J108/11.63+J145)/J152,"")</f>
        <v/>
      </c>
      <c r="K160" s="921">
        <f t="shared" si="184"/>
        <v>0.72822315817487626</v>
      </c>
      <c r="L160" s="921">
        <f t="shared" si="184"/>
        <v>0.62647631476441135</v>
      </c>
      <c r="M160" s="921">
        <f t="shared" si="184"/>
        <v>0.75666380059092686</v>
      </c>
      <c r="N160" s="921">
        <f t="shared" si="184"/>
        <v>0.64286869705660388</v>
      </c>
      <c r="O160" s="921">
        <f t="shared" si="184"/>
        <v>0.57784333562917334</v>
      </c>
      <c r="P160" s="272"/>
      <c r="R160" s="204">
        <f>R158-R159</f>
        <v>-1.0325917396585282E-3</v>
      </c>
      <c r="S160" s="172">
        <f>S158-S159</f>
        <v>5.070307463483914E-5</v>
      </c>
      <c r="T160" s="172"/>
      <c r="U160" s="172"/>
      <c r="V160" s="172"/>
      <c r="W160" s="172"/>
      <c r="X160" s="197">
        <f>X158-X159</f>
        <v>1.4790301440825715E-4</v>
      </c>
      <c r="Z160" s="209" t="s">
        <v>24</v>
      </c>
      <c r="AA160" s="560" t="str">
        <f>IFERROR(AA152/AA145,"")</f>
        <v/>
      </c>
      <c r="AB160" s="560">
        <f t="shared" ref="AB160:AG160" si="185">IFERROR(AB152/AB145,"")</f>
        <v>0.93285673308179429</v>
      </c>
      <c r="AC160" s="560">
        <f t="shared" si="185"/>
        <v>1</v>
      </c>
      <c r="AD160" s="560">
        <f t="shared" si="185"/>
        <v>0.68421052631578938</v>
      </c>
      <c r="AE160" s="560">
        <f t="shared" si="185"/>
        <v>0.55689554561369381</v>
      </c>
      <c r="AF160" s="560">
        <f t="shared" si="185"/>
        <v>0.43413607053559677</v>
      </c>
      <c r="AG160" s="559">
        <f t="shared" si="185"/>
        <v>0.7808201260055373</v>
      </c>
      <c r="AH160" s="207"/>
    </row>
    <row r="161" spans="1:34">
      <c r="J161" s="921" t="str">
        <f t="shared" ref="J161:O161" si="186">IFERROR((J109/11.63+J146)/J153,"")</f>
        <v/>
      </c>
      <c r="K161" s="921">
        <f t="shared" si="186"/>
        <v>0.79210148439845374</v>
      </c>
      <c r="L161" s="921" t="str">
        <f t="shared" si="186"/>
        <v/>
      </c>
      <c r="M161" s="921">
        <f t="shared" si="186"/>
        <v>0.83752652656460658</v>
      </c>
      <c r="N161" s="921">
        <f t="shared" si="186"/>
        <v>0.60063771861391524</v>
      </c>
      <c r="O161" s="921">
        <f t="shared" si="186"/>
        <v>0.6577448538540468</v>
      </c>
      <c r="P161" s="272"/>
      <c r="Z161" s="209" t="s">
        <v>25</v>
      </c>
      <c r="AA161" s="560" t="str">
        <f t="shared" ref="AA161:AG161" si="187">IFERROR(AA153/AA146,"")</f>
        <v/>
      </c>
      <c r="AB161" s="560">
        <f t="shared" si="187"/>
        <v>0.97470694772853039</v>
      </c>
      <c r="AC161" s="560" t="str">
        <f t="shared" si="187"/>
        <v/>
      </c>
      <c r="AD161" s="560">
        <f t="shared" si="187"/>
        <v>0.57393822393822391</v>
      </c>
      <c r="AE161" s="560">
        <f t="shared" si="187"/>
        <v>0.83403361344537819</v>
      </c>
      <c r="AF161" s="560">
        <f t="shared" si="187"/>
        <v>0.43925233644859818</v>
      </c>
      <c r="AG161" s="559">
        <f t="shared" si="187"/>
        <v>0.94890408227885203</v>
      </c>
      <c r="AH161" s="207"/>
    </row>
    <row r="162" spans="1:34">
      <c r="J162" s="921" t="str">
        <f t="shared" ref="J162:O162" si="188">IFERROR((J110/11.63+J147)/J154,"")</f>
        <v/>
      </c>
      <c r="K162" s="921">
        <f t="shared" si="188"/>
        <v>0.62815807991351669</v>
      </c>
      <c r="L162" s="921">
        <f t="shared" si="188"/>
        <v>0.52613113583947968</v>
      </c>
      <c r="M162" s="921">
        <f t="shared" si="188"/>
        <v>0.72412529630849132</v>
      </c>
      <c r="N162" s="921">
        <f t="shared" si="188"/>
        <v>0.63500054128287664</v>
      </c>
      <c r="O162" s="921">
        <f t="shared" si="188"/>
        <v>0.58114072803839256</v>
      </c>
      <c r="Z162" s="209" t="s">
        <v>26</v>
      </c>
      <c r="AA162" s="560" t="str">
        <f t="shared" ref="AA162:AG162" si="189">IFERROR(AA154/AA147,"")</f>
        <v/>
      </c>
      <c r="AB162" s="560">
        <f t="shared" si="189"/>
        <v>0.86912363756468125</v>
      </c>
      <c r="AC162" s="560">
        <f t="shared" si="189"/>
        <v>0.99985225677772027</v>
      </c>
      <c r="AD162" s="560">
        <f t="shared" si="189"/>
        <v>0.92897283201293201</v>
      </c>
      <c r="AE162" s="560">
        <f t="shared" si="189"/>
        <v>0.69218106995884776</v>
      </c>
      <c r="AF162" s="560">
        <f t="shared" si="189"/>
        <v>0.58333333333333337</v>
      </c>
      <c r="AG162" s="559">
        <f t="shared" si="189"/>
        <v>0.85732480613833784</v>
      </c>
      <c r="AH162" s="207"/>
    </row>
    <row r="163" spans="1:34">
      <c r="J163" s="921" t="str">
        <f t="shared" ref="J163:O163" si="190">IFERROR((J111/11.63+J148)/J155,"")</f>
        <v/>
      </c>
      <c r="K163" s="921">
        <f t="shared" si="190"/>
        <v>0.83979768631497576</v>
      </c>
      <c r="L163" s="921" t="str">
        <f t="shared" si="190"/>
        <v/>
      </c>
      <c r="M163" s="921">
        <f t="shared" si="190"/>
        <v>0.87341201673028412</v>
      </c>
      <c r="N163" s="921">
        <f t="shared" si="190"/>
        <v>0.7044793743739185</v>
      </c>
      <c r="O163" s="921" t="str">
        <f t="shared" si="190"/>
        <v/>
      </c>
      <c r="Z163" s="209" t="s">
        <v>27</v>
      </c>
      <c r="AA163" s="560" t="str">
        <f t="shared" ref="AA163:AG163" si="191">IFERROR(AA155/AA148,"")</f>
        <v/>
      </c>
      <c r="AB163" s="560">
        <f t="shared" si="191"/>
        <v>0.99150008462305139</v>
      </c>
      <c r="AC163" s="560" t="str">
        <f t="shared" si="191"/>
        <v/>
      </c>
      <c r="AD163" s="560">
        <f t="shared" si="191"/>
        <v>0.97856503701293418</v>
      </c>
      <c r="AE163" s="560">
        <f t="shared" si="191"/>
        <v>0.99473803326920884</v>
      </c>
      <c r="AF163" s="560" t="str">
        <f t="shared" si="191"/>
        <v/>
      </c>
      <c r="AG163" s="559">
        <f t="shared" si="191"/>
        <v>0.98851136956060015</v>
      </c>
      <c r="AH163" s="207"/>
    </row>
    <row r="164" spans="1:34">
      <c r="J164" s="921" t="str">
        <f t="shared" ref="J164:O164" si="192">IFERROR((J112/11.63+J149)/J156,"")</f>
        <v/>
      </c>
      <c r="K164" s="921">
        <f t="shared" si="192"/>
        <v>0.49643956023841629</v>
      </c>
      <c r="L164" s="921">
        <f t="shared" si="192"/>
        <v>0.46779674898755175</v>
      </c>
      <c r="M164" s="921">
        <f t="shared" si="192"/>
        <v>0.80626560229342847</v>
      </c>
      <c r="N164" s="921">
        <f t="shared" si="192"/>
        <v>0.41718777160939491</v>
      </c>
      <c r="O164" s="921">
        <f t="shared" si="192"/>
        <v>0.4514187446541702</v>
      </c>
      <c r="Z164" s="209" t="s">
        <v>28</v>
      </c>
      <c r="AA164" s="560" t="str">
        <f t="shared" ref="AA164:AG164" si="193">IFERROR(AA156/AA149,"")</f>
        <v/>
      </c>
      <c r="AB164" s="560">
        <f t="shared" si="193"/>
        <v>0.99147832530566893</v>
      </c>
      <c r="AC164" s="560">
        <f t="shared" si="193"/>
        <v>1</v>
      </c>
      <c r="AD164" s="560">
        <f t="shared" si="193"/>
        <v>0.92532795156407666</v>
      </c>
      <c r="AE164" s="560">
        <f t="shared" si="193"/>
        <v>0.83783204142283763</v>
      </c>
      <c r="AF164" s="560">
        <f t="shared" si="193"/>
        <v>0.74999999999999989</v>
      </c>
      <c r="AG164" s="559">
        <f t="shared" si="193"/>
        <v>0.87661750811321537</v>
      </c>
    </row>
    <row r="165" spans="1:34">
      <c r="J165" s="921" t="str">
        <f t="shared" ref="J165:O165" si="194">IFERROR((J113/11.63+J150)/J157,"")</f>
        <v/>
      </c>
      <c r="K165" s="921" t="str">
        <f t="shared" si="194"/>
        <v/>
      </c>
      <c r="L165" s="921" t="str">
        <f t="shared" si="194"/>
        <v/>
      </c>
      <c r="M165" s="921" t="str">
        <f t="shared" si="194"/>
        <v/>
      </c>
      <c r="N165" s="921" t="str">
        <f t="shared" si="194"/>
        <v/>
      </c>
      <c r="O165" s="921" t="str">
        <f t="shared" si="194"/>
        <v/>
      </c>
      <c r="Z165" s="209" t="s">
        <v>692</v>
      </c>
      <c r="AA165" s="560" t="str">
        <f>IFERROR(AA157/AA150,"")</f>
        <v/>
      </c>
      <c r="AB165" s="560" t="str">
        <f>IFERROR(AB157/AB150,"")</f>
        <v/>
      </c>
      <c r="AC165" s="560" t="str">
        <f>IFERROR(AC157/AC150,"")</f>
        <v/>
      </c>
      <c r="AD165" s="560" t="str">
        <f>IFERROR(AD157/AD150,"")</f>
        <v/>
      </c>
      <c r="AE165" s="560" t="str">
        <f>IFERROR(AE157/AE150,"")</f>
        <v/>
      </c>
      <c r="AF165" s="560"/>
      <c r="AG165" s="559" t="str">
        <f>IFERROR(AG157/AG150,"")</f>
        <v/>
      </c>
    </row>
    <row r="166" spans="1:34">
      <c r="A166" s="68" t="str">
        <f>A98</f>
        <v>Dati 2023 lorda</v>
      </c>
    </row>
    <row r="167" spans="1:34">
      <c r="A167" s="68" t="s">
        <v>257</v>
      </c>
      <c r="B167" s="68"/>
      <c r="C167" s="68"/>
      <c r="D167" s="68"/>
      <c r="E167" s="68"/>
      <c r="J167" s="428">
        <v>0</v>
      </c>
      <c r="K167" s="428">
        <v>8.0894039219514795</v>
      </c>
      <c r="L167" s="428">
        <v>0.38458835353691628</v>
      </c>
      <c r="M167" s="428">
        <v>1.2049585582945999</v>
      </c>
      <c r="N167" s="428">
        <v>1.7704070078868324</v>
      </c>
      <c r="O167" s="428">
        <v>7.6471828061410937E-4</v>
      </c>
      <c r="P167" s="429">
        <f>SUM(J167:O167)</f>
        <v>11.450122559950442</v>
      </c>
      <c r="Q167" t="s">
        <v>363</v>
      </c>
    </row>
    <row r="168" spans="1:34">
      <c r="A168" t="s">
        <v>258</v>
      </c>
      <c r="J168" s="315" t="str">
        <f>IFERROR(J167/(J144*11.63)*1000000,"")</f>
        <v/>
      </c>
      <c r="K168" s="315">
        <f t="shared" ref="K168:P168" si="195">IFERROR(K167/(K144*11.63)*1000000,"")</f>
        <v>238.78199576905035</v>
      </c>
      <c r="L168" s="315">
        <f t="shared" si="195"/>
        <v>705.87393266618415</v>
      </c>
      <c r="M168" s="315">
        <f t="shared" si="195"/>
        <v>239.57438953093236</v>
      </c>
      <c r="N168" s="315">
        <f t="shared" si="195"/>
        <v>212.17115130874535</v>
      </c>
      <c r="O168" s="315">
        <f t="shared" si="195"/>
        <v>0.24906956339403172</v>
      </c>
      <c r="P168" s="315">
        <f t="shared" si="195"/>
        <v>225.10038107558341</v>
      </c>
    </row>
    <row r="170" spans="1:34">
      <c r="A170" s="68" t="s">
        <v>259</v>
      </c>
      <c r="J170" s="271">
        <f t="shared" ref="J170:P170" si="196">J167+R126</f>
        <v>0</v>
      </c>
      <c r="K170" s="271">
        <f t="shared" si="196"/>
        <v>35.367386956434167</v>
      </c>
      <c r="L170" s="271">
        <f t="shared" si="196"/>
        <v>1.9690177948543239</v>
      </c>
      <c r="M170" s="271">
        <f t="shared" si="196"/>
        <v>2.07972366580917</v>
      </c>
      <c r="N170" s="271">
        <f t="shared" si="196"/>
        <v>6.1881836682921092</v>
      </c>
      <c r="O170" s="271">
        <f t="shared" si="196"/>
        <v>1.4200309890872486E-2</v>
      </c>
      <c r="P170" s="271">
        <f t="shared" si="196"/>
        <v>45.618512395280646</v>
      </c>
    </row>
    <row r="171" spans="1:34">
      <c r="A171" t="s">
        <v>260</v>
      </c>
      <c r="J171" s="90" t="str">
        <f>IFERROR(J170/((J144*11.63)+J107)*1000000,"")</f>
        <v/>
      </c>
      <c r="K171" s="181">
        <f t="shared" ref="K171:P171" si="197">K170/((K144*11.63)+K107)*1000000</f>
        <v>321.90541083740612</v>
      </c>
      <c r="L171" s="181">
        <f t="shared" si="197"/>
        <v>1152.2877561030687</v>
      </c>
      <c r="M171" s="181">
        <f t="shared" si="197"/>
        <v>297.13733934793635</v>
      </c>
      <c r="N171" s="181">
        <f t="shared" si="197"/>
        <v>307.68185744585196</v>
      </c>
      <c r="O171" s="181">
        <f t="shared" si="197"/>
        <v>1.6742015753691979</v>
      </c>
      <c r="P171" s="181">
        <f t="shared" si="197"/>
        <v>309.96946064366915</v>
      </c>
    </row>
    <row r="172" spans="1:34">
      <c r="J172" s="181" t="str">
        <f>IFERROR((J$628*J143*11.63/1000000+R125)/(J143*11.63+J106)*1000000,"")</f>
        <v/>
      </c>
      <c r="K172" s="168"/>
      <c r="L172" s="168"/>
      <c r="M172" s="168"/>
      <c r="N172" s="168"/>
      <c r="O172" s="168"/>
      <c r="P172" s="168"/>
    </row>
    <row r="173" spans="1:34">
      <c r="A173" s="68" t="s">
        <v>261</v>
      </c>
      <c r="J173" s="282" t="str">
        <f t="shared" ref="J173:P173" si="198">IFERROR((J168*J144*11.63/1000000+R126)/(J144*11.63+J107)*1000000,"")</f>
        <v/>
      </c>
      <c r="K173" s="282">
        <f t="shared" si="198"/>
        <v>321.90541083740612</v>
      </c>
      <c r="L173" s="282">
        <f t="shared" si="198"/>
        <v>1152.2877561030687</v>
      </c>
      <c r="M173" s="282">
        <f t="shared" si="198"/>
        <v>297.13733934793635</v>
      </c>
      <c r="N173" s="282">
        <f t="shared" si="198"/>
        <v>307.68185744585196</v>
      </c>
      <c r="O173" s="282">
        <f t="shared" si="198"/>
        <v>1.6742015753691979</v>
      </c>
      <c r="P173" s="282">
        <f t="shared" si="198"/>
        <v>309.96946064366915</v>
      </c>
      <c r="R173" s="255" t="str">
        <f t="shared" ref="R173:R179" si="199">IFERROR(J173/R151-1,"")</f>
        <v/>
      </c>
      <c r="S173" s="255">
        <f t="shared" ref="S173:S179" si="200">IFERROR(K173/S151-1,"")</f>
        <v>-0.10323478702352951</v>
      </c>
      <c r="T173" s="255">
        <f t="shared" ref="T173:T179" si="201">IFERROR(L173/T151-1,"")</f>
        <v>-0.15350895486958838</v>
      </c>
      <c r="U173" s="255">
        <f t="shared" ref="U173:U179" si="202">IFERROR(M173/U151-1,"")</f>
        <v>-0.3309659458305102</v>
      </c>
      <c r="V173" s="255">
        <f t="shared" ref="V173:V179" si="203">IFERROR(N173/V151-1,"")</f>
        <v>-0.18039939905768831</v>
      </c>
      <c r="W173" s="255">
        <f t="shared" ref="W173:W179" si="204">IFERROR(O173/W151-1,"")</f>
        <v>-0.32567101948410604</v>
      </c>
      <c r="X173" s="255">
        <f t="shared" ref="X173:X179" si="205">IFERROR(P173/X151-1,"")</f>
        <v>-0.12634523973597733</v>
      </c>
      <c r="AE173" s="186"/>
      <c r="AF173" s="185"/>
      <c r="AG173" s="207"/>
      <c r="AH173" s="207"/>
    </row>
    <row r="174" spans="1:34">
      <c r="A174" s="186" t="s">
        <v>24</v>
      </c>
      <c r="J174" s="315" t="str">
        <f t="shared" ref="J174:P174" si="206">IFERROR((J168*J145*11.63/1000000+R127)/(J145*11.63+J108)*1000000,"")</f>
        <v/>
      </c>
      <c r="K174" s="315">
        <f t="shared" si="206"/>
        <v>293.07769279009943</v>
      </c>
      <c r="L174" s="315">
        <f t="shared" si="206"/>
        <v>954.96436259773918</v>
      </c>
      <c r="M174" s="315">
        <f t="shared" si="206"/>
        <v>308.35521208947381</v>
      </c>
      <c r="N174" s="315">
        <f t="shared" si="206"/>
        <v>268.60906663362249</v>
      </c>
      <c r="O174" s="315">
        <f t="shared" si="206"/>
        <v>1.6752194001256913</v>
      </c>
      <c r="P174" s="315">
        <f t="shared" si="206"/>
        <v>237.58249138707527</v>
      </c>
      <c r="R174" s="254" t="str">
        <f t="shared" si="199"/>
        <v/>
      </c>
      <c r="S174" s="254">
        <f t="shared" si="200"/>
        <v>-0.11954899700633104</v>
      </c>
      <c r="T174" s="254">
        <f t="shared" si="201"/>
        <v>-0.14912995339918711</v>
      </c>
      <c r="U174" s="254">
        <f t="shared" si="202"/>
        <v>-0.25428526052760225</v>
      </c>
      <c r="V174" s="254">
        <f t="shared" si="203"/>
        <v>-0.23133666620315196</v>
      </c>
      <c r="W174" s="254">
        <f t="shared" si="204"/>
        <v>-0.32511653811856056</v>
      </c>
      <c r="X174" s="254">
        <f t="shared" si="205"/>
        <v>-3.6702241360049959E-2</v>
      </c>
    </row>
    <row r="175" spans="1:34">
      <c r="A175" s="186" t="s">
        <v>25</v>
      </c>
      <c r="J175" s="315" t="str">
        <f t="shared" ref="J175:P175" si="207">IFERROR((J168*J146*11.63/1000000+R128)/(J146*11.63+J109)*1000000,"")</f>
        <v/>
      </c>
      <c r="K175" s="315">
        <f t="shared" si="207"/>
        <v>269.65776273127148</v>
      </c>
      <c r="L175" s="315" t="str">
        <f t="shared" si="207"/>
        <v/>
      </c>
      <c r="M175" s="315">
        <f t="shared" si="207"/>
        <v>271.08108950275903</v>
      </c>
      <c r="N175" s="315">
        <f t="shared" si="207"/>
        <v>290.38247314192625</v>
      </c>
      <c r="O175" s="315">
        <f t="shared" si="207"/>
        <v>1.1777965046939147</v>
      </c>
      <c r="P175" s="315">
        <f t="shared" si="207"/>
        <v>261.39868887918504</v>
      </c>
      <c r="R175" s="254" t="str">
        <f t="shared" si="199"/>
        <v/>
      </c>
      <c r="S175" s="254">
        <f t="shared" si="200"/>
        <v>-0.14808308290602246</v>
      </c>
      <c r="T175" s="254" t="str">
        <f t="shared" si="201"/>
        <v/>
      </c>
      <c r="U175" s="254">
        <f t="shared" si="202"/>
        <v>-0.22281266562559376</v>
      </c>
      <c r="V175" s="254">
        <f t="shared" si="203"/>
        <v>-0.39715994604386751</v>
      </c>
      <c r="W175" s="254">
        <f t="shared" si="204"/>
        <v>-0.5395613520470891</v>
      </c>
      <c r="X175" s="254">
        <f t="shared" si="205"/>
        <v>-0.17784323358631804</v>
      </c>
    </row>
    <row r="176" spans="1:34">
      <c r="A176" s="186" t="s">
        <v>26</v>
      </c>
      <c r="J176" s="315" t="str">
        <f t="shared" ref="J176:P176" si="208">IFERROR((J168*J147*11.63/1000000+R129)/(J147*11.63+J110)*1000000,"")</f>
        <v/>
      </c>
      <c r="K176" s="315">
        <f t="shared" si="208"/>
        <v>339.16845763414489</v>
      </c>
      <c r="L176" s="315">
        <f t="shared" si="208"/>
        <v>1128.8585848946775</v>
      </c>
      <c r="M176" s="315">
        <f t="shared" si="208"/>
        <v>319.16244271375376</v>
      </c>
      <c r="N176" s="315">
        <f t="shared" si="208"/>
        <v>258.98993482101838</v>
      </c>
      <c r="O176" s="315">
        <f t="shared" si="208"/>
        <v>1.6526782046166426</v>
      </c>
      <c r="P176" s="315">
        <f t="shared" si="208"/>
        <v>333.67884869921028</v>
      </c>
      <c r="R176" s="254" t="str">
        <f t="shared" si="199"/>
        <v/>
      </c>
      <c r="S176" s="254">
        <f t="shared" si="200"/>
        <v>-7.338414802172688E-2</v>
      </c>
      <c r="T176" s="254">
        <f t="shared" si="201"/>
        <v>-0.15163993297232914</v>
      </c>
      <c r="U176" s="254">
        <f t="shared" si="202"/>
        <v>-0.31467772320413523</v>
      </c>
      <c r="V176" s="254">
        <f t="shared" si="203"/>
        <v>-6.5883861927264364E-2</v>
      </c>
      <c r="W176" s="254">
        <f t="shared" si="204"/>
        <v>-0.34116422037968508</v>
      </c>
      <c r="X176" s="254">
        <f t="shared" si="205"/>
        <v>-9.3130283014961845E-2</v>
      </c>
    </row>
    <row r="177" spans="1:43">
      <c r="A177" s="186" t="s">
        <v>27</v>
      </c>
      <c r="J177" s="315"/>
      <c r="K177" s="315">
        <f t="shared" ref="K177:P177" si="209">IFERROR((K168*K148*11.63/1000000+S130)/(K148*11.63+K111)*1000000,"")</f>
        <v>250.58271915224927</v>
      </c>
      <c r="L177" s="315" t="str">
        <f t="shared" si="209"/>
        <v/>
      </c>
      <c r="M177" s="315">
        <f t="shared" si="209"/>
        <v>253.17982230284184</v>
      </c>
      <c r="N177" s="315">
        <f t="shared" si="209"/>
        <v>245.90879850077167</v>
      </c>
      <c r="O177" s="315" t="str">
        <f t="shared" si="209"/>
        <v/>
      </c>
      <c r="P177" s="315">
        <f t="shared" si="209"/>
        <v>245.89234982009069</v>
      </c>
      <c r="R177" s="254" t="str">
        <f t="shared" si="199"/>
        <v/>
      </c>
      <c r="S177" s="254">
        <f t="shared" si="200"/>
        <v>-0.11645459213749365</v>
      </c>
      <c r="T177" s="254" t="str">
        <f t="shared" si="201"/>
        <v/>
      </c>
      <c r="U177" s="254">
        <f t="shared" si="202"/>
        <v>-0.25773591181804578</v>
      </c>
      <c r="V177" s="254">
        <f t="shared" si="203"/>
        <v>-0.18608446387514332</v>
      </c>
      <c r="W177" s="254" t="str">
        <f t="shared" si="204"/>
        <v/>
      </c>
      <c r="X177" s="254">
        <f t="shared" si="205"/>
        <v>-0.18357707454456629</v>
      </c>
    </row>
    <row r="178" spans="1:43">
      <c r="A178" s="186" t="s">
        <v>28</v>
      </c>
      <c r="J178" s="315" t="str">
        <f t="shared" ref="J178:P178" si="210">IFERROR((J168*J149*11.63/1000000+R131)/(J149*11.63+J112)*1000000,"")</f>
        <v/>
      </c>
      <c r="K178" s="315">
        <f t="shared" si="210"/>
        <v>428.63195860737045</v>
      </c>
      <c r="L178" s="315">
        <f t="shared" si="210"/>
        <v>1265.2171448002196</v>
      </c>
      <c r="M178" s="315">
        <f t="shared" si="210"/>
        <v>277.90688184462067</v>
      </c>
      <c r="N178" s="315">
        <f t="shared" si="210"/>
        <v>396.76150638377976</v>
      </c>
      <c r="O178" s="315">
        <f t="shared" si="210"/>
        <v>2.3482938269386833</v>
      </c>
      <c r="P178" s="315">
        <f t="shared" si="210"/>
        <v>435.29710982546811</v>
      </c>
      <c r="R178" s="254" t="str">
        <f t="shared" si="199"/>
        <v/>
      </c>
      <c r="S178" s="254">
        <f t="shared" si="200"/>
        <v>-0.1965237802956582</v>
      </c>
      <c r="T178" s="254">
        <f t="shared" si="201"/>
        <v>-0.14615380937776967</v>
      </c>
      <c r="U178" s="254">
        <f t="shared" si="202"/>
        <v>-0.41383712134260398</v>
      </c>
      <c r="V178" s="254">
        <f t="shared" si="203"/>
        <v>-0.28512487563304556</v>
      </c>
      <c r="W178" s="254">
        <f t="shared" si="204"/>
        <v>-0.35488633503348088</v>
      </c>
      <c r="X178" s="254">
        <f t="shared" si="205"/>
        <v>-0.30311414226416877</v>
      </c>
    </row>
    <row r="179" spans="1:43">
      <c r="A179" s="186" t="s">
        <v>350</v>
      </c>
      <c r="J179" s="315" t="str">
        <f t="shared" ref="J179:P179" si="211">IFERROR((J168*J150*11.63/1000000+R132)/(J150*11.63+J113)*1000000,"")</f>
        <v/>
      </c>
      <c r="K179" s="315">
        <f t="shared" si="211"/>
        <v>378.04859795222029</v>
      </c>
      <c r="L179" s="315" t="str">
        <f t="shared" si="211"/>
        <v/>
      </c>
      <c r="M179" s="315" t="str">
        <f t="shared" si="211"/>
        <v/>
      </c>
      <c r="N179" s="315" t="str">
        <f t="shared" si="211"/>
        <v/>
      </c>
      <c r="O179" s="315" t="str">
        <f t="shared" si="211"/>
        <v/>
      </c>
      <c r="P179" s="315">
        <f t="shared" si="211"/>
        <v>378.04859795222029</v>
      </c>
      <c r="R179" s="254" t="str">
        <f t="shared" si="199"/>
        <v/>
      </c>
      <c r="S179" s="254">
        <f t="shared" si="200"/>
        <v>0</v>
      </c>
      <c r="T179" s="254" t="str">
        <f t="shared" si="201"/>
        <v/>
      </c>
      <c r="U179" s="254" t="str">
        <f t="shared" si="202"/>
        <v/>
      </c>
      <c r="V179" s="254" t="str">
        <f t="shared" si="203"/>
        <v/>
      </c>
      <c r="W179" s="254" t="str">
        <f t="shared" si="204"/>
        <v/>
      </c>
      <c r="X179" s="254">
        <f t="shared" si="205"/>
        <v>0</v>
      </c>
    </row>
    <row r="180" spans="1:43">
      <c r="J180" s="181"/>
      <c r="K180" s="181"/>
      <c r="L180" s="181"/>
      <c r="M180" s="181"/>
      <c r="N180" s="181"/>
      <c r="O180" s="181"/>
      <c r="P180" s="181"/>
    </row>
    <row r="181" spans="1:43">
      <c r="J181" s="181"/>
      <c r="K181" s="181"/>
      <c r="L181" s="181"/>
      <c r="M181" s="181"/>
      <c r="N181" s="181"/>
      <c r="O181" s="181"/>
      <c r="P181" s="181"/>
    </row>
    <row r="182" spans="1:43">
      <c r="J182" s="181"/>
      <c r="K182" s="181"/>
      <c r="L182" s="181"/>
      <c r="M182" s="181"/>
      <c r="N182" s="181"/>
      <c r="O182" s="181"/>
      <c r="P182" s="181"/>
    </row>
    <row r="183" spans="1:43">
      <c r="J183" s="181"/>
      <c r="K183" s="181"/>
      <c r="L183" s="181"/>
      <c r="M183" s="181"/>
      <c r="N183" s="181"/>
      <c r="O183" s="181"/>
      <c r="P183" s="181"/>
    </row>
    <row r="184" spans="1:43">
      <c r="J184" s="181"/>
      <c r="K184" s="181"/>
      <c r="L184" s="181"/>
      <c r="M184" s="181"/>
      <c r="N184" s="181"/>
      <c r="O184" s="181"/>
      <c r="P184" s="181"/>
    </row>
    <row r="185" spans="1:43">
      <c r="J185" s="181"/>
      <c r="K185" s="181"/>
      <c r="L185" s="181"/>
      <c r="M185" s="181"/>
      <c r="N185" s="181"/>
      <c r="O185" s="181"/>
      <c r="P185" s="181"/>
    </row>
    <row r="188" spans="1:43" ht="15.5">
      <c r="A188" s="108"/>
      <c r="B188" s="108"/>
      <c r="J188" s="254">
        <f t="shared" ref="J188:O188" si="212">J199/J206</f>
        <v>8.8469269314610878E-7</v>
      </c>
      <c r="K188" s="254">
        <f t="shared" si="212"/>
        <v>0.5864965004836501</v>
      </c>
      <c r="L188" s="254">
        <f t="shared" si="212"/>
        <v>0.98909642846079981</v>
      </c>
      <c r="M188" s="254">
        <f t="shared" si="212"/>
        <v>0.44746187717920405</v>
      </c>
      <c r="N188" s="254">
        <f t="shared" si="212"/>
        <v>0.66017535533185123</v>
      </c>
      <c r="O188" s="254">
        <f t="shared" si="212"/>
        <v>0.69259422366452228</v>
      </c>
      <c r="P188" s="254">
        <f>SUM(K199:O199)/SUM(K206:O206)</f>
        <v>0.59941223945170996</v>
      </c>
    </row>
    <row r="189" spans="1:43">
      <c r="J189" s="166">
        <f>J243*((J199/11.63)/((J199/11.63)+J236))*41.868</f>
        <v>0</v>
      </c>
      <c r="K189" s="166">
        <f t="shared" ref="K189:P189" si="213">K243*((K199/11.63)/((K199/11.63)+K236))*41.868</f>
        <v>448655.97609477059</v>
      </c>
      <c r="L189" s="166">
        <f t="shared" si="213"/>
        <v>12251.244869663376</v>
      </c>
      <c r="M189" s="166">
        <f t="shared" si="213"/>
        <v>10233.479527698268</v>
      </c>
      <c r="N189" s="166">
        <f t="shared" si="213"/>
        <v>83941.232354087537</v>
      </c>
      <c r="O189" s="166">
        <f t="shared" si="213"/>
        <v>33514.854370103523</v>
      </c>
      <c r="P189" s="166">
        <f t="shared" si="213"/>
        <v>587870.70631090004</v>
      </c>
      <c r="AJ189" s="68" t="s">
        <v>264</v>
      </c>
    </row>
    <row r="190" spans="1:43">
      <c r="A190" s="402" t="s">
        <v>444</v>
      </c>
      <c r="J190" s="68"/>
      <c r="R190" s="68" t="s">
        <v>122</v>
      </c>
      <c r="S190" s="68"/>
    </row>
    <row r="191" spans="1:43" ht="15.5">
      <c r="A191" s="68" t="s">
        <v>531</v>
      </c>
      <c r="J191" s="180" t="s">
        <v>5</v>
      </c>
      <c r="K191" s="180" t="s">
        <v>186</v>
      </c>
      <c r="L191" s="180" t="s">
        <v>187</v>
      </c>
      <c r="M191" s="180" t="s">
        <v>190</v>
      </c>
      <c r="N191" s="180" t="s">
        <v>192</v>
      </c>
      <c r="O191" s="180" t="s">
        <v>191</v>
      </c>
      <c r="P191" s="180" t="s">
        <v>189</v>
      </c>
      <c r="Q191" s="2"/>
      <c r="R191" s="180" t="s">
        <v>5</v>
      </c>
      <c r="S191" s="180" t="s">
        <v>186</v>
      </c>
      <c r="T191" s="180" t="s">
        <v>187</v>
      </c>
      <c r="U191" s="180" t="s">
        <v>190</v>
      </c>
      <c r="V191" s="180" t="s">
        <v>192</v>
      </c>
      <c r="W191" s="180" t="s">
        <v>191</v>
      </c>
      <c r="X191" s="180" t="s">
        <v>189</v>
      </c>
      <c r="AA191" s="68"/>
      <c r="AB191" s="553"/>
      <c r="AJ191" s="68"/>
      <c r="AK191" s="180" t="s">
        <v>5</v>
      </c>
      <c r="AL191" s="180" t="s">
        <v>186</v>
      </c>
      <c r="AM191" s="180" t="s">
        <v>187</v>
      </c>
      <c r="AN191" s="180" t="s">
        <v>190</v>
      </c>
      <c r="AO191" s="180" t="s">
        <v>192</v>
      </c>
      <c r="AP191" s="180" t="s">
        <v>191</v>
      </c>
      <c r="AQ191" s="180" t="s">
        <v>189</v>
      </c>
    </row>
    <row r="192" spans="1:43" ht="15.5">
      <c r="A192" s="11" t="s">
        <v>16</v>
      </c>
      <c r="J192" s="179">
        <f t="shared" ref="J192:P192" si="214">SUM(J193:J198)</f>
        <v>22606.7</v>
      </c>
      <c r="K192" s="179">
        <f t="shared" si="214"/>
        <v>58488.109999999993</v>
      </c>
      <c r="L192" s="179">
        <f t="shared" si="214"/>
        <v>17.600000000000001</v>
      </c>
      <c r="M192" s="179">
        <f t="shared" si="214"/>
        <v>2736.76</v>
      </c>
      <c r="N192" s="179">
        <f t="shared" si="214"/>
        <v>6802.1</v>
      </c>
      <c r="O192" s="179">
        <f t="shared" si="214"/>
        <v>2422.17</v>
      </c>
      <c r="P192" s="179">
        <f t="shared" si="214"/>
        <v>93073.44</v>
      </c>
      <c r="Q192" s="2"/>
      <c r="R192" s="206">
        <v>10</v>
      </c>
      <c r="S192" s="206">
        <v>6.6180000000000003</v>
      </c>
      <c r="T192" s="206">
        <v>8.9570000000000007</v>
      </c>
      <c r="U192" s="206">
        <v>9.8420000000000005</v>
      </c>
      <c r="V192" s="206">
        <v>11.452999999999999</v>
      </c>
      <c r="W192" s="206">
        <v>9.9339999999999993</v>
      </c>
      <c r="X192" s="451">
        <v>7.9740000000000002</v>
      </c>
      <c r="AA192" s="68"/>
      <c r="AC192" s="403"/>
      <c r="AJ192" s="11" t="s">
        <v>16</v>
      </c>
      <c r="AK192" s="256">
        <f t="shared" ref="AK192:AK206" si="215">IFERROR(J192*3.6/J211,"")</f>
        <v>0.36000000000000004</v>
      </c>
      <c r="AL192" s="256">
        <f t="shared" ref="AL192:AL206" si="216">IFERROR(K192*3.6/K211,"")</f>
        <v>0.54396173098980605</v>
      </c>
      <c r="AM192" s="256">
        <f t="shared" ref="AM192:AM206" si="217">IFERROR(L192*3.6/L211,"")</f>
        <v>0.40192028580998096</v>
      </c>
      <c r="AN192" s="256">
        <f t="shared" ref="AN192:AN206" si="218">IFERROR(M192*3.6/M211,"")</f>
        <v>0.36583981788226738</v>
      </c>
      <c r="AO192" s="256">
        <f t="shared" ref="AO192:AO206" si="219">IFERROR(N192*3.6/N211,"")</f>
        <v>0.31431716068592586</v>
      </c>
      <c r="AP192" s="256">
        <f t="shared" ref="AP192:AP206" si="220">IFERROR(O192*3.6/O211,"")</f>
        <v>0.36240401395470223</v>
      </c>
      <c r="AQ192" s="256">
        <f t="shared" ref="AQ192:AQ206" si="221">IFERROR(P192*3.6/P211,"")</f>
        <v>0.45144484593248257</v>
      </c>
    </row>
    <row r="193" spans="1:43" ht="15.5">
      <c r="A193" s="10" t="s">
        <v>17</v>
      </c>
      <c r="J193" s="181"/>
      <c r="K193" s="181">
        <v>157.16</v>
      </c>
      <c r="L193" s="181">
        <v>17.600000000000001</v>
      </c>
      <c r="M193" s="181">
        <v>198.15</v>
      </c>
      <c r="N193" s="181">
        <v>975.7</v>
      </c>
      <c r="O193" s="181">
        <v>2374.65</v>
      </c>
      <c r="P193" s="179">
        <f t="shared" ref="P193:P198" si="222">SUM(J193:O193)</f>
        <v>3723.26</v>
      </c>
      <c r="Q193" s="2"/>
      <c r="R193" s="584">
        <v>0</v>
      </c>
      <c r="S193" s="584">
        <v>9.6969999999999992</v>
      </c>
      <c r="T193" s="584">
        <v>8.9570000000000007</v>
      </c>
      <c r="U193" s="584">
        <v>9.4830000000000005</v>
      </c>
      <c r="V193" s="584">
        <v>8.77</v>
      </c>
      <c r="W193" s="584">
        <v>9.9250000000000007</v>
      </c>
      <c r="X193" s="206">
        <v>9.5850000000000009</v>
      </c>
      <c r="Z193" s="169"/>
      <c r="AA193" s="207"/>
      <c r="AB193" s="207"/>
      <c r="AC193" s="186"/>
      <c r="AF193" s="185"/>
      <c r="AG193" s="207"/>
      <c r="AH193" s="207"/>
      <c r="AJ193" s="10" t="s">
        <v>17</v>
      </c>
      <c r="AK193" s="56" t="str">
        <f t="shared" si="215"/>
        <v/>
      </c>
      <c r="AL193" s="56">
        <f t="shared" si="216"/>
        <v>0.3712488398473755</v>
      </c>
      <c r="AM193" s="56">
        <f t="shared" si="217"/>
        <v>0.40192028580998096</v>
      </c>
      <c r="AN193" s="56">
        <f t="shared" si="218"/>
        <v>0.37962670041126223</v>
      </c>
      <c r="AO193" s="56">
        <f t="shared" si="219"/>
        <v>0.410490307867731</v>
      </c>
      <c r="AP193" s="56">
        <f t="shared" si="220"/>
        <v>0.36272040302267</v>
      </c>
      <c r="AQ193" s="256">
        <f t="shared" si="221"/>
        <v>0.37560239618670854</v>
      </c>
    </row>
    <row r="194" spans="1:43" ht="15.5">
      <c r="A194" s="10" t="s">
        <v>18</v>
      </c>
      <c r="J194" s="181"/>
      <c r="K194" s="181">
        <v>180.15</v>
      </c>
      <c r="L194" s="181"/>
      <c r="M194" s="181">
        <v>7.73</v>
      </c>
      <c r="N194" s="181">
        <v>10.6</v>
      </c>
      <c r="O194" s="181">
        <v>34.200000000000003</v>
      </c>
      <c r="P194" s="179">
        <f t="shared" si="222"/>
        <v>232.68</v>
      </c>
      <c r="Q194" s="2"/>
      <c r="R194" s="584">
        <v>0</v>
      </c>
      <c r="S194" s="584">
        <v>10.805</v>
      </c>
      <c r="T194" s="584"/>
      <c r="U194" s="584">
        <v>15.249000000000001</v>
      </c>
      <c r="V194" s="584">
        <v>13.558</v>
      </c>
      <c r="W194" s="584">
        <v>10.879</v>
      </c>
      <c r="X194" s="206">
        <v>11.087999999999999</v>
      </c>
      <c r="Z194" s="169"/>
      <c r="AA194" s="207"/>
      <c r="AB194" s="207"/>
      <c r="AC194" s="186"/>
      <c r="AF194" s="185"/>
      <c r="AG194" s="207"/>
      <c r="AH194" s="207"/>
      <c r="AJ194" s="10" t="s">
        <v>18</v>
      </c>
      <c r="AK194" s="56" t="str">
        <f t="shared" si="215"/>
        <v/>
      </c>
      <c r="AL194" s="56">
        <f t="shared" si="216"/>
        <v>0.3331790837575197</v>
      </c>
      <c r="AM194" s="56" t="str">
        <f t="shared" si="217"/>
        <v/>
      </c>
      <c r="AN194" s="56">
        <f t="shared" si="218"/>
        <v>0.23608105449537675</v>
      </c>
      <c r="AO194" s="56">
        <f t="shared" si="219"/>
        <v>0.26552588877415545</v>
      </c>
      <c r="AP194" s="56">
        <f t="shared" si="220"/>
        <v>0.33091276771762113</v>
      </c>
      <c r="AQ194" s="256">
        <f t="shared" si="221"/>
        <v>0.32464810913467274</v>
      </c>
    </row>
    <row r="195" spans="1:43" ht="15.5">
      <c r="A195" s="10" t="s">
        <v>19</v>
      </c>
      <c r="J195" s="181">
        <v>22606.7</v>
      </c>
      <c r="K195" s="181">
        <v>3347</v>
      </c>
      <c r="L195" s="181"/>
      <c r="M195" s="181">
        <v>2524.04</v>
      </c>
      <c r="N195" s="181">
        <v>4173.5</v>
      </c>
      <c r="O195" s="181">
        <v>8.4</v>
      </c>
      <c r="P195" s="179">
        <f t="shared" si="222"/>
        <v>32659.640000000003</v>
      </c>
      <c r="Q195" s="2"/>
      <c r="R195" s="584">
        <v>10</v>
      </c>
      <c r="S195" s="584">
        <v>5.89</v>
      </c>
      <c r="T195" s="584"/>
      <c r="U195" s="584">
        <v>9.8559999999999999</v>
      </c>
      <c r="V195" s="584">
        <v>13.539</v>
      </c>
      <c r="W195" s="584">
        <v>9.08</v>
      </c>
      <c r="X195" s="206">
        <v>10.02</v>
      </c>
      <c r="Z195" s="169"/>
      <c r="AA195" s="207"/>
      <c r="AB195" s="207"/>
      <c r="AC195" s="186"/>
      <c r="AF195" s="185"/>
      <c r="AG195" s="207"/>
      <c r="AH195" s="207"/>
      <c r="AJ195" s="10" t="s">
        <v>19</v>
      </c>
      <c r="AK195" s="56">
        <f t="shared" si="215"/>
        <v>0.36000000000000004</v>
      </c>
      <c r="AL195" s="56">
        <f t="shared" si="216"/>
        <v>0.61120543293718177</v>
      </c>
      <c r="AM195" s="56" t="str">
        <f t="shared" si="217"/>
        <v/>
      </c>
      <c r="AN195" s="56">
        <f t="shared" si="218"/>
        <v>0.36525974025974028</v>
      </c>
      <c r="AO195" s="56">
        <f t="shared" si="219"/>
        <v>0.26589851539995568</v>
      </c>
      <c r="AP195" s="56">
        <f t="shared" si="220"/>
        <v>0.3964757709251101</v>
      </c>
      <c r="AQ195" s="256">
        <f t="shared" si="221"/>
        <v>0.35929300484879523</v>
      </c>
    </row>
    <row r="196" spans="1:43" ht="15.5">
      <c r="A196" s="10" t="s">
        <v>20</v>
      </c>
      <c r="J196" s="181"/>
      <c r="K196" s="181">
        <v>54803.7</v>
      </c>
      <c r="L196" s="181"/>
      <c r="M196" s="181">
        <v>6.84</v>
      </c>
      <c r="N196" s="181">
        <v>1642.3</v>
      </c>
      <c r="O196" s="181">
        <v>4.92</v>
      </c>
      <c r="P196" s="179">
        <f t="shared" si="222"/>
        <v>56457.759999999995</v>
      </c>
      <c r="Q196" s="2"/>
      <c r="R196" s="584">
        <v>0</v>
      </c>
      <c r="S196" s="584">
        <v>6.64</v>
      </c>
      <c r="T196" s="584"/>
      <c r="U196" s="584">
        <v>8.3140000000000001</v>
      </c>
      <c r="V196" s="584">
        <v>7.734</v>
      </c>
      <c r="W196" s="584">
        <v>9.0020000000000007</v>
      </c>
      <c r="X196" s="206">
        <v>6.6719999999999997</v>
      </c>
      <c r="Z196" s="169"/>
      <c r="AA196" s="207"/>
      <c r="AB196" s="207"/>
      <c r="AC196" s="186"/>
      <c r="AF196" s="185"/>
      <c r="AG196" s="207"/>
      <c r="AH196" s="207"/>
      <c r="AJ196" s="10" t="s">
        <v>20</v>
      </c>
      <c r="AK196" s="56" t="str">
        <f t="shared" si="215"/>
        <v/>
      </c>
      <c r="AL196" s="56">
        <f t="shared" si="216"/>
        <v>0.54216867469879526</v>
      </c>
      <c r="AM196" s="56" t="str">
        <f t="shared" si="217"/>
        <v/>
      </c>
      <c r="AN196" s="56">
        <f t="shared" si="218"/>
        <v>0.43300457060380082</v>
      </c>
      <c r="AO196" s="56">
        <f t="shared" si="219"/>
        <v>0.46547711404189296</v>
      </c>
      <c r="AP196" s="56">
        <f t="shared" si="220"/>
        <v>0.39991113085980889</v>
      </c>
      <c r="AQ196" s="256">
        <f t="shared" si="221"/>
        <v>0.53954958274729758</v>
      </c>
    </row>
    <row r="197" spans="1:43" ht="15.5">
      <c r="A197" s="10" t="s">
        <v>22</v>
      </c>
      <c r="J197" s="181"/>
      <c r="K197" s="181"/>
      <c r="L197" s="181"/>
      <c r="M197" s="181"/>
      <c r="N197" s="181"/>
      <c r="O197" s="181"/>
      <c r="P197" s="179">
        <f t="shared" si="222"/>
        <v>0</v>
      </c>
      <c r="Q197" s="2"/>
      <c r="R197" s="584">
        <v>0</v>
      </c>
      <c r="S197" s="584">
        <v>0</v>
      </c>
      <c r="T197" s="584">
        <v>0</v>
      </c>
      <c r="U197" s="584">
        <v>0</v>
      </c>
      <c r="V197" s="584">
        <v>0</v>
      </c>
      <c r="W197" s="584">
        <v>0</v>
      </c>
      <c r="X197" s="206">
        <v>0</v>
      </c>
      <c r="AC197" s="403"/>
      <c r="AF197" s="210"/>
      <c r="AG197" s="210"/>
      <c r="AH197" s="210"/>
      <c r="AJ197" s="10" t="s">
        <v>22</v>
      </c>
      <c r="AK197" s="56" t="str">
        <f t="shared" si="215"/>
        <v/>
      </c>
      <c r="AL197" s="56" t="str">
        <f t="shared" si="216"/>
        <v/>
      </c>
      <c r="AM197" s="56" t="str">
        <f t="shared" si="217"/>
        <v/>
      </c>
      <c r="AN197" s="56" t="str">
        <f t="shared" si="218"/>
        <v/>
      </c>
      <c r="AO197" s="56" t="str">
        <f t="shared" si="219"/>
        <v/>
      </c>
      <c r="AP197" s="56" t="str">
        <f t="shared" si="220"/>
        <v/>
      </c>
      <c r="AQ197" s="256" t="str">
        <f t="shared" si="221"/>
        <v/>
      </c>
    </row>
    <row r="198" spans="1:43" ht="15.5">
      <c r="A198" s="10" t="s">
        <v>349</v>
      </c>
      <c r="J198" s="181"/>
      <c r="K198" s="181">
        <v>0.1</v>
      </c>
      <c r="L198" s="181"/>
      <c r="M198" s="181"/>
      <c r="N198" s="181"/>
      <c r="O198" s="181"/>
      <c r="P198" s="179">
        <f t="shared" si="222"/>
        <v>0.1</v>
      </c>
      <c r="Q198" s="2"/>
      <c r="R198" s="584">
        <v>0</v>
      </c>
      <c r="S198" s="584">
        <v>7.0620000000000003</v>
      </c>
      <c r="T198" s="584"/>
      <c r="U198" s="584"/>
      <c r="V198" s="584"/>
      <c r="W198" s="584"/>
      <c r="X198" s="206">
        <v>7.0620000000000003</v>
      </c>
      <c r="Z198" s="169"/>
      <c r="AA198" s="207"/>
      <c r="AB198" s="207"/>
      <c r="AC198" s="403"/>
      <c r="AF198" s="185"/>
      <c r="AG198" s="207"/>
      <c r="AH198" s="207"/>
      <c r="AJ198" s="10" t="s">
        <v>349</v>
      </c>
      <c r="AK198" s="56" t="str">
        <f t="shared" si="215"/>
        <v/>
      </c>
      <c r="AL198" s="56" t="str">
        <f t="shared" si="216"/>
        <v/>
      </c>
      <c r="AM198" s="56" t="str">
        <f t="shared" si="217"/>
        <v/>
      </c>
      <c r="AN198" s="56" t="str">
        <f t="shared" si="218"/>
        <v/>
      </c>
      <c r="AO198" s="56" t="str">
        <f t="shared" si="219"/>
        <v/>
      </c>
      <c r="AP198" s="56" t="str">
        <f t="shared" si="220"/>
        <v/>
      </c>
      <c r="AQ198" s="256" t="str">
        <f t="shared" si="221"/>
        <v/>
      </c>
    </row>
    <row r="199" spans="1:43" ht="15.5">
      <c r="A199" s="11" t="s">
        <v>23</v>
      </c>
      <c r="J199" s="179">
        <f t="shared" ref="J199:P199" si="223">SUM(J200:J205)</f>
        <v>0.02</v>
      </c>
      <c r="K199" s="179">
        <f t="shared" si="223"/>
        <v>82957.149999999994</v>
      </c>
      <c r="L199" s="179">
        <f t="shared" si="223"/>
        <v>1596.5500000000002</v>
      </c>
      <c r="M199" s="179">
        <f t="shared" si="223"/>
        <v>2216.3100000000004</v>
      </c>
      <c r="N199" s="179">
        <f t="shared" si="223"/>
        <v>13214.4</v>
      </c>
      <c r="O199" s="179">
        <f t="shared" si="223"/>
        <v>5457.22</v>
      </c>
      <c r="P199" s="179">
        <f t="shared" si="223"/>
        <v>105441.65</v>
      </c>
      <c r="Q199" s="2"/>
      <c r="R199" s="206">
        <v>0</v>
      </c>
      <c r="S199" s="206">
        <v>6.03</v>
      </c>
      <c r="T199" s="206">
        <v>9.0139999999999993</v>
      </c>
      <c r="U199" s="206">
        <v>6.1029999999999998</v>
      </c>
      <c r="V199" s="206">
        <v>8.0090000000000003</v>
      </c>
      <c r="W199" s="206">
        <v>7.42</v>
      </c>
      <c r="X199" s="451">
        <v>6.3970000000000002</v>
      </c>
      <c r="Z199" s="169"/>
      <c r="AA199" s="419"/>
      <c r="AB199" s="342"/>
      <c r="AC199" s="403"/>
      <c r="AF199" s="210"/>
      <c r="AG199" s="210"/>
      <c r="AH199" s="210"/>
      <c r="AJ199" s="11" t="s">
        <v>23</v>
      </c>
      <c r="AK199" s="256" t="str">
        <f t="shared" si="215"/>
        <v/>
      </c>
      <c r="AL199" s="256">
        <f t="shared" si="216"/>
        <v>0.59706010497540918</v>
      </c>
      <c r="AM199" s="256">
        <f t="shared" si="217"/>
        <v>0.39938899580536563</v>
      </c>
      <c r="AN199" s="256">
        <f t="shared" si="218"/>
        <v>0.58989515986990326</v>
      </c>
      <c r="AO199" s="256">
        <f t="shared" si="219"/>
        <v>0.44953972177837098</v>
      </c>
      <c r="AP199" s="256">
        <f t="shared" si="220"/>
        <v>0.48518258187894681</v>
      </c>
      <c r="AQ199" s="256">
        <f t="shared" si="221"/>
        <v>0.56283429930594187</v>
      </c>
    </row>
    <row r="200" spans="1:43" ht="15.5">
      <c r="A200" s="10" t="s">
        <v>24</v>
      </c>
      <c r="J200" s="181"/>
      <c r="K200" s="181">
        <v>12121.9</v>
      </c>
      <c r="L200" s="181">
        <v>158.44999999999999</v>
      </c>
      <c r="M200" s="181">
        <v>10.1</v>
      </c>
      <c r="N200" s="181">
        <v>950.5</v>
      </c>
      <c r="O200" s="181">
        <v>5419.8</v>
      </c>
      <c r="P200" s="179">
        <f t="shared" ref="P200:P205" si="224">SUM(J200:O200)</f>
        <v>18660.75</v>
      </c>
      <c r="Q200" s="2"/>
      <c r="R200" s="584">
        <v>0</v>
      </c>
      <c r="S200" s="584">
        <v>5.6390000000000002</v>
      </c>
      <c r="T200" s="584">
        <v>7.3819999999999997</v>
      </c>
      <c r="U200" s="584">
        <v>5.9989999999999997</v>
      </c>
      <c r="V200" s="584">
        <v>7.8109999999999999</v>
      </c>
      <c r="W200" s="584">
        <v>7.4169999999999998</v>
      </c>
      <c r="X200" s="206">
        <v>6.2850000000000001</v>
      </c>
      <c r="Z200" s="169"/>
      <c r="AA200" s="207"/>
      <c r="AB200" s="207"/>
      <c r="AC200" s="186"/>
      <c r="AF200" s="185"/>
      <c r="AG200" s="207"/>
      <c r="AH200" s="207"/>
      <c r="AJ200" s="10" t="s">
        <v>24</v>
      </c>
      <c r="AK200" s="56" t="str">
        <f t="shared" si="215"/>
        <v/>
      </c>
      <c r="AL200" s="56">
        <f t="shared" si="216"/>
        <v>0.63841106579180695</v>
      </c>
      <c r="AM200" s="56">
        <f t="shared" si="217"/>
        <v>0.48767271742075319</v>
      </c>
      <c r="AN200" s="56">
        <f t="shared" si="218"/>
        <v>0.60010001666944501</v>
      </c>
      <c r="AO200" s="56">
        <f t="shared" si="219"/>
        <v>0.46088849059019338</v>
      </c>
      <c r="AP200" s="56">
        <f t="shared" si="220"/>
        <v>0.48537144398004589</v>
      </c>
      <c r="AQ200" s="256">
        <f t="shared" si="221"/>
        <v>0.57315467966133626</v>
      </c>
    </row>
    <row r="201" spans="1:43" ht="15.5">
      <c r="A201" s="10" t="s">
        <v>25</v>
      </c>
      <c r="J201" s="181"/>
      <c r="K201" s="181">
        <v>6059</v>
      </c>
      <c r="L201" s="181"/>
      <c r="M201" s="181">
        <v>484.8</v>
      </c>
      <c r="N201" s="181">
        <v>19.3</v>
      </c>
      <c r="O201" s="181">
        <v>2.9</v>
      </c>
      <c r="P201" s="179">
        <f t="shared" si="224"/>
        <v>6566</v>
      </c>
      <c r="Q201" s="2"/>
      <c r="R201" s="584">
        <v>0</v>
      </c>
      <c r="S201" s="584">
        <v>5.3819999999999997</v>
      </c>
      <c r="T201" s="584">
        <v>4.8730000000000002</v>
      </c>
      <c r="U201" s="584">
        <v>5.1879999999999997</v>
      </c>
      <c r="V201" s="584">
        <v>9.98</v>
      </c>
      <c r="W201" s="584">
        <v>6.2450000000000001</v>
      </c>
      <c r="X201" s="206">
        <v>5.3819999999999997</v>
      </c>
      <c r="Z201" s="169"/>
      <c r="AA201" s="207"/>
      <c r="AB201" s="207"/>
      <c r="AC201" s="186"/>
      <c r="AF201" s="185"/>
      <c r="AG201" s="207"/>
      <c r="AH201" s="207"/>
      <c r="AJ201" s="10" t="s">
        <v>25</v>
      </c>
      <c r="AK201" s="56" t="str">
        <f t="shared" si="215"/>
        <v/>
      </c>
      <c r="AL201" s="56">
        <f t="shared" si="216"/>
        <v>0.66889632107023422</v>
      </c>
      <c r="AM201" s="56" t="str">
        <f t="shared" si="217"/>
        <v/>
      </c>
      <c r="AN201" s="56">
        <f t="shared" si="218"/>
        <v>0.69390902081727068</v>
      </c>
      <c r="AO201" s="56">
        <f t="shared" si="219"/>
        <v>0.36072144288577157</v>
      </c>
      <c r="AP201" s="56">
        <f t="shared" si="220"/>
        <v>0.57646116893514809</v>
      </c>
      <c r="AQ201" s="256">
        <f t="shared" si="221"/>
        <v>0.66894945924335514</v>
      </c>
    </row>
    <row r="202" spans="1:43" ht="15.5">
      <c r="A202" s="10" t="s">
        <v>26</v>
      </c>
      <c r="J202" s="181"/>
      <c r="K202" s="181">
        <v>63358.7</v>
      </c>
      <c r="L202" s="181">
        <v>682.2</v>
      </c>
      <c r="M202" s="181">
        <v>1368.8</v>
      </c>
      <c r="N202" s="181">
        <v>7516.2</v>
      </c>
      <c r="O202" s="181">
        <v>32.4</v>
      </c>
      <c r="P202" s="179">
        <f t="shared" si="224"/>
        <v>72958.299999999988</v>
      </c>
      <c r="Q202" s="2"/>
      <c r="R202" s="584">
        <v>0</v>
      </c>
      <c r="S202" s="584">
        <v>6.1319999999999997</v>
      </c>
      <c r="T202" s="584">
        <v>8.577</v>
      </c>
      <c r="U202" s="584">
        <v>6.532</v>
      </c>
      <c r="V202" s="584">
        <v>5.9290000000000003</v>
      </c>
      <c r="W202" s="584">
        <v>7.7619999999999996</v>
      </c>
      <c r="X202" s="206">
        <v>6.1420000000000003</v>
      </c>
      <c r="Z202" s="169"/>
      <c r="AA202" s="207"/>
      <c r="AB202" s="207"/>
      <c r="AC202" s="186"/>
      <c r="AF202" s="185"/>
      <c r="AG202" s="207"/>
      <c r="AH202" s="207"/>
      <c r="AJ202" s="10" t="s">
        <v>26</v>
      </c>
      <c r="AK202" s="56" t="str">
        <f t="shared" si="215"/>
        <v/>
      </c>
      <c r="AL202" s="56">
        <f t="shared" si="216"/>
        <v>0.58708414872798442</v>
      </c>
      <c r="AM202" s="56">
        <f t="shared" si="217"/>
        <v>0.41972717733473242</v>
      </c>
      <c r="AN202" s="56">
        <f t="shared" si="218"/>
        <v>0.55113288426209439</v>
      </c>
      <c r="AO202" s="56">
        <f t="shared" si="219"/>
        <v>0.60718502276943831</v>
      </c>
      <c r="AP202" s="56">
        <f t="shared" si="220"/>
        <v>0.46379799020870915</v>
      </c>
      <c r="AQ202" s="256">
        <f t="shared" si="221"/>
        <v>0.58611137270854163</v>
      </c>
    </row>
    <row r="203" spans="1:43" ht="15.5">
      <c r="A203" s="10" t="s">
        <v>27</v>
      </c>
      <c r="J203" s="181">
        <v>0.01</v>
      </c>
      <c r="K203" s="181">
        <v>447.01</v>
      </c>
      <c r="L203" s="181"/>
      <c r="M203" s="181">
        <v>177</v>
      </c>
      <c r="N203" s="181">
        <v>661</v>
      </c>
      <c r="O203" s="181">
        <v>0.01</v>
      </c>
      <c r="P203" s="179">
        <f t="shared" si="224"/>
        <v>1285.03</v>
      </c>
      <c r="Q203" s="2"/>
      <c r="R203" s="584">
        <v>0</v>
      </c>
      <c r="S203" s="584">
        <v>4.7359999999999998</v>
      </c>
      <c r="T203" s="584">
        <v>0</v>
      </c>
      <c r="U203" s="584">
        <v>5.0549999999999997</v>
      </c>
      <c r="V203" s="584">
        <v>5.6950000000000003</v>
      </c>
      <c r="W203" s="584">
        <v>0</v>
      </c>
      <c r="X203" s="206">
        <v>5.2729999999999997</v>
      </c>
      <c r="Z203" s="169"/>
      <c r="AA203" s="207"/>
      <c r="AB203" s="207"/>
      <c r="AC203" s="186"/>
      <c r="AF203" s="210"/>
      <c r="AG203" s="210"/>
      <c r="AH203" s="210"/>
      <c r="AJ203" s="10" t="s">
        <v>27</v>
      </c>
      <c r="AK203" s="56" t="str">
        <f t="shared" si="215"/>
        <v/>
      </c>
      <c r="AL203" s="56">
        <f t="shared" si="216"/>
        <v>0.76013513513513531</v>
      </c>
      <c r="AM203" s="56" t="str">
        <f t="shared" si="217"/>
        <v/>
      </c>
      <c r="AN203" s="56">
        <f t="shared" si="218"/>
        <v>0.71216617210682509</v>
      </c>
      <c r="AO203" s="56">
        <f t="shared" si="219"/>
        <v>0.6321334503950834</v>
      </c>
      <c r="AP203" s="56" t="str">
        <f t="shared" si="220"/>
        <v/>
      </c>
      <c r="AQ203" s="256">
        <f t="shared" si="221"/>
        <v>0.68270253504997991</v>
      </c>
    </row>
    <row r="204" spans="1:43" ht="15.5">
      <c r="A204" s="10" t="s">
        <v>28</v>
      </c>
      <c r="J204" s="181">
        <v>0.01</v>
      </c>
      <c r="K204" s="181">
        <v>970.34</v>
      </c>
      <c r="L204" s="181">
        <v>755.9</v>
      </c>
      <c r="M204" s="181">
        <v>175.6</v>
      </c>
      <c r="N204" s="181">
        <v>4067.4</v>
      </c>
      <c r="O204" s="181">
        <v>2.1</v>
      </c>
      <c r="P204" s="179">
        <f t="shared" si="224"/>
        <v>5971.35</v>
      </c>
      <c r="Q204" s="2"/>
      <c r="R204" s="584">
        <v>0</v>
      </c>
      <c r="S204" s="584">
        <v>8.859</v>
      </c>
      <c r="T204" s="584">
        <v>9.75</v>
      </c>
      <c r="U204" s="584">
        <v>6.3449999999999998</v>
      </c>
      <c r="V204" s="584">
        <v>12.263</v>
      </c>
      <c r="W204" s="584">
        <v>11.286</v>
      </c>
      <c r="X204" s="206">
        <v>11.218</v>
      </c>
      <c r="AA204" s="419"/>
      <c r="AB204" s="342"/>
      <c r="AC204" s="403"/>
      <c r="AJ204" s="10" t="s">
        <v>28</v>
      </c>
      <c r="AK204" s="56" t="str">
        <f t="shared" si="215"/>
        <v/>
      </c>
      <c r="AL204" s="56">
        <f t="shared" si="216"/>
        <v>0.40636640704368437</v>
      </c>
      <c r="AM204" s="56">
        <f t="shared" si="217"/>
        <v>0.3692307692307692</v>
      </c>
      <c r="AN204" s="56">
        <f t="shared" si="218"/>
        <v>0.56737588652482263</v>
      </c>
      <c r="AO204" s="56">
        <f t="shared" si="219"/>
        <v>0.29356601157954826</v>
      </c>
      <c r="AP204" s="56">
        <f t="shared" si="220"/>
        <v>0.31897926634768742</v>
      </c>
      <c r="AQ204" s="256">
        <f t="shared" si="221"/>
        <v>0.32093163977101224</v>
      </c>
    </row>
    <row r="205" spans="1:43" ht="15.5">
      <c r="A205" s="10" t="s">
        <v>351</v>
      </c>
      <c r="J205" s="181"/>
      <c r="K205" s="181">
        <v>0.2</v>
      </c>
      <c r="L205" s="181"/>
      <c r="M205" s="181">
        <v>0.01</v>
      </c>
      <c r="N205" s="181">
        <v>0</v>
      </c>
      <c r="O205" s="181">
        <v>0.01</v>
      </c>
      <c r="P205" s="179">
        <f t="shared" si="224"/>
        <v>0.22000000000000003</v>
      </c>
      <c r="Q205" s="2"/>
      <c r="R205" s="584">
        <v>0</v>
      </c>
      <c r="S205" s="584">
        <v>7.1779999999999999</v>
      </c>
      <c r="T205" s="584">
        <v>0</v>
      </c>
      <c r="U205" s="584">
        <v>0</v>
      </c>
      <c r="V205" s="584">
        <v>0</v>
      </c>
      <c r="W205" s="584">
        <v>0</v>
      </c>
      <c r="X205" s="206">
        <v>7.1779999999999999</v>
      </c>
      <c r="Z205" s="169"/>
      <c r="AA205" s="207"/>
      <c r="AB205" s="207"/>
      <c r="AC205" s="186"/>
      <c r="AF205" s="207"/>
      <c r="AG205" s="207"/>
      <c r="AH205" s="207"/>
      <c r="AJ205" s="10" t="s">
        <v>351</v>
      </c>
      <c r="AK205" s="56" t="str">
        <f t="shared" si="215"/>
        <v/>
      </c>
      <c r="AL205" s="56">
        <f t="shared" si="216"/>
        <v>0.50153246029534693</v>
      </c>
      <c r="AM205" s="56" t="str">
        <f t="shared" si="217"/>
        <v/>
      </c>
      <c r="AN205" s="56" t="str">
        <f t="shared" si="218"/>
        <v/>
      </c>
      <c r="AO205" s="56" t="str">
        <f t="shared" si="219"/>
        <v/>
      </c>
      <c r="AP205" s="56" t="str">
        <f t="shared" si="220"/>
        <v/>
      </c>
      <c r="AQ205" s="256">
        <f t="shared" si="221"/>
        <v>0.55168570632488168</v>
      </c>
    </row>
    <row r="206" spans="1:43" ht="15.5">
      <c r="A206" s="11" t="s">
        <v>9</v>
      </c>
      <c r="J206" s="179">
        <f t="shared" ref="J206:O206" si="225">J192+J199</f>
        <v>22606.720000000001</v>
      </c>
      <c r="K206" s="179">
        <f t="shared" si="225"/>
        <v>141445.25999999998</v>
      </c>
      <c r="L206" s="179">
        <f t="shared" si="225"/>
        <v>1614.15</v>
      </c>
      <c r="M206" s="179">
        <f t="shared" si="225"/>
        <v>4953.0700000000006</v>
      </c>
      <c r="N206" s="179">
        <f t="shared" si="225"/>
        <v>20016.5</v>
      </c>
      <c r="O206" s="179">
        <f t="shared" si="225"/>
        <v>7879.39</v>
      </c>
      <c r="P206" s="785">
        <f>P192+P199+'3'!$AH$27*1000</f>
        <v>199209.68143500001</v>
      </c>
      <c r="Q206" s="2"/>
      <c r="R206" s="206">
        <v>10</v>
      </c>
      <c r="S206" s="206">
        <v>6.2729999999999997</v>
      </c>
      <c r="T206" s="206">
        <v>9.0129999999999999</v>
      </c>
      <c r="U206" s="206">
        <v>8.1690000000000005</v>
      </c>
      <c r="V206" s="206">
        <v>9.1790000000000003</v>
      </c>
      <c r="W206" s="206">
        <v>8.1929999999999996</v>
      </c>
      <c r="X206" s="206">
        <v>7.1369999999999996</v>
      </c>
      <c r="Z206" s="169"/>
      <c r="AA206" s="207"/>
      <c r="AB206" s="207"/>
      <c r="AC206" s="186"/>
      <c r="AF206" s="207"/>
      <c r="AG206" s="207"/>
      <c r="AH206" s="207"/>
      <c r="AJ206" s="11" t="s">
        <v>9</v>
      </c>
      <c r="AK206" s="256">
        <f t="shared" si="215"/>
        <v>0.36000031848965136</v>
      </c>
      <c r="AL206" s="256">
        <f t="shared" si="216"/>
        <v>0.57389550076530338</v>
      </c>
      <c r="AM206" s="256">
        <f t="shared" si="217"/>
        <v>0.39941642396535659</v>
      </c>
      <c r="AN206" s="256">
        <f t="shared" si="218"/>
        <v>0.44074750190526901</v>
      </c>
      <c r="AO206" s="256">
        <f t="shared" si="219"/>
        <v>0.39220138871906757</v>
      </c>
      <c r="AP206" s="256">
        <f t="shared" si="220"/>
        <v>0.43941896081648973</v>
      </c>
      <c r="AQ206" s="256">
        <f t="shared" si="221"/>
        <v>0.50623998095702905</v>
      </c>
    </row>
    <row r="207" spans="1:43">
      <c r="J207" s="147">
        <f t="shared" ref="J207:P207" si="226">J199/11.63</f>
        <v>1.7196904557179706E-3</v>
      </c>
      <c r="K207" s="147">
        <f t="shared" si="226"/>
        <v>7133.0309544282018</v>
      </c>
      <c r="L207" s="147">
        <f t="shared" si="226"/>
        <v>137.2785898538263</v>
      </c>
      <c r="M207" s="147">
        <f t="shared" si="226"/>
        <v>190.56835769561482</v>
      </c>
      <c r="N207" s="147">
        <f t="shared" si="226"/>
        <v>1136.2338779019776</v>
      </c>
      <c r="O207" s="147">
        <f t="shared" si="226"/>
        <v>469.23645743766122</v>
      </c>
      <c r="P207" s="147">
        <f t="shared" si="226"/>
        <v>9066.3499570077383</v>
      </c>
      <c r="Z207" s="169"/>
      <c r="AA207" s="207"/>
      <c r="AB207" s="207"/>
      <c r="AC207" s="186"/>
      <c r="AF207" s="207"/>
      <c r="AG207" s="207"/>
      <c r="AH207" s="207"/>
    </row>
    <row r="208" spans="1:43">
      <c r="J208" s="56"/>
      <c r="K208" s="56">
        <f>SUM(K199:M199)/SUM(K206:M206)</f>
        <v>0.58623441753019745</v>
      </c>
      <c r="L208" s="56"/>
      <c r="M208" s="56"/>
      <c r="N208" s="56">
        <f>N199/N206</f>
        <v>0.66017535533185123</v>
      </c>
      <c r="O208" s="56">
        <f>O199/O206</f>
        <v>0.69259422366452228</v>
      </c>
      <c r="Z208" s="169"/>
      <c r="AA208" s="207"/>
      <c r="AB208" s="207"/>
      <c r="AC208" s="186"/>
      <c r="AF208" s="207"/>
      <c r="AG208" s="207"/>
      <c r="AH208" s="207"/>
      <c r="AJ208" s="68"/>
    </row>
    <row r="209" spans="1:43">
      <c r="A209" s="68" t="str">
        <f>$A$190</f>
        <v>Dati 2022 lorda</v>
      </c>
      <c r="J209" s="68"/>
      <c r="K209" s="56">
        <f>(SUM(K218:M218)/41.868)/SUM(K243:M243)</f>
        <v>0.75180573516449178</v>
      </c>
      <c r="L209" s="56"/>
      <c r="M209" s="56"/>
      <c r="N209" s="56">
        <f>(N218/41.868)/N243</f>
        <v>0.71666934701227647</v>
      </c>
      <c r="O209" s="56">
        <f>(O218/41.868)/O243</f>
        <v>0.75337199561001922</v>
      </c>
      <c r="Z209" s="169"/>
      <c r="AA209" s="207"/>
      <c r="AB209" s="207"/>
      <c r="AC209" s="186"/>
      <c r="AF209" s="207"/>
      <c r="AG209" s="207"/>
      <c r="AH209" s="207"/>
      <c r="AJ209" s="68"/>
    </row>
    <row r="210" spans="1:43">
      <c r="A210" s="68" t="s">
        <v>532</v>
      </c>
      <c r="J210" s="180" t="s">
        <v>5</v>
      </c>
      <c r="K210" s="180" t="s">
        <v>186</v>
      </c>
      <c r="L210" s="180" t="s">
        <v>187</v>
      </c>
      <c r="M210" s="180" t="s">
        <v>190</v>
      </c>
      <c r="N210" s="180" t="s">
        <v>192</v>
      </c>
      <c r="O210" s="180" t="s">
        <v>191</v>
      </c>
      <c r="P210" s="180" t="s">
        <v>189</v>
      </c>
      <c r="R210" s="68" t="s">
        <v>210</v>
      </c>
      <c r="Z210" s="169"/>
      <c r="AA210" s="207"/>
      <c r="AB210" s="207"/>
      <c r="AC210" s="186"/>
      <c r="AF210" s="207"/>
      <c r="AG210" s="207"/>
      <c r="AH210" s="207"/>
      <c r="AJ210" s="68"/>
    </row>
    <row r="211" spans="1:43">
      <c r="A211" s="11" t="s">
        <v>16</v>
      </c>
      <c r="J211" s="179">
        <f t="shared" ref="J211:O211" si="227">SUM(J212:J216)</f>
        <v>226067</v>
      </c>
      <c r="K211" s="179">
        <f t="shared" si="227"/>
        <v>387080.89926999999</v>
      </c>
      <c r="L211" s="179">
        <f t="shared" si="227"/>
        <v>157.64320000000004</v>
      </c>
      <c r="M211" s="179">
        <f t="shared" si="227"/>
        <v>26930.737220000003</v>
      </c>
      <c r="N211" s="179">
        <f t="shared" si="227"/>
        <v>77907.1685</v>
      </c>
      <c r="O211" s="179">
        <f t="shared" si="227"/>
        <v>24061.024890000004</v>
      </c>
      <c r="P211" s="182">
        <f t="shared" ref="P211:P216" si="228">SUM(J211:O211)</f>
        <v>742204.47308000003</v>
      </c>
      <c r="Q211" s="172"/>
      <c r="R211" s="179">
        <f t="shared" ref="R211:W211" si="229">SUM(R212:R216)</f>
        <v>21.07648523858181</v>
      </c>
      <c r="S211" s="179">
        <f t="shared" si="229"/>
        <v>22.806789071559905</v>
      </c>
      <c r="T211" s="179">
        <f t="shared" si="229"/>
        <v>2.773236894334611E-2</v>
      </c>
      <c r="U211" s="179">
        <f t="shared" si="229"/>
        <v>1.9085232693276808</v>
      </c>
      <c r="V211" s="179">
        <f t="shared" si="229"/>
        <v>3.3339297362917719</v>
      </c>
      <c r="W211" s="179">
        <f t="shared" si="229"/>
        <v>1.0901652316375987E-2</v>
      </c>
      <c r="X211" s="190">
        <f>SUM(R211:W211)</f>
        <v>49.164361337020893</v>
      </c>
      <c r="Z211" s="169"/>
      <c r="AA211" s="205"/>
      <c r="AB211" s="554"/>
      <c r="AC211" s="193"/>
      <c r="AJ211" s="68"/>
    </row>
    <row r="212" spans="1:43">
      <c r="A212" s="10" t="s">
        <v>17</v>
      </c>
      <c r="J212" s="167">
        <f t="shared" ref="J212:O216" si="230">IFERROR(J193*R193,"")</f>
        <v>0</v>
      </c>
      <c r="K212" s="167">
        <f t="shared" si="230"/>
        <v>1523.9805199999998</v>
      </c>
      <c r="L212" s="167">
        <f t="shared" si="230"/>
        <v>157.64320000000004</v>
      </c>
      <c r="M212" s="167">
        <f t="shared" si="230"/>
        <v>1879.0564500000003</v>
      </c>
      <c r="N212" s="167">
        <f t="shared" si="230"/>
        <v>8556.8889999999992</v>
      </c>
      <c r="O212" s="167">
        <f t="shared" si="230"/>
        <v>23568.401250000003</v>
      </c>
      <c r="P212" s="182">
        <f t="shared" si="228"/>
        <v>35685.970419999998</v>
      </c>
      <c r="Q212" s="172"/>
      <c r="R212" s="181">
        <f t="shared" ref="R212:W212" si="231">J212*J228/1000000</f>
        <v>0</v>
      </c>
      <c r="S212" s="181">
        <f t="shared" si="231"/>
        <v>8.9792863286085586E-2</v>
      </c>
      <c r="T212" s="181">
        <f t="shared" si="231"/>
        <v>2.773236894334611E-2</v>
      </c>
      <c r="U212" s="181">
        <f t="shared" si="231"/>
        <v>0.13316467833424081</v>
      </c>
      <c r="V212" s="181">
        <f t="shared" si="231"/>
        <v>0.36618025319772668</v>
      </c>
      <c r="W212" s="181">
        <f t="shared" si="231"/>
        <v>1.0678452694969188E-2</v>
      </c>
      <c r="X212" s="190">
        <f t="shared" ref="X212:X217" si="232">SUM(R212:W212)</f>
        <v>0.62754861645636828</v>
      </c>
      <c r="Z212" s="169"/>
      <c r="AA212" s="419"/>
      <c r="AB212" s="342"/>
      <c r="AC212" s="403"/>
      <c r="AJ212" s="68"/>
      <c r="AQ212" s="252"/>
    </row>
    <row r="213" spans="1:43">
      <c r="A213" s="10" t="s">
        <v>18</v>
      </c>
      <c r="J213" s="167">
        <f t="shared" si="230"/>
        <v>0</v>
      </c>
      <c r="K213" s="167">
        <f t="shared" si="230"/>
        <v>1946.5207499999999</v>
      </c>
      <c r="L213" s="167">
        <f t="shared" si="230"/>
        <v>0</v>
      </c>
      <c r="M213" s="167">
        <f t="shared" si="230"/>
        <v>117.87477000000001</v>
      </c>
      <c r="N213" s="167">
        <f t="shared" si="230"/>
        <v>143.7148</v>
      </c>
      <c r="O213" s="167">
        <f t="shared" si="230"/>
        <v>372.06180000000001</v>
      </c>
      <c r="P213" s="182">
        <f t="shared" si="228"/>
        <v>2580.1721200000002</v>
      </c>
      <c r="Q213" s="172"/>
      <c r="R213" s="181">
        <f t="shared" ref="R213:W213" si="233">J213*J228/1000000</f>
        <v>0</v>
      </c>
      <c r="S213" s="181">
        <f t="shared" si="233"/>
        <v>0.11468891451990397</v>
      </c>
      <c r="T213" s="181">
        <f t="shared" si="233"/>
        <v>0</v>
      </c>
      <c r="U213" s="181">
        <f t="shared" si="233"/>
        <v>8.3535307471857053E-3</v>
      </c>
      <c r="V213" s="181">
        <f t="shared" si="233"/>
        <v>6.1500764883429771E-3</v>
      </c>
      <c r="W213" s="181">
        <f t="shared" si="233"/>
        <v>1.6857504625627021E-4</v>
      </c>
      <c r="X213" s="190">
        <f t="shared" si="232"/>
        <v>0.12936109680168892</v>
      </c>
      <c r="Z213" s="169"/>
      <c r="AA213" s="207"/>
      <c r="AB213" s="207"/>
      <c r="AC213" s="186"/>
      <c r="AF213" s="207"/>
      <c r="AG213" s="207"/>
      <c r="AH213" s="207"/>
      <c r="AJ213" s="68" t="s">
        <v>265</v>
      </c>
    </row>
    <row r="214" spans="1:43">
      <c r="A214" s="10" t="s">
        <v>19</v>
      </c>
      <c r="J214" s="167">
        <f t="shared" si="230"/>
        <v>226067</v>
      </c>
      <c r="K214" s="167">
        <f t="shared" si="230"/>
        <v>19713.829999999998</v>
      </c>
      <c r="L214" s="167">
        <f t="shared" si="230"/>
        <v>0</v>
      </c>
      <c r="M214" s="167">
        <f t="shared" si="230"/>
        <v>24876.938239999999</v>
      </c>
      <c r="N214" s="167">
        <f t="shared" si="230"/>
        <v>56505.016499999998</v>
      </c>
      <c r="O214" s="167">
        <f t="shared" si="230"/>
        <v>76.272000000000006</v>
      </c>
      <c r="P214" s="182">
        <f t="shared" si="228"/>
        <v>327239.05674000003</v>
      </c>
      <c r="Q214" s="172"/>
      <c r="R214" s="181">
        <f t="shared" ref="R214:W214" si="234">J214*J228/1000000</f>
        <v>21.07648523858181</v>
      </c>
      <c r="S214" s="181">
        <f t="shared" si="234"/>
        <v>1.1615379716501446</v>
      </c>
      <c r="T214" s="181">
        <f t="shared" si="234"/>
        <v>0</v>
      </c>
      <c r="U214" s="181">
        <f t="shared" si="234"/>
        <v>1.7629749647331638</v>
      </c>
      <c r="V214" s="181">
        <f t="shared" si="234"/>
        <v>2.4180541840512046</v>
      </c>
      <c r="W214" s="181">
        <f t="shared" si="234"/>
        <v>3.4557581369703214E-5</v>
      </c>
      <c r="X214" s="190">
        <f t="shared" si="232"/>
        <v>26.419086916597692</v>
      </c>
      <c r="Z214" s="169"/>
      <c r="AA214" s="207"/>
      <c r="AB214" s="207"/>
      <c r="AC214" s="186"/>
      <c r="AF214" s="207"/>
      <c r="AG214" s="207"/>
      <c r="AH214" s="207"/>
    </row>
    <row r="215" spans="1:43">
      <c r="A215" s="10" t="s">
        <v>20</v>
      </c>
      <c r="J215" s="167">
        <f t="shared" si="230"/>
        <v>0</v>
      </c>
      <c r="K215" s="167">
        <f t="shared" si="230"/>
        <v>363896.56799999997</v>
      </c>
      <c r="L215" s="167">
        <f t="shared" si="230"/>
        <v>0</v>
      </c>
      <c r="M215" s="167">
        <f t="shared" si="230"/>
        <v>56.867759999999997</v>
      </c>
      <c r="N215" s="167">
        <f t="shared" si="230"/>
        <v>12701.548199999999</v>
      </c>
      <c r="O215" s="167">
        <f t="shared" si="230"/>
        <v>44.289840000000005</v>
      </c>
      <c r="P215" s="182">
        <f t="shared" si="228"/>
        <v>376699.27379999997</v>
      </c>
      <c r="Q215" s="172"/>
      <c r="R215" s="181">
        <f t="shared" ref="R215:W215" si="235">J215*J228/1000000</f>
        <v>0</v>
      </c>
      <c r="S215" s="181">
        <f t="shared" si="235"/>
        <v>21.440769322103769</v>
      </c>
      <c r="T215" s="181">
        <f t="shared" si="235"/>
        <v>0</v>
      </c>
      <c r="U215" s="181">
        <f t="shared" si="235"/>
        <v>4.0300955130905215E-3</v>
      </c>
      <c r="V215" s="181">
        <f t="shared" si="235"/>
        <v>0.54354522255449733</v>
      </c>
      <c r="W215" s="181">
        <f t="shared" si="235"/>
        <v>2.0066993780825681E-5</v>
      </c>
      <c r="X215" s="190">
        <f t="shared" si="232"/>
        <v>21.988364707165136</v>
      </c>
      <c r="Z215" s="169"/>
      <c r="AA215" s="207"/>
      <c r="AB215" s="207"/>
      <c r="AC215" s="186"/>
      <c r="AF215" s="207"/>
      <c r="AG215" s="207"/>
      <c r="AH215" s="207"/>
      <c r="AJ215" s="11" t="s">
        <v>23</v>
      </c>
      <c r="AK215" s="256" t="str">
        <f t="shared" ref="AK215:AK221" si="236">IFERROR(((J199/11.63)+J236)/J243,"")</f>
        <v/>
      </c>
      <c r="AL215" s="256">
        <f t="shared" ref="AL215:AL221" si="237">IFERROR(((K199/11.63)+K236)/K243,"")</f>
        <v>0.6656452959782182</v>
      </c>
      <c r="AM215" s="256">
        <f t="shared" ref="AM215:AM221" si="238">IFERROR(((L199/11.63)+L236)/L243,"")</f>
        <v>0.46914252887330665</v>
      </c>
      <c r="AN215" s="256">
        <f t="shared" ref="AN215:AN221" si="239">IFERROR(((M199/11.63)+M236)/M243,"")</f>
        <v>0.77966794953803842</v>
      </c>
      <c r="AO215" s="256">
        <f t="shared" ref="AO215:AO221" si="240">IFERROR(((N199/11.63)+N236)/N243,"")</f>
        <v>0.56672791983001525</v>
      </c>
      <c r="AP215" s="256">
        <f t="shared" ref="AP215:AP221" si="241">IFERROR(((O199/11.63)+O236)/O243,"")</f>
        <v>0.58618759858091296</v>
      </c>
      <c r="AQ215" s="256">
        <f t="shared" ref="AQ215:AQ221" si="242">IFERROR(((P199/11.63)+P236)/P243,"")</f>
        <v>0.64570310431363953</v>
      </c>
    </row>
    <row r="216" spans="1:43">
      <c r="A216" s="10" t="s">
        <v>22</v>
      </c>
      <c r="J216" s="167">
        <f t="shared" si="230"/>
        <v>0</v>
      </c>
      <c r="K216" s="167">
        <f t="shared" si="230"/>
        <v>0</v>
      </c>
      <c r="L216" s="167">
        <f t="shared" si="230"/>
        <v>0</v>
      </c>
      <c r="M216" s="167">
        <f t="shared" si="230"/>
        <v>0</v>
      </c>
      <c r="N216" s="167">
        <f t="shared" si="230"/>
        <v>0</v>
      </c>
      <c r="O216" s="167">
        <f t="shared" si="230"/>
        <v>0</v>
      </c>
      <c r="P216" s="182">
        <f t="shared" si="228"/>
        <v>0</v>
      </c>
      <c r="Q216" s="172"/>
      <c r="R216" s="181">
        <f t="shared" ref="R216:W216" si="243">J216*J228/1000000</f>
        <v>0</v>
      </c>
      <c r="S216" s="181">
        <f t="shared" si="243"/>
        <v>0</v>
      </c>
      <c r="T216" s="181">
        <f t="shared" si="243"/>
        <v>0</v>
      </c>
      <c r="U216" s="181">
        <f t="shared" si="243"/>
        <v>0</v>
      </c>
      <c r="V216" s="181">
        <f t="shared" si="243"/>
        <v>0</v>
      </c>
      <c r="W216" s="181">
        <f t="shared" si="243"/>
        <v>0</v>
      </c>
      <c r="X216" s="190">
        <f t="shared" si="232"/>
        <v>0</v>
      </c>
      <c r="Z216" s="169"/>
      <c r="AA216" s="207"/>
      <c r="AB216" s="207"/>
      <c r="AC216" s="186"/>
      <c r="AF216" s="207"/>
      <c r="AG216" s="207"/>
      <c r="AH216" s="207"/>
      <c r="AJ216" s="10" t="s">
        <v>24</v>
      </c>
      <c r="AK216" s="56" t="str">
        <f t="shared" si="236"/>
        <v/>
      </c>
      <c r="AL216" s="56">
        <f t="shared" si="237"/>
        <v>0.72767483728382854</v>
      </c>
      <c r="AM216" s="56">
        <f t="shared" si="238"/>
        <v>0.58289177736779363</v>
      </c>
      <c r="AN216" s="56">
        <f t="shared" si="239"/>
        <v>0.76239610211252495</v>
      </c>
      <c r="AO216" s="56">
        <f t="shared" si="240"/>
        <v>0.66825946020275695</v>
      </c>
      <c r="AP216" s="56">
        <f t="shared" si="241"/>
        <v>0.58630901397666046</v>
      </c>
      <c r="AQ216" s="256">
        <f t="shared" si="242"/>
        <v>0.67812818107167072</v>
      </c>
    </row>
    <row r="217" spans="1:43">
      <c r="A217" s="10" t="s">
        <v>349</v>
      </c>
      <c r="J217" s="167"/>
      <c r="K217" s="167"/>
      <c r="L217" s="167"/>
      <c r="M217" s="167"/>
      <c r="N217" s="167"/>
      <c r="O217" s="167"/>
      <c r="P217" s="182"/>
      <c r="Q217" s="172"/>
      <c r="R217" s="181">
        <f t="shared" ref="R217:W217" si="244">J217*J228/1000000</f>
        <v>0</v>
      </c>
      <c r="S217" s="181">
        <f t="shared" si="244"/>
        <v>0</v>
      </c>
      <c r="T217" s="181">
        <f t="shared" si="244"/>
        <v>0</v>
      </c>
      <c r="U217" s="181">
        <f t="shared" si="244"/>
        <v>0</v>
      </c>
      <c r="V217" s="181">
        <f t="shared" si="244"/>
        <v>0</v>
      </c>
      <c r="W217" s="181">
        <f t="shared" si="244"/>
        <v>0</v>
      </c>
      <c r="X217" s="190">
        <f t="shared" si="232"/>
        <v>0</v>
      </c>
      <c r="Z217" s="169"/>
      <c r="AA217" s="207"/>
      <c r="AB217" s="403"/>
      <c r="AC217" s="186"/>
      <c r="AJ217" s="10" t="s">
        <v>25</v>
      </c>
      <c r="AK217" s="56" t="str">
        <f t="shared" si="236"/>
        <v/>
      </c>
      <c r="AL217" s="56">
        <f t="shared" si="237"/>
        <v>0.78701966893425324</v>
      </c>
      <c r="AM217" s="56" t="str">
        <f t="shared" si="238"/>
        <v/>
      </c>
      <c r="AN217" s="56">
        <f t="shared" si="239"/>
        <v>0.81723150033940517</v>
      </c>
      <c r="AO217" s="56">
        <f t="shared" si="240"/>
        <v>0.64231173439725142</v>
      </c>
      <c r="AP217" s="56">
        <f t="shared" si="241"/>
        <v>0.7416165090988821</v>
      </c>
      <c r="AQ217" s="256">
        <f t="shared" si="242"/>
        <v>0.78858584806473442</v>
      </c>
    </row>
    <row r="218" spans="1:43">
      <c r="A218" s="11" t="s">
        <v>23</v>
      </c>
      <c r="J218" s="179">
        <f t="shared" ref="J218:O218" si="245">SUM(J219:J223)</f>
        <v>0</v>
      </c>
      <c r="K218" s="179">
        <f t="shared" si="245"/>
        <v>500193.76191999996</v>
      </c>
      <c r="L218" s="179">
        <f t="shared" si="245"/>
        <v>14390.9323</v>
      </c>
      <c r="M218" s="179">
        <f t="shared" si="245"/>
        <v>13525.650900000001</v>
      </c>
      <c r="N218" s="179">
        <f t="shared" si="245"/>
        <v>105823.4405</v>
      </c>
      <c r="O218" s="179">
        <f t="shared" si="245"/>
        <v>40491.9565</v>
      </c>
      <c r="P218" s="266">
        <f t="shared" ref="P218:P223" si="246">SUM(J218:O218)</f>
        <v>674425.74211999995</v>
      </c>
      <c r="Q218" s="172"/>
      <c r="R218" s="179">
        <f t="shared" ref="R218:W218" si="247">SUM(R219:R223)</f>
        <v>0</v>
      </c>
      <c r="S218" s="179">
        <f t="shared" si="247"/>
        <v>29.471393821120106</v>
      </c>
      <c r="T218" s="179">
        <f t="shared" si="247"/>
        <v>2.5316324711901075</v>
      </c>
      <c r="U218" s="179">
        <f t="shared" si="247"/>
        <v>0.95853371055442971</v>
      </c>
      <c r="V218" s="179">
        <f t="shared" si="247"/>
        <v>4.5285680621245135</v>
      </c>
      <c r="W218" s="179">
        <f t="shared" si="247"/>
        <v>1.8346235598479557E-2</v>
      </c>
      <c r="X218" s="190">
        <f t="shared" ref="X218:X224" si="248">SUM(R218:W218)</f>
        <v>37.508474300587629</v>
      </c>
      <c r="Z218" s="169"/>
      <c r="AA218" s="207"/>
      <c r="AB218" s="403"/>
      <c r="AC218" s="186"/>
      <c r="AJ218" s="10" t="s">
        <v>26</v>
      </c>
      <c r="AK218" s="56" t="str">
        <f t="shared" si="236"/>
        <v/>
      </c>
      <c r="AL218" s="56">
        <f t="shared" si="237"/>
        <v>0.63312243125737921</v>
      </c>
      <c r="AM218" s="56">
        <f t="shared" si="238"/>
        <v>0.51595632697540028</v>
      </c>
      <c r="AN218" s="56">
        <f t="shared" si="239"/>
        <v>0.74704567137787847</v>
      </c>
      <c r="AO218" s="56">
        <f t="shared" si="240"/>
        <v>0.66237053733998463</v>
      </c>
      <c r="AP218" s="56">
        <f t="shared" si="241"/>
        <v>0.55144740616308163</v>
      </c>
      <c r="AQ218" s="256">
        <f t="shared" si="242"/>
        <v>0.63893771636200569</v>
      </c>
    </row>
    <row r="219" spans="1:43">
      <c r="A219" s="10" t="s">
        <v>24</v>
      </c>
      <c r="J219" s="167">
        <f t="shared" ref="J219:J224" si="249">IFERROR(J200*R200,"")</f>
        <v>0</v>
      </c>
      <c r="K219" s="167">
        <f t="shared" ref="K219:K224" si="250">IFERROR(K200*S200,"")</f>
        <v>68355.394100000005</v>
      </c>
      <c r="L219" s="167">
        <f t="shared" ref="L219:L224" si="251">IFERROR(L200*T200,"")</f>
        <v>1169.6778999999999</v>
      </c>
      <c r="M219" s="167">
        <f t="shared" ref="M219:M224" si="252">IFERROR(M200*U200,"")</f>
        <v>60.589899999999993</v>
      </c>
      <c r="N219" s="167">
        <f t="shared" ref="N219:N224" si="253">IFERROR(N200*V200,"")</f>
        <v>7424.3554999999997</v>
      </c>
      <c r="O219" s="181">
        <f t="shared" ref="O219:O224" si="254">IFERROR(O200*W200,"")</f>
        <v>40198.656600000002</v>
      </c>
      <c r="P219" s="182">
        <f t="shared" si="246"/>
        <v>117208.67400000001</v>
      </c>
      <c r="Q219" s="172"/>
      <c r="R219" s="181">
        <f t="shared" ref="R219:W219" si="255">J219*J228/1000000</f>
        <v>0</v>
      </c>
      <c r="S219" s="181">
        <f t="shared" si="255"/>
        <v>4.0274967276404574</v>
      </c>
      <c r="T219" s="181">
        <f t="shared" si="255"/>
        <v>0.20576808303611122</v>
      </c>
      <c r="U219" s="181">
        <f t="shared" si="255"/>
        <v>4.2938755479133232E-3</v>
      </c>
      <c r="V219" s="181">
        <f t="shared" si="255"/>
        <v>0.31771504536519463</v>
      </c>
      <c r="W219" s="181">
        <f t="shared" si="255"/>
        <v>1.821334626609053E-2</v>
      </c>
      <c r="X219" s="190">
        <f t="shared" si="248"/>
        <v>4.5734870778557672</v>
      </c>
      <c r="Z219" s="169"/>
      <c r="AA219" s="207"/>
      <c r="AB219" s="403"/>
      <c r="AC219" s="186"/>
      <c r="AJ219" s="10" t="s">
        <v>27</v>
      </c>
      <c r="AK219" s="56" t="str">
        <f t="shared" si="236"/>
        <v/>
      </c>
      <c r="AL219" s="56">
        <f t="shared" si="237"/>
        <v>0.8681964548976232</v>
      </c>
      <c r="AM219" s="56" t="str">
        <f t="shared" si="238"/>
        <v/>
      </c>
      <c r="AN219" s="56">
        <f t="shared" si="239"/>
        <v>0.83527822146556907</v>
      </c>
      <c r="AO219" s="56">
        <f t="shared" si="240"/>
        <v>0.77974211278400252</v>
      </c>
      <c r="AP219" s="56" t="str">
        <f t="shared" si="241"/>
        <v/>
      </c>
      <c r="AQ219" s="256">
        <f t="shared" si="242"/>
        <v>0.8251296266574093</v>
      </c>
    </row>
    <row r="220" spans="1:43">
      <c r="A220" s="10" t="s">
        <v>25</v>
      </c>
      <c r="J220" s="167">
        <f t="shared" si="249"/>
        <v>0</v>
      </c>
      <c r="K220" s="167">
        <f t="shared" si="250"/>
        <v>32609.537999999997</v>
      </c>
      <c r="L220" s="167">
        <f t="shared" si="251"/>
        <v>0</v>
      </c>
      <c r="M220" s="167">
        <f t="shared" si="252"/>
        <v>2515.1423999999997</v>
      </c>
      <c r="N220" s="167">
        <f t="shared" si="253"/>
        <v>192.614</v>
      </c>
      <c r="O220" s="167">
        <f t="shared" si="254"/>
        <v>18.110499999999998</v>
      </c>
      <c r="P220" s="182">
        <f t="shared" si="246"/>
        <v>35335.404900000001</v>
      </c>
      <c r="Q220" s="172"/>
      <c r="R220" s="181">
        <f t="shared" ref="R220:W220" si="256">J220*J228/1000000</f>
        <v>0</v>
      </c>
      <c r="S220" s="181">
        <f t="shared" si="256"/>
        <v>1.9213525035453949</v>
      </c>
      <c r="T220" s="181">
        <f t="shared" si="256"/>
        <v>0</v>
      </c>
      <c r="U220" s="181">
        <f t="shared" si="256"/>
        <v>0.17824271786023796</v>
      </c>
      <c r="V220" s="181">
        <f t="shared" si="256"/>
        <v>8.2426502540148584E-3</v>
      </c>
      <c r="W220" s="181">
        <f t="shared" si="256"/>
        <v>8.2055679331341762E-6</v>
      </c>
      <c r="X220" s="190">
        <f t="shared" si="248"/>
        <v>2.1078460772275807</v>
      </c>
      <c r="Z220" s="169"/>
      <c r="AA220" s="207"/>
      <c r="AB220" s="207"/>
      <c r="AC220" s="186"/>
      <c r="AJ220" s="10" t="s">
        <v>28</v>
      </c>
      <c r="AK220" s="56" t="str">
        <f t="shared" si="236"/>
        <v/>
      </c>
      <c r="AL220" s="56">
        <f t="shared" si="237"/>
        <v>0.54097783649429465</v>
      </c>
      <c r="AM220" s="56">
        <f t="shared" si="238"/>
        <v>0.40369779136780398</v>
      </c>
      <c r="AN220" s="56">
        <f t="shared" si="239"/>
        <v>0.81315831911175551</v>
      </c>
      <c r="AO220" s="56">
        <f t="shared" si="240"/>
        <v>0.42954254144095039</v>
      </c>
      <c r="AP220" s="56">
        <f t="shared" si="241"/>
        <v>0.5636763161004299</v>
      </c>
      <c r="AQ220" s="256">
        <f t="shared" si="242"/>
        <v>0.46046163893273462</v>
      </c>
    </row>
    <row r="221" spans="1:43">
      <c r="A221" s="10" t="s">
        <v>26</v>
      </c>
      <c r="J221" s="167">
        <f t="shared" si="249"/>
        <v>0</v>
      </c>
      <c r="K221" s="167">
        <f t="shared" si="250"/>
        <v>388515.54839999997</v>
      </c>
      <c r="L221" s="167">
        <f t="shared" si="251"/>
        <v>5851.2294000000002</v>
      </c>
      <c r="M221" s="167">
        <f t="shared" si="252"/>
        <v>8941.0015999999996</v>
      </c>
      <c r="N221" s="167">
        <f t="shared" si="253"/>
        <v>44563.549800000001</v>
      </c>
      <c r="O221" s="167">
        <f t="shared" si="254"/>
        <v>251.48879999999997</v>
      </c>
      <c r="P221" s="182">
        <f t="shared" si="246"/>
        <v>448122.81799999997</v>
      </c>
      <c r="Q221" s="172"/>
      <c r="R221" s="181">
        <f t="shared" ref="R221:W221" si="257">J221*J228/1000000</f>
        <v>0</v>
      </c>
      <c r="S221" s="181">
        <f t="shared" si="257"/>
        <v>22.891318533388976</v>
      </c>
      <c r="T221" s="181">
        <f t="shared" si="257"/>
        <v>1.0293400063748621</v>
      </c>
      <c r="U221" s="181">
        <f t="shared" si="257"/>
        <v>0.63362950168417342</v>
      </c>
      <c r="V221" s="181">
        <f t="shared" si="257"/>
        <v>1.9070356001057751</v>
      </c>
      <c r="W221" s="181">
        <f t="shared" si="257"/>
        <v>1.1394541469437036E-4</v>
      </c>
      <c r="X221" s="190">
        <f t="shared" si="248"/>
        <v>26.461437586968479</v>
      </c>
      <c r="Z221" s="169"/>
      <c r="AA221" s="408"/>
      <c r="AB221" s="342"/>
      <c r="AC221" s="186"/>
      <c r="AJ221" s="10" t="s">
        <v>351</v>
      </c>
      <c r="AK221" s="56" t="str">
        <f t="shared" si="236"/>
        <v/>
      </c>
      <c r="AL221" s="56">
        <f t="shared" si="237"/>
        <v>0.34393809117179708</v>
      </c>
      <c r="AM221" s="56" t="str">
        <f t="shared" si="238"/>
        <v/>
      </c>
      <c r="AN221" s="56" t="str">
        <f t="shared" si="239"/>
        <v/>
      </c>
      <c r="AO221" s="56" t="str">
        <f t="shared" si="240"/>
        <v/>
      </c>
      <c r="AP221" s="56" t="str">
        <f t="shared" si="241"/>
        <v/>
      </c>
      <c r="AQ221" s="256">
        <f t="shared" si="242"/>
        <v>0.36113499572897678</v>
      </c>
    </row>
    <row r="222" spans="1:43">
      <c r="A222" s="10" t="s">
        <v>27</v>
      </c>
      <c r="J222" s="167">
        <f t="shared" si="249"/>
        <v>0</v>
      </c>
      <c r="K222" s="167">
        <f t="shared" si="250"/>
        <v>2117.0393599999998</v>
      </c>
      <c r="L222" s="167">
        <f t="shared" si="251"/>
        <v>0</v>
      </c>
      <c r="M222" s="167">
        <f t="shared" si="252"/>
        <v>894.7349999999999</v>
      </c>
      <c r="N222" s="167">
        <f t="shared" si="253"/>
        <v>3764.395</v>
      </c>
      <c r="O222" s="167">
        <f t="shared" si="254"/>
        <v>0</v>
      </c>
      <c r="P222" s="182">
        <f t="shared" si="246"/>
        <v>6776.1693599999999</v>
      </c>
      <c r="Q222" s="172"/>
      <c r="R222" s="181">
        <f t="shared" ref="R222:W222" si="258">J222*J228/1000000</f>
        <v>0</v>
      </c>
      <c r="S222" s="181">
        <f t="shared" si="258"/>
        <v>0.12473586330601005</v>
      </c>
      <c r="T222" s="181">
        <f t="shared" si="258"/>
        <v>0</v>
      </c>
      <c r="U222" s="181">
        <f t="shared" si="258"/>
        <v>6.3407939910153796E-2</v>
      </c>
      <c r="V222" s="181">
        <f t="shared" si="258"/>
        <v>0.16109208781792736</v>
      </c>
      <c r="W222" s="181">
        <f t="shared" si="258"/>
        <v>0</v>
      </c>
      <c r="X222" s="190">
        <f t="shared" si="248"/>
        <v>0.34923589103409125</v>
      </c>
      <c r="Z222" s="169"/>
      <c r="AA222" s="207"/>
      <c r="AB222" s="207"/>
      <c r="AC222" s="186"/>
      <c r="AF222" s="185"/>
      <c r="AG222" s="207"/>
      <c r="AH222" s="207"/>
      <c r="AJ222" s="275" t="s">
        <v>266</v>
      </c>
      <c r="AK222" s="274">
        <f t="shared" ref="AK222:AQ222" si="259">IFERROR(((J206/11.63)+J236)/(J243+J211/41.868),"")</f>
        <v>0.36000031848965131</v>
      </c>
      <c r="AL222" s="274">
        <f t="shared" si="259"/>
        <v>0.62020404239641014</v>
      </c>
      <c r="AM222" s="274">
        <f t="shared" si="259"/>
        <v>0.46851463307140856</v>
      </c>
      <c r="AN222" s="274">
        <f t="shared" si="259"/>
        <v>0.60336793564925095</v>
      </c>
      <c r="AO222" s="274">
        <f t="shared" si="259"/>
        <v>0.4795494433048974</v>
      </c>
      <c r="AP222" s="274">
        <f t="shared" si="259"/>
        <v>0.51698626536242032</v>
      </c>
      <c r="AQ222" s="274">
        <f t="shared" si="259"/>
        <v>0.55963204457550375</v>
      </c>
    </row>
    <row r="223" spans="1:43">
      <c r="A223" s="10" t="s">
        <v>28</v>
      </c>
      <c r="J223" s="167">
        <f t="shared" si="249"/>
        <v>0</v>
      </c>
      <c r="K223" s="167">
        <f t="shared" si="250"/>
        <v>8596.2420600000005</v>
      </c>
      <c r="L223" s="167">
        <f t="shared" si="251"/>
        <v>7370.0249999999996</v>
      </c>
      <c r="M223" s="167">
        <f t="shared" si="252"/>
        <v>1114.182</v>
      </c>
      <c r="N223" s="167">
        <f t="shared" si="253"/>
        <v>49878.5262</v>
      </c>
      <c r="O223" s="167">
        <f t="shared" si="254"/>
        <v>23.700600000000001</v>
      </c>
      <c r="P223" s="182">
        <f t="shared" si="246"/>
        <v>66982.675860000003</v>
      </c>
      <c r="Q223" s="172"/>
      <c r="R223" s="181">
        <f t="shared" ref="R223:W223" si="260">J223*J228/1000000</f>
        <v>0</v>
      </c>
      <c r="S223" s="181">
        <f t="shared" si="260"/>
        <v>0.50649019323926714</v>
      </c>
      <c r="T223" s="181">
        <f t="shared" si="260"/>
        <v>1.2965243817791339</v>
      </c>
      <c r="U223" s="181">
        <f t="shared" si="260"/>
        <v>7.8959675551951117E-2</v>
      </c>
      <c r="V223" s="181">
        <f t="shared" si="260"/>
        <v>2.1344826785816018</v>
      </c>
      <c r="W223" s="181">
        <f t="shared" si="260"/>
        <v>1.0738349761521764E-5</v>
      </c>
      <c r="X223" s="190">
        <f t="shared" si="248"/>
        <v>4.0164676675017148</v>
      </c>
      <c r="Z223" s="169"/>
      <c r="AA223" s="207"/>
      <c r="AB223" s="207"/>
      <c r="AC223" s="186"/>
      <c r="AF223" s="185"/>
      <c r="AG223" s="207"/>
      <c r="AH223" s="207"/>
    </row>
    <row r="224" spans="1:43">
      <c r="A224" s="10" t="s">
        <v>351</v>
      </c>
      <c r="J224" s="167">
        <f t="shared" si="249"/>
        <v>0</v>
      </c>
      <c r="K224" s="167">
        <f t="shared" si="250"/>
        <v>1.4356</v>
      </c>
      <c r="L224" s="167">
        <f t="shared" si="251"/>
        <v>0</v>
      </c>
      <c r="M224" s="167">
        <f t="shared" si="252"/>
        <v>0</v>
      </c>
      <c r="N224" s="167">
        <f t="shared" si="253"/>
        <v>0</v>
      </c>
      <c r="O224" s="167">
        <f t="shared" si="254"/>
        <v>0</v>
      </c>
      <c r="P224" s="182">
        <f>SUM(J224:O224)</f>
        <v>1.4356</v>
      </c>
      <c r="Q224" s="172"/>
      <c r="R224" s="181">
        <f t="shared" ref="R224:W224" si="261">J224*J228/1000000</f>
        <v>0</v>
      </c>
      <c r="S224" s="181">
        <f t="shared" si="261"/>
        <v>8.4585487046451527E-5</v>
      </c>
      <c r="T224" s="181">
        <f t="shared" si="261"/>
        <v>0</v>
      </c>
      <c r="U224" s="181">
        <f t="shared" si="261"/>
        <v>0</v>
      </c>
      <c r="V224" s="181">
        <f t="shared" si="261"/>
        <v>0</v>
      </c>
      <c r="W224" s="181">
        <f t="shared" si="261"/>
        <v>0</v>
      </c>
      <c r="X224" s="190">
        <f t="shared" si="248"/>
        <v>8.4585487046451527E-5</v>
      </c>
      <c r="Z224" s="169"/>
      <c r="AA224" s="207"/>
      <c r="AB224" s="207"/>
      <c r="AC224" s="189"/>
      <c r="AF224" s="185"/>
      <c r="AG224" s="207"/>
      <c r="AH224" s="207"/>
    </row>
    <row r="225" spans="1:34">
      <c r="A225" s="11" t="s">
        <v>9</v>
      </c>
      <c r="J225" s="182">
        <f t="shared" ref="J225:P225" si="262">J211+J218</f>
        <v>226067</v>
      </c>
      <c r="K225" s="182">
        <f t="shared" si="262"/>
        <v>887274.6611899999</v>
      </c>
      <c r="L225" s="182">
        <f t="shared" si="262"/>
        <v>14548.575500000001</v>
      </c>
      <c r="M225" s="182">
        <f t="shared" si="262"/>
        <v>40456.388120000003</v>
      </c>
      <c r="N225" s="182">
        <f t="shared" si="262"/>
        <v>183730.609</v>
      </c>
      <c r="O225" s="182">
        <f t="shared" si="262"/>
        <v>64552.981390000001</v>
      </c>
      <c r="P225" s="182">
        <f t="shared" si="262"/>
        <v>1416630.2152</v>
      </c>
      <c r="Q225" s="172"/>
      <c r="R225" s="199">
        <f t="shared" ref="R225:W225" si="263">R211+R218</f>
        <v>21.07648523858181</v>
      </c>
      <c r="S225" s="199">
        <f t="shared" si="263"/>
        <v>52.278182892680007</v>
      </c>
      <c r="T225" s="199">
        <f t="shared" si="263"/>
        <v>2.5593648401334534</v>
      </c>
      <c r="U225" s="199">
        <f t="shared" si="263"/>
        <v>2.8670569798821104</v>
      </c>
      <c r="V225" s="199">
        <f t="shared" si="263"/>
        <v>7.8624977984162854</v>
      </c>
      <c r="W225" s="199">
        <f t="shared" si="263"/>
        <v>2.9247887914855546E-2</v>
      </c>
      <c r="X225" s="199">
        <f>X211+X218</f>
        <v>86.672835637608529</v>
      </c>
      <c r="Z225" s="169"/>
      <c r="AA225" s="207"/>
      <c r="AB225" s="207"/>
      <c r="AC225" s="186"/>
      <c r="AF225" s="185"/>
      <c r="AG225" s="207"/>
      <c r="AH225" s="207"/>
    </row>
    <row r="226" spans="1:34">
      <c r="E226" s="68" t="s">
        <v>176</v>
      </c>
      <c r="F226" s="68"/>
      <c r="G226" s="68"/>
      <c r="H226" s="68"/>
      <c r="I226" s="68"/>
      <c r="J226" s="321">
        <f>J225/41.868</f>
        <v>5399.5175312888123</v>
      </c>
      <c r="K226" s="321">
        <f t="shared" ref="K226:P226" si="264">K225/41.868</f>
        <v>21192.19120067832</v>
      </c>
      <c r="L226" s="321">
        <f t="shared" si="264"/>
        <v>347.48675599503201</v>
      </c>
      <c r="M226" s="321">
        <f t="shared" si="264"/>
        <v>966.28422948313755</v>
      </c>
      <c r="N226" s="321">
        <f t="shared" si="264"/>
        <v>4388.3302044520869</v>
      </c>
      <c r="O226" s="321">
        <f t="shared" si="264"/>
        <v>1541.8214720072608</v>
      </c>
      <c r="P226" s="321">
        <f t="shared" si="264"/>
        <v>33835.631393904652</v>
      </c>
      <c r="R226" s="197">
        <v>21.07648523858181</v>
      </c>
      <c r="S226" s="197">
        <v>52.278182892680015</v>
      </c>
      <c r="T226" s="197">
        <v>2.559364840133453</v>
      </c>
      <c r="U226" s="197">
        <v>2.8670569798821108</v>
      </c>
      <c r="V226" s="197">
        <v>7.8624977984162889</v>
      </c>
      <c r="W226" s="197">
        <v>2.9247887914855535E-2</v>
      </c>
      <c r="X226" s="197">
        <v>86.672835637608543</v>
      </c>
      <c r="Z226" s="169"/>
      <c r="AA226" s="207"/>
      <c r="AB226" s="207"/>
      <c r="AC226" s="186"/>
      <c r="AF226" s="185"/>
      <c r="AG226" s="207"/>
      <c r="AH226" s="207"/>
    </row>
    <row r="227" spans="1:34">
      <c r="A227" s="652" t="s">
        <v>469</v>
      </c>
      <c r="E227" s="68" t="s">
        <v>176</v>
      </c>
      <c r="J227" s="321">
        <f>(J211)/41.868+J243</f>
        <v>5399.5175312888123</v>
      </c>
      <c r="K227" s="321">
        <f t="shared" ref="K227:P227" si="265">(K211)/41.868+K243</f>
        <v>24757.178445352059</v>
      </c>
      <c r="L227" s="321">
        <f t="shared" si="265"/>
        <v>403.10524314512281</v>
      </c>
      <c r="M227" s="321">
        <f t="shared" si="265"/>
        <v>1509.8496078150376</v>
      </c>
      <c r="N227" s="321">
        <f t="shared" si="265"/>
        <v>5387.5807514091903</v>
      </c>
      <c r="O227" s="321">
        <f t="shared" si="265"/>
        <v>1858.4277063628547</v>
      </c>
      <c r="P227" s="321">
        <f t="shared" si="265"/>
        <v>39315.659285373076</v>
      </c>
      <c r="T227" s="197"/>
      <c r="U227" s="198"/>
      <c r="Z227" s="169"/>
      <c r="AA227" s="207"/>
      <c r="AB227" s="207"/>
      <c r="AC227" s="186"/>
      <c r="AF227" s="185"/>
      <c r="AG227" s="207"/>
      <c r="AH227" s="207"/>
    </row>
    <row r="228" spans="1:34">
      <c r="A228" s="183" t="s">
        <v>193</v>
      </c>
      <c r="J228" s="168">
        <f>95+J229</f>
        <v>93.23114491978842</v>
      </c>
      <c r="K228" s="185">
        <f>56+K229</f>
        <v>58.919954755120884</v>
      </c>
      <c r="L228" s="147">
        <f>177+L229</f>
        <v>175.91858667767531</v>
      </c>
      <c r="M228" s="168">
        <f>68+M229</f>
        <v>70.867843451026062</v>
      </c>
      <c r="N228" s="168">
        <f>36+N229</f>
        <v>42.793619643509075</v>
      </c>
      <c r="O228" s="168">
        <f>1+O229</f>
        <v>0.45308345617924284</v>
      </c>
      <c r="P228" s="317">
        <f>P218/41.868</f>
        <v>16108.382108531574</v>
      </c>
      <c r="Q228" s="90">
        <f>P228-'5-x'!AB82</f>
        <v>0</v>
      </c>
      <c r="Z228" s="169"/>
      <c r="AA228" s="207"/>
      <c r="AB228" s="207"/>
      <c r="AC228" s="186"/>
      <c r="AF228" s="185"/>
      <c r="AG228" s="207"/>
      <c r="AH228" s="207"/>
    </row>
    <row r="229" spans="1:34">
      <c r="A229" s="453" t="s">
        <v>376</v>
      </c>
      <c r="B229" s="452"/>
      <c r="C229" s="452"/>
      <c r="D229" s="452"/>
      <c r="E229" s="452"/>
      <c r="F229" s="452"/>
      <c r="G229" s="452"/>
      <c r="H229" s="452"/>
      <c r="I229" s="452"/>
      <c r="J229" s="506">
        <v>-1.7688550802115734</v>
      </c>
      <c r="K229" s="506">
        <v>2.9199547551208864</v>
      </c>
      <c r="L229" s="506">
        <v>-1.0814133223246856</v>
      </c>
      <c r="M229" s="506">
        <v>2.867843451026066</v>
      </c>
      <c r="N229" s="506">
        <v>6.7936196435090785</v>
      </c>
      <c r="O229" s="506">
        <v>-0.54691654382075716</v>
      </c>
      <c r="P229" s="318">
        <f>P211/41.868</f>
        <v>17727.249285373076</v>
      </c>
      <c r="Q229" s="90">
        <f>P229-'5-x'!AB83</f>
        <v>0</v>
      </c>
      <c r="R229" s="455">
        <f>R225-R226</f>
        <v>0</v>
      </c>
      <c r="S229" s="455">
        <f>S225-S226</f>
        <v>0</v>
      </c>
      <c r="T229" s="455">
        <f>T225-SUM(T226:T227)</f>
        <v>0</v>
      </c>
      <c r="U229" s="455">
        <f>U225-U226</f>
        <v>0</v>
      </c>
      <c r="V229" s="455">
        <f>V225-V226</f>
        <v>0</v>
      </c>
      <c r="W229" s="455">
        <f>W225-W226</f>
        <v>0</v>
      </c>
      <c r="X229" s="222">
        <f>X225-X226</f>
        <v>0</v>
      </c>
      <c r="AA229" s="419"/>
      <c r="AB229" s="342"/>
      <c r="AC229" s="403"/>
    </row>
    <row r="230" spans="1:34">
      <c r="J230" s="168">
        <f t="shared" ref="J230:O230" si="266">J320</f>
        <v>93.077205941577574</v>
      </c>
      <c r="K230" s="168">
        <f t="shared" si="266"/>
        <v>58.504230516406189</v>
      </c>
      <c r="L230" s="168">
        <f t="shared" si="266"/>
        <v>181.52254778100877</v>
      </c>
      <c r="M230" s="168">
        <f t="shared" si="266"/>
        <v>70.300914424281132</v>
      </c>
      <c r="N230" s="168">
        <f t="shared" si="266"/>
        <v>32.721933291808277</v>
      </c>
      <c r="O230" s="168">
        <f t="shared" si="266"/>
        <v>0.71682922081530975</v>
      </c>
      <c r="P230" s="319">
        <f>P243-P228</f>
        <v>5480.0278914684259</v>
      </c>
      <c r="Q230" s="90">
        <f>P230-'5-x'!AB84</f>
        <v>0</v>
      </c>
      <c r="Z230" s="169"/>
      <c r="AA230" s="207"/>
      <c r="AB230" s="554"/>
      <c r="AC230" s="186"/>
    </row>
    <row r="231" spans="1:34">
      <c r="J231" s="168">
        <f t="shared" ref="J231:O231" si="267">J218/41.868</f>
        <v>0</v>
      </c>
      <c r="K231" s="168">
        <f t="shared" si="267"/>
        <v>11946.922755326263</v>
      </c>
      <c r="L231" s="168">
        <f t="shared" si="267"/>
        <v>343.72151284990923</v>
      </c>
      <c r="M231" s="168">
        <f t="shared" si="267"/>
        <v>323.05462166809974</v>
      </c>
      <c r="N231" s="168">
        <f t="shared" si="267"/>
        <v>2527.5494530428964</v>
      </c>
      <c r="O231" s="168">
        <f t="shared" si="267"/>
        <v>967.13376564440614</v>
      </c>
      <c r="P231" s="320">
        <f>SUM(P228:P230)</f>
        <v>39315.659285373076</v>
      </c>
      <c r="Q231" s="320"/>
      <c r="Z231" s="169"/>
      <c r="AA231" s="207"/>
      <c r="AB231" s="207"/>
      <c r="AC231" s="186"/>
    </row>
    <row r="232" spans="1:34">
      <c r="J232" s="168" t="str">
        <f t="shared" ref="J232:O232" si="268">IFERROR(J243-(J236/J233),"")</f>
        <v/>
      </c>
      <c r="K232" s="168">
        <f t="shared" si="268"/>
        <v>11946.922755326263</v>
      </c>
      <c r="L232" s="168">
        <f t="shared" si="268"/>
        <v>343.72151284990923</v>
      </c>
      <c r="M232" s="168">
        <f t="shared" si="268"/>
        <v>323.0546216680998</v>
      </c>
      <c r="N232" s="168">
        <f t="shared" si="268"/>
        <v>2527.5494530428964</v>
      </c>
      <c r="O232" s="168">
        <f t="shared" si="268"/>
        <v>967.13376564440614</v>
      </c>
      <c r="P232" s="168"/>
      <c r="Z232" s="169"/>
      <c r="AA232" s="207"/>
      <c r="AB232" s="207"/>
      <c r="AC232" s="186"/>
    </row>
    <row r="233" spans="1:34">
      <c r="A233" s="241" t="s">
        <v>374</v>
      </c>
      <c r="I233" s="500"/>
      <c r="J233" s="500" t="str">
        <f t="shared" ref="J233:O233" si="269">IFERROR(J236/(J243-J218/41.868),"")</f>
        <v/>
      </c>
      <c r="K233" s="500">
        <f>IFERROR(K236/(K243-K218/41.868),"")</f>
        <v>0.89548678567612772</v>
      </c>
      <c r="L233" s="500">
        <f t="shared" si="269"/>
        <v>0.90021843800471402</v>
      </c>
      <c r="M233" s="500">
        <f t="shared" si="269"/>
        <v>0.89245470751235767</v>
      </c>
      <c r="N233" s="500">
        <f t="shared" si="269"/>
        <v>0.863149039428593</v>
      </c>
      <c r="O233" s="500">
        <f t="shared" si="269"/>
        <v>0.89472657081806117</v>
      </c>
      <c r="P233" s="500">
        <f>IFERROR(P236/(P243-P218/41.868),"")</f>
        <v>0.88929353895715624</v>
      </c>
      <c r="Z233" s="169"/>
      <c r="AA233" s="207"/>
      <c r="AB233" s="207"/>
      <c r="AC233" s="186"/>
    </row>
    <row r="234" spans="1:34">
      <c r="A234" s="68" t="s">
        <v>252</v>
      </c>
      <c r="J234" s="168"/>
      <c r="K234" s="168"/>
      <c r="L234" s="500">
        <f>IFERROR(SUM(K236:M236)/(SUM(K243:M243)-SUM(K218:M218)/41.868),"")</f>
        <v>0.89515419478748537</v>
      </c>
      <c r="P234" s="426">
        <f>(P243-P218/41.868)</f>
        <v>5480.0278914684259</v>
      </c>
      <c r="R234" s="191" t="s">
        <v>397</v>
      </c>
      <c r="S234" s="165"/>
      <c r="T234" s="165"/>
      <c r="U234" s="165"/>
      <c r="V234" s="165"/>
      <c r="W234" s="165"/>
      <c r="X234" s="165"/>
      <c r="Z234" s="169"/>
      <c r="AA234" s="207"/>
      <c r="AB234" s="207"/>
      <c r="AC234" s="186"/>
    </row>
    <row r="235" spans="1:34">
      <c r="A235" s="68" t="str">
        <f>$A$190</f>
        <v>Dati 2022 lorda</v>
      </c>
      <c r="J235" s="180" t="s">
        <v>5</v>
      </c>
      <c r="K235" s="180" t="s">
        <v>186</v>
      </c>
      <c r="L235" s="180" t="s">
        <v>187</v>
      </c>
      <c r="M235" s="180" t="s">
        <v>190</v>
      </c>
      <c r="N235" s="180" t="s">
        <v>192</v>
      </c>
      <c r="O235" s="180" t="s">
        <v>191</v>
      </c>
      <c r="P235" s="180" t="s">
        <v>189</v>
      </c>
      <c r="R235" s="191" t="s">
        <v>5</v>
      </c>
      <c r="S235" s="191" t="s">
        <v>186</v>
      </c>
      <c r="T235" s="191" t="s">
        <v>187</v>
      </c>
      <c r="U235" s="191" t="s">
        <v>190</v>
      </c>
      <c r="V235" s="191" t="s">
        <v>192</v>
      </c>
      <c r="W235" s="191" t="s">
        <v>191</v>
      </c>
      <c r="X235" s="191" t="s">
        <v>189</v>
      </c>
      <c r="AA235" s="180" t="s">
        <v>5</v>
      </c>
      <c r="AB235" s="180" t="s">
        <v>186</v>
      </c>
      <c r="AC235" s="180" t="s">
        <v>187</v>
      </c>
      <c r="AD235" s="180" t="s">
        <v>190</v>
      </c>
      <c r="AE235" s="180" t="s">
        <v>192</v>
      </c>
      <c r="AF235" s="180" t="s">
        <v>191</v>
      </c>
      <c r="AG235" s="180" t="s">
        <v>189</v>
      </c>
    </row>
    <row r="236" spans="1:34">
      <c r="A236" s="193" t="s">
        <v>251</v>
      </c>
      <c r="J236" s="179">
        <f t="shared" ref="J236:O236" si="270">SUM(J237:J242)</f>
        <v>0</v>
      </c>
      <c r="K236" s="179">
        <f t="shared" si="270"/>
        <v>3192.3989687092799</v>
      </c>
      <c r="L236" s="179">
        <f t="shared" si="270"/>
        <v>50.068787626439999</v>
      </c>
      <c r="M236" s="179">
        <f t="shared" si="270"/>
        <v>485.10748073303995</v>
      </c>
      <c r="N236" s="179">
        <f t="shared" si="270"/>
        <v>862.50214975451991</v>
      </c>
      <c r="O236" s="179">
        <f t="shared" si="270"/>
        <v>283.27601036459993</v>
      </c>
      <c r="P236" s="266">
        <f>SUM(J236:O236)</f>
        <v>4873.3533971878796</v>
      </c>
      <c r="Q236" s="193" t="s">
        <v>16</v>
      </c>
      <c r="R236" s="282">
        <f t="shared" ref="R236:R249" si="271">IFERROR(R211/J192*1000000,0)</f>
        <v>932.31144919788414</v>
      </c>
      <c r="S236" s="282">
        <f t="shared" ref="S236:S249" si="272">IFERROR(S211/K192*1000000,0)</f>
        <v>389.93889649639743</v>
      </c>
      <c r="T236" s="282">
        <f t="shared" ref="T236:T249" si="273">IFERROR(T211/L192*1000000,0)</f>
        <v>1575.7027808719379</v>
      </c>
      <c r="U236" s="282">
        <f t="shared" ref="U236:U249" si="274">IFERROR(U211/M192*1000000,0)</f>
        <v>697.36596169473421</v>
      </c>
      <c r="V236" s="282">
        <f t="shared" ref="V236:V249" si="275">IFERROR(V211/N192*1000000,0)</f>
        <v>490.13242032486608</v>
      </c>
      <c r="W236" s="282">
        <f t="shared" ref="W236:W249" si="276">IFERROR(W211/O192*1000000,0)</f>
        <v>4.5007791841101108</v>
      </c>
      <c r="X236" s="282">
        <f t="shared" ref="X236:X249" si="277">IFERROR(X211/P192*1000000,0)</f>
        <v>528.23191382010691</v>
      </c>
      <c r="Z236" s="555" t="s">
        <v>427</v>
      </c>
      <c r="AA236" s="179">
        <f t="shared" ref="AA236:AF236" si="278">SUM(AA237:AA242)</f>
        <v>0</v>
      </c>
      <c r="AB236" s="179">
        <f t="shared" si="278"/>
        <v>37127.600000000006</v>
      </c>
      <c r="AC236" s="179">
        <f t="shared" si="278"/>
        <v>582.30000000000007</v>
      </c>
      <c r="AD236" s="179">
        <f t="shared" si="278"/>
        <v>5641.8</v>
      </c>
      <c r="AE236" s="179">
        <f t="shared" si="278"/>
        <v>10030.900000000001</v>
      </c>
      <c r="AF236" s="179">
        <f t="shared" si="278"/>
        <v>3294.5</v>
      </c>
      <c r="AG236" s="266">
        <f>SUM(AA236:AF236)</f>
        <v>56677.100000000013</v>
      </c>
    </row>
    <row r="237" spans="1:34">
      <c r="A237" s="186" t="s">
        <v>24</v>
      </c>
      <c r="J237" s="436">
        <f t="shared" ref="J237:J242" si="279">IFERROR(AA237*85.9845228/1000,"")</f>
        <v>0</v>
      </c>
      <c r="K237" s="436">
        <f t="shared" ref="K237:K242" si="280">IFERROR(AB237*85.9845228/1000,"")</f>
        <v>772.79449711728</v>
      </c>
      <c r="L237" s="436">
        <f t="shared" ref="L237:L242" si="281">IFERROR(AC237*85.9845228/1000,"")</f>
        <v>7.5580395541199996</v>
      </c>
      <c r="M237" s="436">
        <f t="shared" ref="M237:M242" si="282">IFERROR(AD237*85.9845228/1000,"")</f>
        <v>1.4187446261999999</v>
      </c>
      <c r="N237" s="436">
        <f t="shared" ref="N237:N242" si="283">IFERROR(AE237*85.9845228/1000,"")</f>
        <v>145.27944972287997</v>
      </c>
      <c r="O237" s="436">
        <f t="shared" ref="O237:O242" si="284">IFERROR(AF237*85.9845228/1000,"")</f>
        <v>281.25537407879995</v>
      </c>
      <c r="P237" s="266">
        <f t="shared" ref="P237:P242" si="285">SUM(J237:O237)</f>
        <v>1208.3061050992801</v>
      </c>
      <c r="Q237" s="186" t="s">
        <v>17</v>
      </c>
      <c r="R237" s="283">
        <f t="shared" si="271"/>
        <v>0</v>
      </c>
      <c r="S237" s="283">
        <f t="shared" si="272"/>
        <v>571.34680126040712</v>
      </c>
      <c r="T237" s="283">
        <f t="shared" si="273"/>
        <v>1575.7027808719379</v>
      </c>
      <c r="U237" s="283">
        <f t="shared" si="274"/>
        <v>672.03975944608032</v>
      </c>
      <c r="V237" s="283">
        <f t="shared" si="275"/>
        <v>375.30004427357449</v>
      </c>
      <c r="W237" s="283">
        <f t="shared" si="276"/>
        <v>4.4968533025789856</v>
      </c>
      <c r="X237" s="282">
        <f t="shared" si="277"/>
        <v>168.54815845693514</v>
      </c>
      <c r="Z237" s="209" t="s">
        <v>24</v>
      </c>
      <c r="AA237" s="405"/>
      <c r="AB237" s="405">
        <v>8987.6</v>
      </c>
      <c r="AC237" s="405">
        <v>87.9</v>
      </c>
      <c r="AD237" s="405">
        <v>16.5</v>
      </c>
      <c r="AE237" s="405">
        <v>1689.6</v>
      </c>
      <c r="AF237" s="405">
        <v>3271</v>
      </c>
      <c r="AG237" s="556">
        <f t="shared" ref="AG237:AG242" si="286">SUM(AA237:AF237)</f>
        <v>14052.6</v>
      </c>
    </row>
    <row r="238" spans="1:34">
      <c r="A238" s="186" t="s">
        <v>25</v>
      </c>
      <c r="J238" s="436">
        <f t="shared" si="279"/>
        <v>0</v>
      </c>
      <c r="K238" s="436">
        <f t="shared" si="280"/>
        <v>758.1943251458398</v>
      </c>
      <c r="L238" s="436">
        <f t="shared" si="281"/>
        <v>0</v>
      </c>
      <c r="M238" s="436">
        <f t="shared" si="282"/>
        <v>80.834049884280006</v>
      </c>
      <c r="N238" s="436">
        <f t="shared" si="283"/>
        <v>5.8555460026799988</v>
      </c>
      <c r="O238" s="436">
        <f t="shared" si="284"/>
        <v>0.34393809119999996</v>
      </c>
      <c r="P238" s="266">
        <f t="shared" si="285"/>
        <v>845.22785912399979</v>
      </c>
      <c r="Q238" s="186" t="s">
        <v>18</v>
      </c>
      <c r="R238" s="283">
        <f t="shared" si="271"/>
        <v>0</v>
      </c>
      <c r="S238" s="283">
        <f t="shared" si="272"/>
        <v>636.63011112908111</v>
      </c>
      <c r="T238" s="283">
        <f t="shared" si="273"/>
        <v>0</v>
      </c>
      <c r="U238" s="283">
        <f t="shared" si="274"/>
        <v>1080.6637447846965</v>
      </c>
      <c r="V238" s="283">
        <f t="shared" si="275"/>
        <v>580.19589512669597</v>
      </c>
      <c r="W238" s="283">
        <f t="shared" si="276"/>
        <v>4.9290949197739824</v>
      </c>
      <c r="X238" s="282">
        <f t="shared" si="277"/>
        <v>555.96139247760402</v>
      </c>
      <c r="Z238" s="209" t="s">
        <v>25</v>
      </c>
      <c r="AA238" s="405"/>
      <c r="AB238" s="405">
        <v>8817.7999999999993</v>
      </c>
      <c r="AC238" s="405"/>
      <c r="AD238" s="405">
        <v>940.1</v>
      </c>
      <c r="AE238" s="405">
        <v>68.099999999999994</v>
      </c>
      <c r="AF238" s="405">
        <v>4</v>
      </c>
      <c r="AG238" s="556">
        <f t="shared" si="286"/>
        <v>9830</v>
      </c>
    </row>
    <row r="239" spans="1:34">
      <c r="A239" s="186" t="s">
        <v>26</v>
      </c>
      <c r="J239" s="436">
        <f t="shared" si="279"/>
        <v>0</v>
      </c>
      <c r="K239" s="436">
        <f t="shared" si="280"/>
        <v>1465.9243338603599</v>
      </c>
      <c r="L239" s="436">
        <f t="shared" si="281"/>
        <v>31.530524510759996</v>
      </c>
      <c r="M239" s="436">
        <f t="shared" si="282"/>
        <v>246.41444544024</v>
      </c>
      <c r="N239" s="436">
        <f t="shared" si="283"/>
        <v>285.54600176651996</v>
      </c>
      <c r="O239" s="436">
        <f t="shared" si="284"/>
        <v>1.3499570079599998</v>
      </c>
      <c r="P239" s="266">
        <f t="shared" si="285"/>
        <v>2030.7652625858398</v>
      </c>
      <c r="Q239" s="186" t="s">
        <v>19</v>
      </c>
      <c r="R239" s="283">
        <f t="shared" si="271"/>
        <v>932.31144919788414</v>
      </c>
      <c r="S239" s="283">
        <f t="shared" si="272"/>
        <v>347.03853350766195</v>
      </c>
      <c r="T239" s="283">
        <f t="shared" si="273"/>
        <v>0</v>
      </c>
      <c r="U239" s="283">
        <f t="shared" si="274"/>
        <v>698.47346505331291</v>
      </c>
      <c r="V239" s="283">
        <f t="shared" si="275"/>
        <v>579.38281635346948</v>
      </c>
      <c r="W239" s="283">
        <f t="shared" si="276"/>
        <v>4.1139977821075258</v>
      </c>
      <c r="X239" s="282">
        <f t="shared" si="277"/>
        <v>808.92155934963432</v>
      </c>
      <c r="Z239" s="209" t="s">
        <v>26</v>
      </c>
      <c r="AA239" s="405"/>
      <c r="AB239" s="405">
        <v>17048.7</v>
      </c>
      <c r="AC239" s="405">
        <v>366.7</v>
      </c>
      <c r="AD239" s="405">
        <v>2865.8</v>
      </c>
      <c r="AE239" s="405">
        <v>3320.9</v>
      </c>
      <c r="AF239" s="405">
        <v>15.7</v>
      </c>
      <c r="AG239" s="556">
        <f t="shared" si="286"/>
        <v>23617.800000000003</v>
      </c>
    </row>
    <row r="240" spans="1:34">
      <c r="A240" s="186" t="s">
        <v>27</v>
      </c>
      <c r="J240" s="436">
        <f t="shared" si="279"/>
        <v>0</v>
      </c>
      <c r="K240" s="436">
        <f t="shared" si="280"/>
        <v>126.13069649532</v>
      </c>
      <c r="L240" s="436">
        <f t="shared" si="281"/>
        <v>0</v>
      </c>
      <c r="M240" s="436">
        <f t="shared" si="282"/>
        <v>88.271711106479984</v>
      </c>
      <c r="N240" s="436">
        <f t="shared" si="283"/>
        <v>105.03869305247999</v>
      </c>
      <c r="O240" s="436">
        <f t="shared" si="284"/>
        <v>0</v>
      </c>
      <c r="P240" s="266">
        <f t="shared" si="285"/>
        <v>319.44110065427998</v>
      </c>
      <c r="Q240" s="186" t="s">
        <v>20</v>
      </c>
      <c r="R240" s="283">
        <f t="shared" si="271"/>
        <v>0</v>
      </c>
      <c r="S240" s="283">
        <f t="shared" si="272"/>
        <v>391.22849957400268</v>
      </c>
      <c r="T240" s="283">
        <f t="shared" si="273"/>
        <v>0</v>
      </c>
      <c r="U240" s="283">
        <f t="shared" si="274"/>
        <v>589.1952504518307</v>
      </c>
      <c r="V240" s="283">
        <f t="shared" si="275"/>
        <v>330.96585432289919</v>
      </c>
      <c r="W240" s="283">
        <f t="shared" si="276"/>
        <v>4.078657272525545</v>
      </c>
      <c r="X240" s="282">
        <f t="shared" si="277"/>
        <v>389.46576532907324</v>
      </c>
      <c r="Z240" s="209" t="s">
        <v>27</v>
      </c>
      <c r="AA240" s="405"/>
      <c r="AB240" s="405">
        <v>1466.9</v>
      </c>
      <c r="AC240" s="405"/>
      <c r="AD240" s="405">
        <v>1026.5999999999999</v>
      </c>
      <c r="AE240" s="405">
        <v>1221.5999999999999</v>
      </c>
      <c r="AF240" s="405">
        <v>0</v>
      </c>
      <c r="AG240" s="556">
        <f t="shared" si="286"/>
        <v>3715.1</v>
      </c>
    </row>
    <row r="241" spans="1:34">
      <c r="A241" s="186" t="s">
        <v>28</v>
      </c>
      <c r="J241" s="436">
        <f t="shared" si="279"/>
        <v>0</v>
      </c>
      <c r="K241" s="436">
        <f t="shared" si="280"/>
        <v>69.337919185919986</v>
      </c>
      <c r="L241" s="436">
        <f t="shared" si="281"/>
        <v>10.980223561560001</v>
      </c>
      <c r="M241" s="436">
        <f t="shared" si="282"/>
        <v>68.168529675839991</v>
      </c>
      <c r="N241" s="436">
        <f t="shared" si="283"/>
        <v>320.78245920995994</v>
      </c>
      <c r="O241" s="436">
        <f t="shared" si="284"/>
        <v>0.32674118663999996</v>
      </c>
      <c r="P241" s="266">
        <f t="shared" si="285"/>
        <v>469.59587281991992</v>
      </c>
      <c r="Q241" s="186" t="s">
        <v>22</v>
      </c>
      <c r="R241" s="283">
        <f t="shared" si="271"/>
        <v>0</v>
      </c>
      <c r="S241" s="283">
        <f t="shared" si="272"/>
        <v>0</v>
      </c>
      <c r="T241" s="283">
        <f t="shared" si="273"/>
        <v>0</v>
      </c>
      <c r="U241" s="283">
        <f t="shared" si="274"/>
        <v>0</v>
      </c>
      <c r="V241" s="283">
        <f t="shared" si="275"/>
        <v>0</v>
      </c>
      <c r="W241" s="283">
        <f t="shared" si="276"/>
        <v>0</v>
      </c>
      <c r="X241" s="282">
        <f t="shared" si="277"/>
        <v>0</v>
      </c>
      <c r="Z241" s="209" t="s">
        <v>28</v>
      </c>
      <c r="AA241" s="405"/>
      <c r="AB241" s="405">
        <v>806.4</v>
      </c>
      <c r="AC241" s="405">
        <v>127.7</v>
      </c>
      <c r="AD241" s="405">
        <v>792.8</v>
      </c>
      <c r="AE241" s="405">
        <v>3730.7</v>
      </c>
      <c r="AF241" s="405">
        <v>3.8</v>
      </c>
      <c r="AG241" s="556">
        <f t="shared" si="286"/>
        <v>5461.4000000000005</v>
      </c>
    </row>
    <row r="242" spans="1:34">
      <c r="A242" s="186" t="s">
        <v>350</v>
      </c>
      <c r="J242" s="436">
        <f t="shared" si="279"/>
        <v>0</v>
      </c>
      <c r="K242" s="436">
        <f t="shared" si="280"/>
        <v>1.719690456E-2</v>
      </c>
      <c r="L242" s="436">
        <f t="shared" si="281"/>
        <v>0</v>
      </c>
      <c r="M242" s="436">
        <f t="shared" si="282"/>
        <v>0</v>
      </c>
      <c r="N242" s="436">
        <f t="shared" si="283"/>
        <v>0</v>
      </c>
      <c r="O242" s="436">
        <f t="shared" si="284"/>
        <v>0</v>
      </c>
      <c r="P242" s="190">
        <f t="shared" si="285"/>
        <v>1.719690456E-2</v>
      </c>
      <c r="Q242" s="186" t="str">
        <f>A242</f>
        <v>a celle combustibile (CEC)</v>
      </c>
      <c r="R242" s="283">
        <f t="shared" si="271"/>
        <v>0</v>
      </c>
      <c r="S242" s="283">
        <f t="shared" si="272"/>
        <v>0</v>
      </c>
      <c r="T242" s="283">
        <f t="shared" si="273"/>
        <v>0</v>
      </c>
      <c r="U242" s="283">
        <f t="shared" si="274"/>
        <v>0</v>
      </c>
      <c r="V242" s="283">
        <f t="shared" si="275"/>
        <v>0</v>
      </c>
      <c r="W242" s="283">
        <f t="shared" si="276"/>
        <v>0</v>
      </c>
      <c r="X242" s="282">
        <f t="shared" si="277"/>
        <v>0</v>
      </c>
      <c r="Z242" s="209" t="s">
        <v>692</v>
      </c>
      <c r="AA242" s="405"/>
      <c r="AB242" s="405">
        <v>0.2</v>
      </c>
      <c r="AC242" s="405"/>
      <c r="AD242" s="405">
        <v>0</v>
      </c>
      <c r="AE242" s="405"/>
      <c r="AF242" s="405">
        <v>0</v>
      </c>
      <c r="AG242" s="556">
        <f t="shared" si="286"/>
        <v>0.2</v>
      </c>
      <c r="AH242" s="207"/>
    </row>
    <row r="243" spans="1:34">
      <c r="A243" s="193" t="s">
        <v>253</v>
      </c>
      <c r="J243" s="179">
        <f t="shared" ref="J243:O243" si="287">SUM(J244:J249)</f>
        <v>0</v>
      </c>
      <c r="K243" s="179">
        <f t="shared" si="287"/>
        <v>15511.91</v>
      </c>
      <c r="L243" s="179">
        <f t="shared" si="287"/>
        <v>399.34000000000003</v>
      </c>
      <c r="M243" s="179">
        <f t="shared" si="287"/>
        <v>866.61999999999989</v>
      </c>
      <c r="N243" s="179">
        <f t="shared" si="287"/>
        <v>3526.7999999999997</v>
      </c>
      <c r="O243" s="179">
        <f t="shared" si="287"/>
        <v>1283.74</v>
      </c>
      <c r="P243" s="266">
        <f>SUM(J243:O243)</f>
        <v>21588.41</v>
      </c>
      <c r="Q243" s="193" t="s">
        <v>23</v>
      </c>
      <c r="R243" s="282">
        <f t="shared" si="271"/>
        <v>0</v>
      </c>
      <c r="S243" s="282">
        <f t="shared" si="272"/>
        <v>355.26044254316969</v>
      </c>
      <c r="T243" s="282">
        <f t="shared" si="273"/>
        <v>1585.689437343088</v>
      </c>
      <c r="U243" s="282">
        <f t="shared" si="274"/>
        <v>432.49081155363177</v>
      </c>
      <c r="V243" s="282">
        <f t="shared" si="275"/>
        <v>342.69948405712813</v>
      </c>
      <c r="W243" s="282">
        <f t="shared" si="276"/>
        <v>3.3618281100046463</v>
      </c>
      <c r="X243" s="282">
        <f t="shared" si="277"/>
        <v>355.72730795266983</v>
      </c>
      <c r="Z243" s="555" t="s">
        <v>429</v>
      </c>
      <c r="AA243" s="419">
        <f t="shared" ref="AA243:AF243" si="288">SUM(AA244:AA249)</f>
        <v>0</v>
      </c>
      <c r="AB243" s="419">
        <f t="shared" si="288"/>
        <v>32987.4</v>
      </c>
      <c r="AC243" s="419">
        <f t="shared" si="288"/>
        <v>476.40000000000003</v>
      </c>
      <c r="AD243" s="419">
        <f t="shared" si="288"/>
        <v>5022.6000000000004</v>
      </c>
      <c r="AE243" s="419">
        <f t="shared" si="288"/>
        <v>6171.8</v>
      </c>
      <c r="AF243" s="419">
        <f t="shared" si="288"/>
        <v>1497.4</v>
      </c>
      <c r="AG243" s="556">
        <f>SUM(AA243:AF243)</f>
        <v>46155.600000000006</v>
      </c>
      <c r="AH243" s="207"/>
    </row>
    <row r="244" spans="1:34">
      <c r="A244" s="186" t="s">
        <v>24</v>
      </c>
      <c r="J244" s="147"/>
      <c r="K244" s="147">
        <v>2494.37</v>
      </c>
      <c r="L244" s="147">
        <v>36.340000000000003</v>
      </c>
      <c r="M244" s="147">
        <v>3</v>
      </c>
      <c r="N244" s="147">
        <v>339.7</v>
      </c>
      <c r="O244" s="147">
        <v>1274.54</v>
      </c>
      <c r="P244" s="266">
        <f t="shared" ref="P244:P249" si="289">SUM(J244:O244)</f>
        <v>4147.95</v>
      </c>
      <c r="Q244" s="186" t="s">
        <v>24</v>
      </c>
      <c r="R244" s="283">
        <f t="shared" si="271"/>
        <v>0</v>
      </c>
      <c r="S244" s="283">
        <f t="shared" si="272"/>
        <v>332.2496248641267</v>
      </c>
      <c r="T244" s="283">
        <f t="shared" si="273"/>
        <v>1298.631006854599</v>
      </c>
      <c r="U244" s="283">
        <f t="shared" si="274"/>
        <v>425.13619286270529</v>
      </c>
      <c r="V244" s="283">
        <f t="shared" si="275"/>
        <v>334.26096303544938</v>
      </c>
      <c r="W244" s="283">
        <f t="shared" si="276"/>
        <v>3.3605199944814439</v>
      </c>
      <c r="X244" s="282">
        <f t="shared" si="277"/>
        <v>245.08591979720896</v>
      </c>
      <c r="Z244" s="209" t="s">
        <v>24</v>
      </c>
      <c r="AA244" s="405"/>
      <c r="AB244" s="405">
        <v>8381.9</v>
      </c>
      <c r="AC244" s="405">
        <v>87.9</v>
      </c>
      <c r="AD244" s="405">
        <v>8.1999999999999993</v>
      </c>
      <c r="AE244" s="405">
        <v>818.1</v>
      </c>
      <c r="AF244" s="405">
        <v>1481.9</v>
      </c>
      <c r="AG244" s="556">
        <f t="shared" ref="AG244:AG249" si="290">SUM(AA244:AF244)</f>
        <v>10778</v>
      </c>
    </row>
    <row r="245" spans="1:34">
      <c r="A245" s="186" t="s">
        <v>25</v>
      </c>
      <c r="J245" s="147"/>
      <c r="K245" s="147">
        <v>1625.34</v>
      </c>
      <c r="L245" s="147"/>
      <c r="M245" s="147">
        <v>149.91999999999999</v>
      </c>
      <c r="N245" s="147">
        <v>11.7</v>
      </c>
      <c r="O245" s="147">
        <v>0.8</v>
      </c>
      <c r="P245" s="266">
        <f t="shared" si="289"/>
        <v>1787.76</v>
      </c>
      <c r="Q245" s="186" t="s">
        <v>25</v>
      </c>
      <c r="R245" s="283">
        <f t="shared" si="271"/>
        <v>0</v>
      </c>
      <c r="S245" s="283">
        <f t="shared" si="272"/>
        <v>317.10719649206055</v>
      </c>
      <c r="T245" s="283">
        <f t="shared" si="273"/>
        <v>0</v>
      </c>
      <c r="U245" s="283">
        <f t="shared" si="274"/>
        <v>367.66237182392314</v>
      </c>
      <c r="V245" s="283">
        <f t="shared" si="275"/>
        <v>427.08032404222064</v>
      </c>
      <c r="W245" s="283">
        <f t="shared" si="276"/>
        <v>2.8295061838393716</v>
      </c>
      <c r="X245" s="282">
        <f t="shared" si="277"/>
        <v>321.02437971787703</v>
      </c>
      <c r="Z245" s="209" t="s">
        <v>25</v>
      </c>
      <c r="AA245" s="405"/>
      <c r="AB245" s="405">
        <v>8496.7000000000007</v>
      </c>
      <c r="AC245" s="405"/>
      <c r="AD245" s="405">
        <v>580.1</v>
      </c>
      <c r="AE245" s="405">
        <v>30.1</v>
      </c>
      <c r="AF245" s="405">
        <v>3.8</v>
      </c>
      <c r="AG245" s="556">
        <f t="shared" si="290"/>
        <v>9110.7000000000007</v>
      </c>
      <c r="AH245" s="210"/>
    </row>
    <row r="246" spans="1:34">
      <c r="A246" s="186" t="s">
        <v>26</v>
      </c>
      <c r="J246" s="147"/>
      <c r="K246" s="147">
        <v>10920.15</v>
      </c>
      <c r="L246" s="147">
        <v>174.8</v>
      </c>
      <c r="M246" s="147">
        <v>487.4</v>
      </c>
      <c r="N246" s="147">
        <v>1406.8</v>
      </c>
      <c r="O246" s="147">
        <v>7.5</v>
      </c>
      <c r="P246" s="266">
        <f t="shared" si="289"/>
        <v>12996.649999999998</v>
      </c>
      <c r="Q246" s="186" t="s">
        <v>26</v>
      </c>
      <c r="R246" s="283">
        <f t="shared" si="271"/>
        <v>0</v>
      </c>
      <c r="S246" s="283">
        <f t="shared" si="272"/>
        <v>361.29716255840128</v>
      </c>
      <c r="T246" s="283">
        <f t="shared" si="273"/>
        <v>1508.853717934421</v>
      </c>
      <c r="U246" s="283">
        <f t="shared" si="274"/>
        <v>462.90875342210217</v>
      </c>
      <c r="V246" s="283">
        <f t="shared" si="275"/>
        <v>253.72337086636537</v>
      </c>
      <c r="W246" s="283">
        <f t="shared" si="276"/>
        <v>3.5168337868632831</v>
      </c>
      <c r="X246" s="282">
        <f t="shared" si="277"/>
        <v>362.69262835028343</v>
      </c>
      <c r="Z246" s="209" t="s">
        <v>26</v>
      </c>
      <c r="AA246" s="405"/>
      <c r="AB246" s="405">
        <v>14011.6</v>
      </c>
      <c r="AC246" s="405">
        <v>303.8</v>
      </c>
      <c r="AD246" s="405">
        <v>2666.2</v>
      </c>
      <c r="AE246" s="405">
        <v>1865.3</v>
      </c>
      <c r="AF246" s="405">
        <v>10.5</v>
      </c>
      <c r="AG246" s="556">
        <f t="shared" si="290"/>
        <v>18857.399999999998</v>
      </c>
      <c r="AH246" s="207"/>
    </row>
    <row r="247" spans="1:34">
      <c r="A247" s="186" t="s">
        <v>27</v>
      </c>
      <c r="J247" s="147">
        <v>0</v>
      </c>
      <c r="K247" s="147">
        <v>189.55</v>
      </c>
      <c r="L247" s="147"/>
      <c r="M247" s="147">
        <v>123.9</v>
      </c>
      <c r="N247" s="147">
        <v>207.6</v>
      </c>
      <c r="O247" s="147">
        <v>0</v>
      </c>
      <c r="P247" s="266">
        <f t="shared" si="289"/>
        <v>521.05000000000007</v>
      </c>
      <c r="Q247" s="186" t="s">
        <v>27</v>
      </c>
      <c r="R247" s="283">
        <f t="shared" si="271"/>
        <v>0</v>
      </c>
      <c r="S247" s="283">
        <f t="shared" si="272"/>
        <v>279.04490572025247</v>
      </c>
      <c r="T247" s="283">
        <f t="shared" si="273"/>
        <v>0</v>
      </c>
      <c r="U247" s="283">
        <f t="shared" si="274"/>
        <v>358.23694864493672</v>
      </c>
      <c r="V247" s="283">
        <f t="shared" si="275"/>
        <v>243.70966386978421</v>
      </c>
      <c r="W247" s="283">
        <f t="shared" si="276"/>
        <v>0</v>
      </c>
      <c r="X247" s="282">
        <f t="shared" si="277"/>
        <v>271.77255864383812</v>
      </c>
      <c r="Z247" s="209" t="s">
        <v>27</v>
      </c>
      <c r="AA247" s="405"/>
      <c r="AB247" s="405">
        <v>1390.9</v>
      </c>
      <c r="AC247" s="405"/>
      <c r="AD247" s="405">
        <v>1023.8</v>
      </c>
      <c r="AE247" s="405">
        <v>1020.3</v>
      </c>
      <c r="AF247" s="405">
        <v>0</v>
      </c>
      <c r="AG247" s="556">
        <f t="shared" si="290"/>
        <v>3435</v>
      </c>
      <c r="AH247" s="207"/>
    </row>
    <row r="248" spans="1:34">
      <c r="A248" s="186" t="s">
        <v>28</v>
      </c>
      <c r="J248" s="147">
        <v>0</v>
      </c>
      <c r="K248" s="147">
        <v>282.39999999999998</v>
      </c>
      <c r="L248" s="147">
        <v>188.2</v>
      </c>
      <c r="M248" s="147">
        <v>102.4</v>
      </c>
      <c r="N248" s="147">
        <v>1561</v>
      </c>
      <c r="O248" s="147">
        <v>0.9</v>
      </c>
      <c r="P248" s="266">
        <f t="shared" si="289"/>
        <v>2134.9</v>
      </c>
      <c r="Q248" s="186" t="s">
        <v>28</v>
      </c>
      <c r="R248" s="283">
        <f t="shared" si="271"/>
        <v>0</v>
      </c>
      <c r="S248" s="283">
        <f t="shared" si="272"/>
        <v>521.97187917561587</v>
      </c>
      <c r="T248" s="283">
        <f t="shared" si="273"/>
        <v>1715.2062201073343</v>
      </c>
      <c r="U248" s="283">
        <f t="shared" si="274"/>
        <v>449.65646669676039</v>
      </c>
      <c r="V248" s="283">
        <f t="shared" si="275"/>
        <v>524.77815768835171</v>
      </c>
      <c r="W248" s="283">
        <f t="shared" si="276"/>
        <v>5.1134998864389347</v>
      </c>
      <c r="X248" s="282">
        <f t="shared" si="277"/>
        <v>672.6230529950036</v>
      </c>
      <c r="Z248" s="209" t="s">
        <v>28</v>
      </c>
      <c r="AA248" s="405"/>
      <c r="AB248" s="405">
        <v>706.3</v>
      </c>
      <c r="AC248" s="405">
        <v>84.7</v>
      </c>
      <c r="AD248" s="405">
        <v>744.3</v>
      </c>
      <c r="AE248" s="405">
        <v>2438</v>
      </c>
      <c r="AF248" s="405">
        <v>1.2</v>
      </c>
      <c r="AG248" s="556">
        <f t="shared" si="290"/>
        <v>3974.5</v>
      </c>
      <c r="AH248" s="207"/>
    </row>
    <row r="249" spans="1:34">
      <c r="A249" s="186" t="s">
        <v>350</v>
      </c>
      <c r="K249">
        <v>0.1</v>
      </c>
      <c r="M249" s="147"/>
      <c r="P249" s="266">
        <f t="shared" si="289"/>
        <v>0.1</v>
      </c>
      <c r="Q249" s="186" t="str">
        <f>A249</f>
        <v>a celle combustibile (CEC)</v>
      </c>
      <c r="R249" s="283">
        <f t="shared" si="271"/>
        <v>0</v>
      </c>
      <c r="S249" s="283">
        <f t="shared" si="272"/>
        <v>422.92743523225761</v>
      </c>
      <c r="T249" s="283">
        <f t="shared" si="273"/>
        <v>0</v>
      </c>
      <c r="U249" s="283">
        <f t="shared" si="274"/>
        <v>0</v>
      </c>
      <c r="V249" s="283">
        <f t="shared" si="275"/>
        <v>0</v>
      </c>
      <c r="W249" s="283">
        <f t="shared" si="276"/>
        <v>0</v>
      </c>
      <c r="X249" s="282">
        <f t="shared" si="277"/>
        <v>384.47948657477963</v>
      </c>
      <c r="Z249" s="209" t="s">
        <v>692</v>
      </c>
      <c r="AA249" s="405"/>
      <c r="AB249" s="405"/>
      <c r="AC249" s="405"/>
      <c r="AD249" s="405"/>
      <c r="AE249" s="405"/>
      <c r="AF249" s="405"/>
      <c r="AG249" s="556">
        <f t="shared" si="290"/>
        <v>0</v>
      </c>
      <c r="AH249" s="408"/>
    </row>
    <row r="250" spans="1:34">
      <c r="J250" s="426"/>
      <c r="K250" s="171"/>
      <c r="L250" s="171"/>
      <c r="M250" s="171"/>
      <c r="N250" s="171"/>
      <c r="O250" s="171"/>
      <c r="Q250" s="193" t="s">
        <v>9</v>
      </c>
      <c r="R250" s="195">
        <f t="shared" ref="R250:W250" si="291">R225/J206*1000000</f>
        <v>932.31062438875733</v>
      </c>
      <c r="S250" s="282">
        <f t="shared" si="291"/>
        <v>369.60010461064593</v>
      </c>
      <c r="T250" s="282">
        <f t="shared" si="291"/>
        <v>1585.5805471198173</v>
      </c>
      <c r="U250" s="282">
        <f t="shared" si="291"/>
        <v>578.84442979447294</v>
      </c>
      <c r="V250" s="282">
        <f t="shared" si="291"/>
        <v>392.80082923669403</v>
      </c>
      <c r="W250" s="282">
        <f t="shared" si="291"/>
        <v>3.711948249148163</v>
      </c>
      <c r="X250" s="195">
        <f>X225/P206*1000000</f>
        <v>435.08345083062119</v>
      </c>
      <c r="AA250" s="186"/>
      <c r="AB250" s="207"/>
      <c r="AC250" s="207"/>
      <c r="AD250" s="403"/>
      <c r="AE250" s="186"/>
      <c r="AF250" s="185"/>
      <c r="AG250" s="207"/>
      <c r="AH250" s="408"/>
    </row>
    <row r="251" spans="1:34">
      <c r="J251" s="90" t="str">
        <f t="shared" ref="J251:O251" si="292">IFERROR((J199/11.63+J236)/J243,"")</f>
        <v/>
      </c>
      <c r="K251" s="90">
        <f t="shared" si="292"/>
        <v>0.6656452959782182</v>
      </c>
      <c r="L251" s="90">
        <f t="shared" si="292"/>
        <v>0.46914252887330665</v>
      </c>
      <c r="M251" s="90">
        <f t="shared" si="292"/>
        <v>0.77966794953803842</v>
      </c>
      <c r="N251" s="90">
        <f t="shared" si="292"/>
        <v>0.56672791983001525</v>
      </c>
      <c r="O251" s="90">
        <f t="shared" si="292"/>
        <v>0.58618759858091296</v>
      </c>
      <c r="P251" s="269"/>
      <c r="R251" s="196">
        <f>'7'!$AH$6</f>
        <v>932.31341784665949</v>
      </c>
      <c r="S251" s="315">
        <f>'7'!$AH$7</f>
        <v>369.59996818488389</v>
      </c>
      <c r="T251" s="204"/>
      <c r="U251" s="204"/>
      <c r="V251" s="204"/>
      <c r="W251" s="204"/>
      <c r="X251" s="196">
        <f>'7'!$AH$12</f>
        <v>435.08334003427979</v>
      </c>
      <c r="Z251" s="555" t="s">
        <v>430</v>
      </c>
      <c r="AA251" s="559" t="str">
        <f t="shared" ref="AA251:AG251" si="293">IFERROR(AA243/AA236,"")</f>
        <v/>
      </c>
      <c r="AB251" s="559">
        <f t="shared" si="293"/>
        <v>0.8884872709251338</v>
      </c>
      <c r="AC251" s="559">
        <f t="shared" si="293"/>
        <v>0.81813498196805767</v>
      </c>
      <c r="AD251" s="559">
        <f t="shared" si="293"/>
        <v>0.89024779325747105</v>
      </c>
      <c r="AE251" s="559">
        <f t="shared" si="293"/>
        <v>0.61527878854340079</v>
      </c>
      <c r="AF251" s="559">
        <f t="shared" si="293"/>
        <v>0.45451510092578545</v>
      </c>
      <c r="AG251" s="559">
        <f t="shared" si="293"/>
        <v>0.81436065006854608</v>
      </c>
      <c r="AH251" s="210"/>
    </row>
    <row r="252" spans="1:34">
      <c r="J252" s="90" t="str">
        <f t="shared" ref="J252:O252" si="294">IFERROR((J200/11.63+J237)/J244,"")</f>
        <v/>
      </c>
      <c r="K252" s="90">
        <f t="shared" si="294"/>
        <v>0.72767483728382854</v>
      </c>
      <c r="L252" s="90">
        <f t="shared" si="294"/>
        <v>0.58289177736779363</v>
      </c>
      <c r="M252" s="90">
        <f t="shared" si="294"/>
        <v>0.76239610211252495</v>
      </c>
      <c r="N252" s="90">
        <f t="shared" si="294"/>
        <v>0.66825946020275695</v>
      </c>
      <c r="O252" s="90">
        <f t="shared" si="294"/>
        <v>0.58630901397666046</v>
      </c>
      <c r="P252" s="272"/>
      <c r="R252" s="204">
        <f>R250-R251</f>
        <v>-2.7934579021575701E-3</v>
      </c>
      <c r="S252" s="172">
        <f>S250-S251</f>
        <v>1.3642576203665158E-4</v>
      </c>
      <c r="T252" s="172"/>
      <c r="U252" s="172"/>
      <c r="V252" s="172"/>
      <c r="W252" s="172"/>
      <c r="X252" s="197">
        <f>X250-X251</f>
        <v>1.1079634140287453E-4</v>
      </c>
      <c r="Z252" s="209" t="s">
        <v>24</v>
      </c>
      <c r="AA252" s="560" t="str">
        <f>IFERROR(AA244/AA237,"")</f>
        <v/>
      </c>
      <c r="AB252" s="560">
        <f t="shared" ref="AB252:AG252" si="295">IFERROR(AB244/AB237,"")</f>
        <v>0.93260714762561747</v>
      </c>
      <c r="AC252" s="560">
        <f t="shared" si="295"/>
        <v>1</v>
      </c>
      <c r="AD252" s="560">
        <f t="shared" si="295"/>
        <v>0.49696969696969695</v>
      </c>
      <c r="AE252" s="560">
        <f t="shared" si="295"/>
        <v>0.48419744318181823</v>
      </c>
      <c r="AF252" s="560">
        <f t="shared" si="295"/>
        <v>0.45304188321614186</v>
      </c>
      <c r="AG252" s="559">
        <f t="shared" si="295"/>
        <v>0.76697550631199918</v>
      </c>
      <c r="AH252" s="207"/>
    </row>
    <row r="253" spans="1:34">
      <c r="J253" s="90" t="str">
        <f t="shared" ref="J253:O253" si="296">IFERROR((J201/11.63+J238)/J245,"")</f>
        <v/>
      </c>
      <c r="K253" s="90">
        <f t="shared" si="296"/>
        <v>0.78701966893425324</v>
      </c>
      <c r="L253" s="90" t="str">
        <f t="shared" si="296"/>
        <v/>
      </c>
      <c r="M253" s="90">
        <f t="shared" si="296"/>
        <v>0.81723150033940517</v>
      </c>
      <c r="N253" s="90">
        <f t="shared" si="296"/>
        <v>0.64231173439725142</v>
      </c>
      <c r="O253" s="90">
        <f t="shared" si="296"/>
        <v>0.7416165090988821</v>
      </c>
      <c r="P253" s="272"/>
      <c r="Z253" s="209" t="s">
        <v>25</v>
      </c>
      <c r="AA253" s="560" t="str">
        <f t="shared" ref="AA253:AG253" si="297">IFERROR(AA245/AA238,"")</f>
        <v/>
      </c>
      <c r="AB253" s="560">
        <f t="shared" si="297"/>
        <v>0.96358502120710399</v>
      </c>
      <c r="AC253" s="560" t="str">
        <f t="shared" si="297"/>
        <v/>
      </c>
      <c r="AD253" s="560">
        <f t="shared" si="297"/>
        <v>0.61706201467928945</v>
      </c>
      <c r="AE253" s="560">
        <f t="shared" si="297"/>
        <v>0.44199706314243764</v>
      </c>
      <c r="AF253" s="560">
        <f t="shared" si="297"/>
        <v>0.95</v>
      </c>
      <c r="AG253" s="559">
        <f t="shared" si="297"/>
        <v>0.92682604272634794</v>
      </c>
      <c r="AH253" s="207"/>
    </row>
    <row r="254" spans="1:34">
      <c r="J254" s="90" t="str">
        <f t="shared" ref="J254:O254" si="298">IFERROR((J202/11.63+J239)/J246,"")</f>
        <v/>
      </c>
      <c r="K254" s="90">
        <f t="shared" si="298"/>
        <v>0.63312243125737921</v>
      </c>
      <c r="L254" s="90">
        <f t="shared" si="298"/>
        <v>0.51595632697540028</v>
      </c>
      <c r="M254" s="90">
        <f t="shared" si="298"/>
        <v>0.74704567137787847</v>
      </c>
      <c r="N254" s="90">
        <f t="shared" si="298"/>
        <v>0.66237053733998463</v>
      </c>
      <c r="O254" s="90">
        <f t="shared" si="298"/>
        <v>0.55144740616308163</v>
      </c>
      <c r="Z254" s="209" t="s">
        <v>26</v>
      </c>
      <c r="AA254" s="560" t="str">
        <f t="shared" ref="AA254:AG254" si="299">IFERROR(AA246/AA239,"")</f>
        <v/>
      </c>
      <c r="AB254" s="560">
        <f t="shared" si="299"/>
        <v>0.82185738502055872</v>
      </c>
      <c r="AC254" s="560">
        <f t="shared" si="299"/>
        <v>0.82847013907826572</v>
      </c>
      <c r="AD254" s="560">
        <f t="shared" si="299"/>
        <v>0.93035103635982963</v>
      </c>
      <c r="AE254" s="560">
        <f t="shared" si="299"/>
        <v>0.56168508536842421</v>
      </c>
      <c r="AF254" s="560">
        <f t="shared" si="299"/>
        <v>0.66878980891719753</v>
      </c>
      <c r="AG254" s="559">
        <f t="shared" si="299"/>
        <v>0.79844015954068526</v>
      </c>
      <c r="AH254" s="207"/>
    </row>
    <row r="255" spans="1:34">
      <c r="J255" s="90" t="str">
        <f t="shared" ref="J255:O255" si="300">IFERROR((J203/11.63+J240)/J247,"")</f>
        <v/>
      </c>
      <c r="K255" s="90">
        <f t="shared" si="300"/>
        <v>0.8681964548976232</v>
      </c>
      <c r="L255" s="90" t="str">
        <f t="shared" si="300"/>
        <v/>
      </c>
      <c r="M255" s="90">
        <f t="shared" si="300"/>
        <v>0.83527822146556907</v>
      </c>
      <c r="N255" s="90">
        <f t="shared" si="300"/>
        <v>0.77974211278400252</v>
      </c>
      <c r="O255" s="90" t="str">
        <f t="shared" si="300"/>
        <v/>
      </c>
      <c r="Z255" s="209" t="s">
        <v>27</v>
      </c>
      <c r="AA255" s="560" t="str">
        <f t="shared" ref="AA255:AG255" si="301">IFERROR(AA247/AA240,"")</f>
        <v/>
      </c>
      <c r="AB255" s="560">
        <f t="shared" si="301"/>
        <v>0.94819006067216582</v>
      </c>
      <c r="AC255" s="560" t="str">
        <f t="shared" si="301"/>
        <v/>
      </c>
      <c r="AD255" s="560">
        <f t="shared" si="301"/>
        <v>0.99727255016559524</v>
      </c>
      <c r="AE255" s="560">
        <f t="shared" si="301"/>
        <v>0.83521611001964635</v>
      </c>
      <c r="AF255" s="560" t="str">
        <f t="shared" si="301"/>
        <v/>
      </c>
      <c r="AG255" s="559">
        <f t="shared" si="301"/>
        <v>0.92460499044440259</v>
      </c>
      <c r="AH255" s="207"/>
    </row>
    <row r="256" spans="1:34">
      <c r="J256" s="90" t="str">
        <f t="shared" ref="J256:O256" si="302">IFERROR((J204/11.63+J241)/J248,"")</f>
        <v/>
      </c>
      <c r="K256" s="90">
        <f t="shared" si="302"/>
        <v>0.54097783649429465</v>
      </c>
      <c r="L256" s="90">
        <f t="shared" si="302"/>
        <v>0.40369779136780398</v>
      </c>
      <c r="M256" s="90">
        <f t="shared" si="302"/>
        <v>0.81315831911175551</v>
      </c>
      <c r="N256" s="90">
        <f t="shared" si="302"/>
        <v>0.42954254144095039</v>
      </c>
      <c r="O256" s="90">
        <f t="shared" si="302"/>
        <v>0.5636763161004299</v>
      </c>
      <c r="Z256" s="209" t="s">
        <v>28</v>
      </c>
      <c r="AA256" s="560" t="str">
        <f t="shared" ref="AA256:AG256" si="303">IFERROR(AA248/AA241,"")</f>
        <v/>
      </c>
      <c r="AB256" s="560">
        <f t="shared" si="303"/>
        <v>0.87586805555555547</v>
      </c>
      <c r="AC256" s="560">
        <f t="shared" si="303"/>
        <v>0.6632732967893501</v>
      </c>
      <c r="AD256" s="560">
        <f t="shared" si="303"/>
        <v>0.93882441977800202</v>
      </c>
      <c r="AE256" s="560">
        <f t="shared" si="303"/>
        <v>0.653496662824671</v>
      </c>
      <c r="AF256" s="560">
        <f t="shared" si="303"/>
        <v>0.31578947368421051</v>
      </c>
      <c r="AG256" s="559">
        <f t="shared" si="303"/>
        <v>0.72774380195554245</v>
      </c>
    </row>
    <row r="257" spans="1:34">
      <c r="J257" s="90" t="str">
        <f t="shared" ref="J257:O257" si="304">IFERROR((J205/11.63+J242)/J249,"")</f>
        <v/>
      </c>
      <c r="K257" s="90">
        <f t="shared" si="304"/>
        <v>0.34393809117179708</v>
      </c>
      <c r="L257" s="90" t="str">
        <f t="shared" si="304"/>
        <v/>
      </c>
      <c r="M257" s="90" t="str">
        <f t="shared" si="304"/>
        <v/>
      </c>
      <c r="N257" s="90" t="str">
        <f t="shared" si="304"/>
        <v/>
      </c>
      <c r="O257" s="90" t="str">
        <f t="shared" si="304"/>
        <v/>
      </c>
      <c r="Z257" s="209" t="s">
        <v>692</v>
      </c>
      <c r="AA257" s="560" t="str">
        <f>IFERROR(AA249/AA242,"")</f>
        <v/>
      </c>
      <c r="AB257" s="560">
        <f>IFERROR(AB249/AB242,"")</f>
        <v>0</v>
      </c>
      <c r="AC257" s="560" t="str">
        <f>IFERROR(AC249/AC242,"")</f>
        <v/>
      </c>
      <c r="AD257" s="560" t="str">
        <f>IFERROR(AD249/AD242,"")</f>
        <v/>
      </c>
      <c r="AE257" s="560" t="str">
        <f>IFERROR(AE249/AE242,"")</f>
        <v/>
      </c>
      <c r="AF257" s="560"/>
      <c r="AG257" s="559">
        <f>IFERROR(AG249/AG242,"")</f>
        <v>0</v>
      </c>
    </row>
    <row r="258" spans="1:34">
      <c r="A258" s="68" t="str">
        <f>$A$190</f>
        <v>Dati 2022 lorda</v>
      </c>
    </row>
    <row r="259" spans="1:34">
      <c r="A259" s="68" t="s">
        <v>257</v>
      </c>
      <c r="B259" s="68"/>
      <c r="C259" s="68"/>
      <c r="D259" s="68"/>
      <c r="E259" s="68"/>
      <c r="J259" s="428">
        <v>0</v>
      </c>
      <c r="K259" s="428">
        <v>8.7925818332898587</v>
      </c>
      <c r="L259" s="428">
        <v>0.41148818582244662</v>
      </c>
      <c r="M259" s="428">
        <v>1.3512023940560913</v>
      </c>
      <c r="N259" s="428">
        <v>2.1266665515028977</v>
      </c>
      <c r="O259" s="428">
        <v>8.6764949484990223E-4</v>
      </c>
      <c r="P259" s="429">
        <f>SUM(J259:O259)</f>
        <v>12.682806614166143</v>
      </c>
      <c r="Q259" t="s">
        <v>363</v>
      </c>
    </row>
    <row r="260" spans="1:34">
      <c r="A260" t="s">
        <v>258</v>
      </c>
      <c r="J260" s="181" t="str">
        <f>IFERROR(J259/(J236*11.63)*1000000,"")</f>
        <v/>
      </c>
      <c r="K260" s="181">
        <f t="shared" ref="K260:P260" si="305">IFERROR(K259/(K236*11.63)*1000000,"")</f>
        <v>236.82063564162172</v>
      </c>
      <c r="L260" s="181">
        <f t="shared" si="305"/>
        <v>706.66011635748339</v>
      </c>
      <c r="M260" s="181">
        <f t="shared" si="305"/>
        <v>239.49845684612964</v>
      </c>
      <c r="N260" s="181">
        <f t="shared" si="305"/>
        <v>212.01153945848574</v>
      </c>
      <c r="O260" s="181">
        <f t="shared" si="305"/>
        <v>0.26336302768481046</v>
      </c>
      <c r="P260" s="181">
        <f t="shared" si="305"/>
        <v>223.77303376648001</v>
      </c>
    </row>
    <row r="262" spans="1:34">
      <c r="A262" s="68" t="s">
        <v>259</v>
      </c>
      <c r="J262" s="271">
        <f t="shared" ref="J262:P262" si="306">J259+R218</f>
        <v>0</v>
      </c>
      <c r="K262" s="271">
        <f t="shared" si="306"/>
        <v>38.263975654409961</v>
      </c>
      <c r="L262" s="271">
        <f t="shared" si="306"/>
        <v>2.9431206570125541</v>
      </c>
      <c r="M262" s="271">
        <f t="shared" si="306"/>
        <v>2.3097361046105211</v>
      </c>
      <c r="N262" s="271">
        <f t="shared" si="306"/>
        <v>6.6552346136274112</v>
      </c>
      <c r="O262" s="271">
        <f t="shared" si="306"/>
        <v>1.9213885093329459E-2</v>
      </c>
      <c r="P262" s="271">
        <f t="shared" si="306"/>
        <v>50.191280914753776</v>
      </c>
    </row>
    <row r="263" spans="1:34">
      <c r="A263" t="s">
        <v>260</v>
      </c>
      <c r="J263" s="90">
        <f>IFERROR(J262/((J236*11.63)+J199)*1000000,"")</f>
        <v>0</v>
      </c>
      <c r="K263" s="181">
        <f t="shared" ref="K263:P263" si="307">K262/((K236*11.63)+K199)*1000000</f>
        <v>318.64142326540025</v>
      </c>
      <c r="L263" s="181">
        <f t="shared" si="307"/>
        <v>1350.7679082468089</v>
      </c>
      <c r="M263" s="181">
        <f t="shared" si="307"/>
        <v>293.93023313984668</v>
      </c>
      <c r="N263" s="181">
        <f t="shared" si="307"/>
        <v>286.30452664222099</v>
      </c>
      <c r="O263" s="181">
        <f t="shared" si="307"/>
        <v>2.1954410209813919</v>
      </c>
      <c r="P263" s="181">
        <f t="shared" si="307"/>
        <v>309.59578032692747</v>
      </c>
    </row>
    <row r="264" spans="1:34">
      <c r="J264" s="181" t="str">
        <f>IFERROR((J$628*J235*11.63/1000000+R217)/(J235*11.63+J198)*1000000,"")</f>
        <v/>
      </c>
      <c r="K264" s="168"/>
      <c r="L264" s="168"/>
      <c r="M264" s="168"/>
      <c r="N264" s="168"/>
      <c r="O264" s="168"/>
      <c r="P264" s="168"/>
    </row>
    <row r="265" spans="1:34">
      <c r="A265" t="s">
        <v>261</v>
      </c>
      <c r="J265" s="266" t="str">
        <f t="shared" ref="J265:P265" si="308">IFERROR((J260*J236*11.63/1000000+R218)/(J236*11.63+J199)*1000000,"")</f>
        <v/>
      </c>
      <c r="K265" s="266">
        <f t="shared" si="308"/>
        <v>318.64142326540025</v>
      </c>
      <c r="L265" s="266">
        <f t="shared" si="308"/>
        <v>1350.7679082468089</v>
      </c>
      <c r="M265" s="266">
        <f t="shared" si="308"/>
        <v>293.93023313984668</v>
      </c>
      <c r="N265" s="266">
        <f t="shared" si="308"/>
        <v>286.30452664222099</v>
      </c>
      <c r="O265" s="266">
        <f t="shared" si="308"/>
        <v>2.1954410209813919</v>
      </c>
      <c r="P265" s="266">
        <f t="shared" si="308"/>
        <v>309.59578032692747</v>
      </c>
      <c r="R265" s="255" t="str">
        <f t="shared" ref="R265:R271" si="309">IFERROR(J265/R243-1,"")</f>
        <v/>
      </c>
      <c r="S265" s="255">
        <f t="shared" ref="S265:S271" si="310">IFERROR(K265/S243-1,"")</f>
        <v>-0.1030765458029278</v>
      </c>
      <c r="T265" s="255">
        <f t="shared" ref="T265:T271" si="311">IFERROR(L265/T243-1,"")</f>
        <v>-0.14815103359072845</v>
      </c>
      <c r="U265" s="255">
        <f t="shared" ref="U265:U271" si="312">IFERROR(M265/U243-1,"")</f>
        <v>-0.32037808598993245</v>
      </c>
      <c r="V265" s="255">
        <f t="shared" ref="V265:V271" si="313">IFERROR(N265/V243-1,"")</f>
        <v>-0.16456096387208474</v>
      </c>
      <c r="W265" s="255">
        <f t="shared" ref="W265:W271" si="314">IFERROR(O265/W243-1,"")</f>
        <v>-0.34695024577614186</v>
      </c>
      <c r="X265" s="255">
        <f t="shared" ref="X265:X271" si="315">IFERROR(P265/X243-1,"")</f>
        <v>-0.12968227795398901</v>
      </c>
      <c r="AE265" s="186"/>
      <c r="AF265" s="185"/>
      <c r="AG265" s="207"/>
      <c r="AH265" s="207"/>
    </row>
    <row r="266" spans="1:34">
      <c r="A266" s="186" t="s">
        <v>24</v>
      </c>
      <c r="J266" s="181" t="str">
        <f t="shared" ref="J266:P266" si="316">IFERROR((J260*J237*11.63/1000000+R219)/(J237*11.63+J200)*1000000,"")</f>
        <v/>
      </c>
      <c r="K266" s="181">
        <f t="shared" si="316"/>
        <v>291.61969125049501</v>
      </c>
      <c r="L266" s="181">
        <f t="shared" si="316"/>
        <v>1087.4102182197901</v>
      </c>
      <c r="M266" s="181">
        <f t="shared" si="316"/>
        <v>309.98496562720777</v>
      </c>
      <c r="N266" s="181">
        <f t="shared" si="316"/>
        <v>256.02429545170884</v>
      </c>
      <c r="O266" s="181">
        <f t="shared" si="316"/>
        <v>2.1948274875283542</v>
      </c>
      <c r="P266" s="181">
        <f t="shared" si="316"/>
        <v>235.93059139875876</v>
      </c>
      <c r="R266" s="254" t="str">
        <f t="shared" si="309"/>
        <v/>
      </c>
      <c r="S266" s="254">
        <f t="shared" si="310"/>
        <v>-0.12228737242441512</v>
      </c>
      <c r="T266" s="254">
        <f t="shared" si="311"/>
        <v>-0.162648810570452</v>
      </c>
      <c r="U266" s="254">
        <f t="shared" si="312"/>
        <v>-0.27085726684456801</v>
      </c>
      <c r="V266" s="254">
        <f t="shared" si="313"/>
        <v>-0.23405864350197336</v>
      </c>
      <c r="W266" s="254">
        <f t="shared" si="314"/>
        <v>-0.3468786107112467</v>
      </c>
      <c r="X266" s="254">
        <f t="shared" si="315"/>
        <v>-3.7355586995881152E-2</v>
      </c>
    </row>
    <row r="267" spans="1:34">
      <c r="A267" s="186" t="s">
        <v>25</v>
      </c>
      <c r="J267" s="181" t="str">
        <f t="shared" ref="J267:P267" si="317">IFERROR((J260*J238*11.63/1000000+R220)/(J238*11.63+J201)*1000000,"")</f>
        <v/>
      </c>
      <c r="K267" s="181">
        <f t="shared" si="317"/>
        <v>269.51962145480212</v>
      </c>
      <c r="L267" s="181" t="str">
        <f t="shared" si="317"/>
        <v/>
      </c>
      <c r="M267" s="181">
        <f t="shared" si="317"/>
        <v>283.10422986494592</v>
      </c>
      <c r="N267" s="181">
        <f t="shared" si="317"/>
        <v>259.5038454302898</v>
      </c>
      <c r="O267" s="181">
        <f t="shared" si="317"/>
        <v>1.3418869627776677</v>
      </c>
      <c r="P267" s="181">
        <f t="shared" si="317"/>
        <v>262.71865083491667</v>
      </c>
      <c r="R267" s="254" t="str">
        <f t="shared" si="309"/>
        <v/>
      </c>
      <c r="S267" s="254">
        <f t="shared" si="310"/>
        <v>-0.15006778642581164</v>
      </c>
      <c r="T267" s="254" t="str">
        <f t="shared" si="311"/>
        <v/>
      </c>
      <c r="U267" s="254">
        <f t="shared" si="312"/>
        <v>-0.22998856679158042</v>
      </c>
      <c r="V267" s="254">
        <f t="shared" si="313"/>
        <v>-0.39237695856801968</v>
      </c>
      <c r="W267" s="254">
        <f t="shared" si="314"/>
        <v>-0.52575224240830098</v>
      </c>
      <c r="X267" s="254">
        <f t="shared" si="315"/>
        <v>-0.18162399047137989</v>
      </c>
    </row>
    <row r="268" spans="1:34">
      <c r="A268" s="186" t="s">
        <v>26</v>
      </c>
      <c r="J268" s="181" t="str">
        <f t="shared" ref="J268:P268" si="318">IFERROR((J260*J239*11.63/1000000+R221)/(J239*11.63+J202)*1000000,"")</f>
        <v/>
      </c>
      <c r="K268" s="181">
        <f t="shared" si="318"/>
        <v>334.90452998079843</v>
      </c>
      <c r="L268" s="181">
        <f t="shared" si="318"/>
        <v>1228.4033473274615</v>
      </c>
      <c r="M268" s="181">
        <f t="shared" si="318"/>
        <v>311.71401768286756</v>
      </c>
      <c r="N268" s="181">
        <f t="shared" si="318"/>
        <v>240.94127778443533</v>
      </c>
      <c r="O268" s="181">
        <f t="shared" si="318"/>
        <v>2.4548901085941606</v>
      </c>
      <c r="P268" s="181">
        <f t="shared" si="318"/>
        <v>328.71967643601221</v>
      </c>
      <c r="R268" s="254" t="str">
        <f t="shared" si="309"/>
        <v/>
      </c>
      <c r="S268" s="254">
        <f t="shared" si="310"/>
        <v>-7.3049653616741761E-2</v>
      </c>
      <c r="T268" s="254">
        <f t="shared" si="311"/>
        <v>-0.18586982109232453</v>
      </c>
      <c r="U268" s="254">
        <f t="shared" si="312"/>
        <v>-0.32661887385259292</v>
      </c>
      <c r="V268" s="254">
        <f t="shared" si="313"/>
        <v>-5.0378067413672678E-2</v>
      </c>
      <c r="W268" s="254">
        <f t="shared" si="314"/>
        <v>-0.30196015581853419</v>
      </c>
      <c r="X268" s="254">
        <f t="shared" si="315"/>
        <v>-9.3668713557256589E-2</v>
      </c>
    </row>
    <row r="269" spans="1:34">
      <c r="A269" s="186" t="s">
        <v>27</v>
      </c>
      <c r="J269" s="181"/>
      <c r="K269" s="181">
        <f t="shared" ref="K269:P269" si="319">IFERROR((K260*K240*11.63/1000000+S222)/(K240*11.63+K203)*1000000,"")</f>
        <v>246.68247395453938</v>
      </c>
      <c r="L269" s="181" t="str">
        <f t="shared" si="319"/>
        <v/>
      </c>
      <c r="M269" s="181">
        <f t="shared" si="319"/>
        <v>256.95999975527633</v>
      </c>
      <c r="N269" s="181">
        <f t="shared" si="319"/>
        <v>223.14107320630185</v>
      </c>
      <c r="O269" s="181">
        <f t="shared" si="319"/>
        <v>0</v>
      </c>
      <c r="P269" s="181">
        <f t="shared" si="319"/>
        <v>236.10887892363303</v>
      </c>
      <c r="R269" s="254" t="str">
        <f t="shared" si="309"/>
        <v/>
      </c>
      <c r="S269" s="254">
        <f t="shared" si="310"/>
        <v>-0.11597571251903449</v>
      </c>
      <c r="T269" s="254" t="str">
        <f t="shared" si="311"/>
        <v/>
      </c>
      <c r="U269" s="254">
        <f t="shared" si="312"/>
        <v>-0.28270938905869281</v>
      </c>
      <c r="V269" s="254">
        <f t="shared" si="313"/>
        <v>-8.4397927997111766E-2</v>
      </c>
      <c r="W269" s="254" t="str">
        <f t="shared" si="314"/>
        <v/>
      </c>
      <c r="X269" s="254">
        <f t="shared" si="315"/>
        <v>-0.13122619847334505</v>
      </c>
    </row>
    <row r="270" spans="1:34">
      <c r="A270" s="186" t="s">
        <v>28</v>
      </c>
      <c r="J270" s="181" t="str">
        <f t="shared" ref="J270:P270" si="320">IFERROR((J260*J241*11.63/1000000+R223)/(J241*11.63+J204)*1000000,"")</f>
        <v/>
      </c>
      <c r="K270" s="181">
        <f t="shared" si="320"/>
        <v>392.5517260826432</v>
      </c>
      <c r="L270" s="181">
        <f t="shared" si="320"/>
        <v>1569.448708261561</v>
      </c>
      <c r="M270" s="181">
        <f t="shared" si="320"/>
        <v>277.60641484366784</v>
      </c>
      <c r="N270" s="181">
        <f t="shared" si="320"/>
        <v>375.14703950187391</v>
      </c>
      <c r="O270" s="181">
        <f t="shared" si="320"/>
        <v>1.9896829263810512</v>
      </c>
      <c r="P270" s="181">
        <f t="shared" si="320"/>
        <v>458.20836753222028</v>
      </c>
      <c r="R270" s="254" t="str">
        <f t="shared" si="309"/>
        <v/>
      </c>
      <c r="S270" s="254">
        <f t="shared" si="310"/>
        <v>-0.24794468486956489</v>
      </c>
      <c r="T270" s="254">
        <f t="shared" si="311"/>
        <v>-8.4979584458743429E-2</v>
      </c>
      <c r="U270" s="254">
        <f t="shared" si="312"/>
        <v>-0.38262554771422819</v>
      </c>
      <c r="V270" s="254">
        <f t="shared" si="313"/>
        <v>-0.28513213820789152</v>
      </c>
      <c r="W270" s="254">
        <f t="shared" si="314"/>
        <v>-0.61089606520619766</v>
      </c>
      <c r="X270" s="254">
        <f t="shared" si="315"/>
        <v>-0.31877391729001003</v>
      </c>
    </row>
    <row r="271" spans="1:34">
      <c r="A271" s="186" t="s">
        <v>350</v>
      </c>
      <c r="J271" s="181" t="str">
        <f t="shared" ref="J271:P271" si="321">IFERROR((J260*J242*11.63/1000000+R224)/(J242*11.63+J205)*1000000,"")</f>
        <v/>
      </c>
      <c r="K271" s="181">
        <f t="shared" si="321"/>
        <v>329.87403542930923</v>
      </c>
      <c r="L271" s="181" t="str">
        <f t="shared" si="321"/>
        <v/>
      </c>
      <c r="M271" s="181">
        <f t="shared" si="321"/>
        <v>0</v>
      </c>
      <c r="N271" s="181" t="str">
        <f t="shared" si="321"/>
        <v/>
      </c>
      <c r="O271" s="181">
        <f t="shared" si="321"/>
        <v>0</v>
      </c>
      <c r="P271" s="181">
        <f t="shared" si="321"/>
        <v>307.95260427853918</v>
      </c>
      <c r="R271" s="254" t="str">
        <f t="shared" si="309"/>
        <v/>
      </c>
      <c r="S271" s="254">
        <f t="shared" si="310"/>
        <v>-0.22002214103666873</v>
      </c>
      <c r="T271" s="254" t="str">
        <f t="shared" si="311"/>
        <v/>
      </c>
      <c r="U271" s="254" t="str">
        <f t="shared" si="312"/>
        <v/>
      </c>
      <c r="V271" s="254" t="str">
        <f t="shared" si="313"/>
        <v/>
      </c>
      <c r="W271" s="254" t="str">
        <f t="shared" si="314"/>
        <v/>
      </c>
      <c r="X271" s="254">
        <f t="shared" si="315"/>
        <v>-0.19904022182821002</v>
      </c>
    </row>
    <row r="272" spans="1:34">
      <c r="J272" s="181"/>
      <c r="K272" s="181"/>
      <c r="L272" s="181"/>
      <c r="M272" s="181"/>
      <c r="N272" s="181"/>
      <c r="O272" s="181"/>
      <c r="P272" s="181"/>
    </row>
    <row r="273" spans="1:43">
      <c r="J273" s="181"/>
      <c r="K273" s="181"/>
      <c r="L273" s="181"/>
      <c r="M273" s="181"/>
      <c r="N273" s="181"/>
      <c r="O273" s="181"/>
      <c r="P273" s="181"/>
    </row>
    <row r="274" spans="1:43">
      <c r="J274" s="181"/>
      <c r="K274" s="181"/>
      <c r="L274" s="181"/>
      <c r="M274" s="181"/>
      <c r="N274" s="181"/>
      <c r="O274" s="181"/>
      <c r="P274" s="181"/>
    </row>
    <row r="275" spans="1:43">
      <c r="J275" s="181"/>
      <c r="K275" s="181"/>
      <c r="L275" s="181"/>
      <c r="M275" s="181"/>
      <c r="N275" s="181"/>
      <c r="O275" s="181"/>
      <c r="P275" s="181"/>
    </row>
    <row r="276" spans="1:43">
      <c r="J276" s="181"/>
      <c r="K276" s="181"/>
      <c r="L276" s="181"/>
      <c r="M276" s="181"/>
      <c r="N276" s="181"/>
      <c r="O276" s="181"/>
      <c r="P276" s="181"/>
    </row>
    <row r="277" spans="1:43">
      <c r="J277" s="181"/>
      <c r="K277" s="181"/>
      <c r="L277" s="181"/>
      <c r="M277" s="181"/>
      <c r="N277" s="181"/>
      <c r="O277" s="181"/>
      <c r="P277" s="181"/>
    </row>
    <row r="280" spans="1:43" ht="15.5">
      <c r="A280" s="108"/>
      <c r="B280" s="108"/>
      <c r="J280" s="254">
        <f t="shared" ref="J280:O280" si="322">J291/J298</f>
        <v>1.426338190490318E-6</v>
      </c>
      <c r="K280" s="254">
        <f t="shared" si="322"/>
        <v>0.57419151789195866</v>
      </c>
      <c r="L280" s="254">
        <f t="shared" si="322"/>
        <v>0.98700484878369499</v>
      </c>
      <c r="M280" s="254">
        <f t="shared" si="322"/>
        <v>0.481979829872976</v>
      </c>
      <c r="N280" s="254">
        <f t="shared" si="322"/>
        <v>0.55446316766542225</v>
      </c>
      <c r="O280" s="254">
        <f t="shared" si="322"/>
        <v>0.68802706386663948</v>
      </c>
      <c r="P280" s="254">
        <f>SUM(K291:O291)/SUM(K298:O298)</f>
        <v>0.5801438559327261</v>
      </c>
    </row>
    <row r="281" spans="1:43">
      <c r="J281" s="166">
        <f>J335*((J291/11.63)/((J291/11.63)+J328))*41.868</f>
        <v>0</v>
      </c>
      <c r="K281" s="166">
        <f t="shared" ref="K281:P281" si="323">K335*((K291/11.63)/((K291/11.63)+K328))*41.868</f>
        <v>446351.46396492241</v>
      </c>
      <c r="L281" s="166">
        <f t="shared" si="323"/>
        <v>16241.684416398219</v>
      </c>
      <c r="M281" s="166">
        <f t="shared" si="323"/>
        <v>8611.4129635282661</v>
      </c>
      <c r="N281" s="166">
        <f t="shared" si="323"/>
        <v>61600.221915808717</v>
      </c>
      <c r="O281" s="166">
        <f t="shared" si="323"/>
        <v>34618.912671043261</v>
      </c>
      <c r="P281" s="166">
        <f t="shared" si="323"/>
        <v>566714.64313397079</v>
      </c>
    </row>
    <row r="282" spans="1:43">
      <c r="A282" s="402" t="s">
        <v>423</v>
      </c>
      <c r="J282" s="68" t="s">
        <v>175</v>
      </c>
      <c r="R282" s="68" t="s">
        <v>122</v>
      </c>
      <c r="S282" s="68"/>
      <c r="AJ282" s="68" t="s">
        <v>264</v>
      </c>
    </row>
    <row r="283" spans="1:43" ht="15.5">
      <c r="A283" s="68"/>
      <c r="J283" s="180" t="s">
        <v>5</v>
      </c>
      <c r="K283" s="180" t="s">
        <v>186</v>
      </c>
      <c r="L283" s="180" t="s">
        <v>187</v>
      </c>
      <c r="M283" s="180" t="s">
        <v>190</v>
      </c>
      <c r="N283" s="180" t="s">
        <v>192</v>
      </c>
      <c r="O283" s="180" t="s">
        <v>191</v>
      </c>
      <c r="P283" s="180" t="s">
        <v>189</v>
      </c>
      <c r="Q283" s="2"/>
      <c r="R283" s="180" t="s">
        <v>5</v>
      </c>
      <c r="S283" s="180" t="s">
        <v>186</v>
      </c>
      <c r="T283" s="180" t="s">
        <v>187</v>
      </c>
      <c r="U283" s="180" t="s">
        <v>190</v>
      </c>
      <c r="V283" s="180" t="s">
        <v>192</v>
      </c>
      <c r="W283" s="180" t="s">
        <v>191</v>
      </c>
      <c r="X283" s="180" t="s">
        <v>189</v>
      </c>
      <c r="AA283" s="68"/>
      <c r="AB283" s="553"/>
      <c r="AJ283" s="68"/>
      <c r="AK283" s="180" t="s">
        <v>5</v>
      </c>
      <c r="AL283" s="180" t="s">
        <v>186</v>
      </c>
      <c r="AM283" s="180" t="s">
        <v>187</v>
      </c>
      <c r="AN283" s="180" t="s">
        <v>190</v>
      </c>
      <c r="AO283" s="180" t="s">
        <v>192</v>
      </c>
      <c r="AP283" s="180" t="s">
        <v>191</v>
      </c>
      <c r="AQ283" s="180" t="s">
        <v>189</v>
      </c>
    </row>
    <row r="284" spans="1:43" ht="15.5">
      <c r="A284" s="11" t="s">
        <v>16</v>
      </c>
      <c r="J284" s="179">
        <f t="shared" ref="J284:P284" si="324">SUM(J285:J290)</f>
        <v>14021.9</v>
      </c>
      <c r="K284" s="179">
        <f t="shared" si="324"/>
        <v>61315.54</v>
      </c>
      <c r="L284" s="179">
        <f t="shared" si="324"/>
        <v>25.3</v>
      </c>
      <c r="M284" s="179">
        <f t="shared" si="324"/>
        <v>1995.02</v>
      </c>
      <c r="N284" s="179">
        <f t="shared" si="324"/>
        <v>7631.89</v>
      </c>
      <c r="O284" s="179">
        <f t="shared" si="324"/>
        <v>2553.3399999999997</v>
      </c>
      <c r="P284" s="179">
        <f t="shared" si="324"/>
        <v>87542.99</v>
      </c>
      <c r="Q284" s="2"/>
      <c r="R284" s="206">
        <v>10.042999999999999</v>
      </c>
      <c r="S284" s="206">
        <v>6.7619999999999996</v>
      </c>
      <c r="T284" s="206">
        <v>9.0269999999999992</v>
      </c>
      <c r="U284" s="206">
        <v>10.353999999999999</v>
      </c>
      <c r="V284" s="206">
        <v>11.316000000000001</v>
      </c>
      <c r="W284" s="206">
        <v>9.7840000000000007</v>
      </c>
      <c r="X284" s="451">
        <v>7.8550000000000004</v>
      </c>
      <c r="AA284" s="68"/>
      <c r="AC284" s="403"/>
      <c r="AJ284" s="11" t="s">
        <v>16</v>
      </c>
      <c r="AK284" s="256">
        <f t="shared" ref="AK284:AK298" si="325">IFERROR(J284*3.6/J303,"")</f>
        <v>0.35845862790002986</v>
      </c>
      <c r="AL284" s="256">
        <f t="shared" ref="AL284:AL298" si="326">IFERROR(K284*3.6/K303,"")</f>
        <v>0.53243309284392637</v>
      </c>
      <c r="AM284" s="256">
        <f t="shared" ref="AM284:AM298" si="327">IFERROR(L284*3.6/L303,"")</f>
        <v>0.39880358923230314</v>
      </c>
      <c r="AN284" s="256">
        <f t="shared" ref="AN284:AN298" si="328">IFERROR(M284*3.6/M303,"")</f>
        <v>0.34772091347543038</v>
      </c>
      <c r="AO284" s="256">
        <f t="shared" ref="AO284:AO298" si="329">IFERROR(N284*3.6/N303,"")</f>
        <v>0.31813558860621399</v>
      </c>
      <c r="AP284" s="256">
        <f t="shared" ref="AP284:AP298" si="330">IFERROR(O284*3.6/O303,"")</f>
        <v>0.3679290869610975</v>
      </c>
      <c r="AQ284" s="256">
        <f t="shared" ref="AQ284:AQ298" si="331">IFERROR(P284*3.6/P303,"")</f>
        <v>0.45832040890771869</v>
      </c>
    </row>
    <row r="285" spans="1:43" ht="15.5">
      <c r="A285" s="10" t="s">
        <v>17</v>
      </c>
      <c r="J285" s="181"/>
      <c r="K285" s="181">
        <v>199.8</v>
      </c>
      <c r="L285" s="181">
        <v>25.3</v>
      </c>
      <c r="M285" s="181">
        <v>204.7</v>
      </c>
      <c r="N285" s="181">
        <v>1174.1199999999999</v>
      </c>
      <c r="O285" s="181">
        <v>2527.04</v>
      </c>
      <c r="P285" s="179">
        <f t="shared" ref="P285:P290" si="332">SUM(J285:O285)</f>
        <v>4130.96</v>
      </c>
      <c r="Q285" s="2"/>
      <c r="R285" s="178">
        <v>0</v>
      </c>
      <c r="S285" s="178">
        <v>9.5069999999999997</v>
      </c>
      <c r="T285" s="178">
        <v>9.0269999999999992</v>
      </c>
      <c r="U285" s="178">
        <v>9.5190000000000001</v>
      </c>
      <c r="V285" s="178">
        <v>8.7859999999999996</v>
      </c>
      <c r="W285" s="178">
        <v>9.7850000000000001</v>
      </c>
      <c r="X285" s="206">
        <v>9.4700000000000006</v>
      </c>
      <c r="Z285" s="169"/>
      <c r="AA285" s="207"/>
      <c r="AB285" s="207"/>
      <c r="AC285" s="186"/>
      <c r="AF285" s="185"/>
      <c r="AG285" s="207"/>
      <c r="AH285" s="207"/>
      <c r="AJ285" s="10" t="s">
        <v>17</v>
      </c>
      <c r="AK285" s="56" t="str">
        <f t="shared" si="325"/>
        <v/>
      </c>
      <c r="AL285" s="56">
        <f t="shared" si="326"/>
        <v>0.37866834963710949</v>
      </c>
      <c r="AM285" s="56">
        <f t="shared" si="327"/>
        <v>0.39880358923230314</v>
      </c>
      <c r="AN285" s="56">
        <f t="shared" si="328"/>
        <v>0.3781909864481563</v>
      </c>
      <c r="AO285" s="56">
        <f t="shared" si="329"/>
        <v>0.40974277259276121</v>
      </c>
      <c r="AP285" s="56">
        <f t="shared" si="330"/>
        <v>0.36791006642820645</v>
      </c>
      <c r="AQ285" s="256">
        <f t="shared" si="331"/>
        <v>0.38015624569921652</v>
      </c>
    </row>
    <row r="286" spans="1:43" ht="15.5">
      <c r="A286" s="10" t="s">
        <v>18</v>
      </c>
      <c r="J286" s="181"/>
      <c r="K286" s="181">
        <v>641.20000000000005</v>
      </c>
      <c r="L286" s="181"/>
      <c r="M286" s="181">
        <v>8.6</v>
      </c>
      <c r="N286" s="181">
        <v>9.92</v>
      </c>
      <c r="O286" s="181">
        <v>12.7</v>
      </c>
      <c r="P286" s="179">
        <f t="shared" si="332"/>
        <v>672.42000000000007</v>
      </c>
      <c r="Q286" s="2"/>
      <c r="R286" s="178">
        <v>0</v>
      </c>
      <c r="S286" s="178">
        <v>9.7889999999999997</v>
      </c>
      <c r="T286" s="178">
        <v>0</v>
      </c>
      <c r="U286" s="178">
        <v>14.923999999999999</v>
      </c>
      <c r="V286" s="178">
        <v>13.228999999999999</v>
      </c>
      <c r="W286" s="178">
        <v>10.491</v>
      </c>
      <c r="X286" s="206">
        <v>9.9190000000000005</v>
      </c>
      <c r="Z286" s="169"/>
      <c r="AA286" s="207"/>
      <c r="AB286" s="207"/>
      <c r="AC286" s="186"/>
      <c r="AF286" s="185"/>
      <c r="AG286" s="207"/>
      <c r="AH286" s="207"/>
      <c r="AJ286" s="10" t="s">
        <v>18</v>
      </c>
      <c r="AK286" s="56" t="str">
        <f t="shared" si="325"/>
        <v/>
      </c>
      <c r="AL286" s="56">
        <f t="shared" si="326"/>
        <v>0.36775973030953113</v>
      </c>
      <c r="AM286" s="56" t="str">
        <f t="shared" si="327"/>
        <v/>
      </c>
      <c r="AN286" s="56">
        <f t="shared" si="328"/>
        <v>0.24122219244170467</v>
      </c>
      <c r="AO286" s="56">
        <f t="shared" si="329"/>
        <v>0.27212941265401774</v>
      </c>
      <c r="AP286" s="56">
        <f t="shared" si="330"/>
        <v>0.34315127251930228</v>
      </c>
      <c r="AQ286" s="256">
        <f t="shared" si="331"/>
        <v>0.36295142521323481</v>
      </c>
    </row>
    <row r="287" spans="1:43" ht="15.5">
      <c r="A287" s="10" t="s">
        <v>19</v>
      </c>
      <c r="J287" s="181">
        <v>14021.9</v>
      </c>
      <c r="K287" s="181">
        <v>482.4</v>
      </c>
      <c r="L287" s="181"/>
      <c r="M287" s="181">
        <v>1774.02</v>
      </c>
      <c r="N287" s="181">
        <v>4474.63</v>
      </c>
      <c r="O287" s="181">
        <v>8.5</v>
      </c>
      <c r="P287" s="179">
        <f t="shared" si="332"/>
        <v>20761.45</v>
      </c>
      <c r="Q287" s="2"/>
      <c r="R287" s="178">
        <v>10.042999999999999</v>
      </c>
      <c r="S287" s="178">
        <v>9.9849999999999994</v>
      </c>
      <c r="T287" s="178">
        <v>0</v>
      </c>
      <c r="U287" s="178">
        <v>10.436999999999999</v>
      </c>
      <c r="V287" s="178">
        <v>13.552</v>
      </c>
      <c r="W287" s="178">
        <v>9.048</v>
      </c>
      <c r="X287" s="206">
        <v>10.831</v>
      </c>
      <c r="Z287" s="169"/>
      <c r="AA287" s="207"/>
      <c r="AB287" s="207"/>
      <c r="AC287" s="186"/>
      <c r="AF287" s="185"/>
      <c r="AG287" s="207"/>
      <c r="AH287" s="207"/>
      <c r="AJ287" s="10" t="s">
        <v>19</v>
      </c>
      <c r="AK287" s="56">
        <f t="shared" si="325"/>
        <v>0.35845862790002986</v>
      </c>
      <c r="AL287" s="56">
        <f t="shared" si="326"/>
        <v>0.3605408112168253</v>
      </c>
      <c r="AM287" s="56" t="str">
        <f t="shared" si="327"/>
        <v/>
      </c>
      <c r="AN287" s="56">
        <f t="shared" si="328"/>
        <v>0.34492670307559642</v>
      </c>
      <c r="AO287" s="56">
        <f t="shared" si="329"/>
        <v>0.26564344746162932</v>
      </c>
      <c r="AP287" s="56">
        <f t="shared" si="330"/>
        <v>0.39787798408488068</v>
      </c>
      <c r="AQ287" s="256">
        <f t="shared" si="331"/>
        <v>0.33237339705728908</v>
      </c>
    </row>
    <row r="288" spans="1:43" ht="15.5">
      <c r="A288" s="10" t="s">
        <v>20</v>
      </c>
      <c r="J288" s="181"/>
      <c r="K288" s="181">
        <v>59992.04</v>
      </c>
      <c r="L288" s="181"/>
      <c r="M288" s="181">
        <v>7.7</v>
      </c>
      <c r="N288" s="181">
        <v>1973.22</v>
      </c>
      <c r="O288" s="181">
        <v>5.0999999999999996</v>
      </c>
      <c r="P288" s="179">
        <f t="shared" si="332"/>
        <v>61978.06</v>
      </c>
      <c r="Q288" s="2"/>
      <c r="R288" s="178">
        <v>0</v>
      </c>
      <c r="S288" s="178">
        <v>6.694</v>
      </c>
      <c r="T288" s="178">
        <v>0</v>
      </c>
      <c r="U288" s="178">
        <v>8.1</v>
      </c>
      <c r="V288" s="178">
        <v>7.7409999999999997</v>
      </c>
      <c r="W288" s="178">
        <v>9.0020000000000007</v>
      </c>
      <c r="X288" s="206">
        <v>6.7279999999999998</v>
      </c>
      <c r="Z288" s="169"/>
      <c r="AA288" s="207"/>
      <c r="AB288" s="207"/>
      <c r="AC288" s="186"/>
      <c r="AF288" s="185"/>
      <c r="AG288" s="207"/>
      <c r="AH288" s="207"/>
      <c r="AJ288" s="10" t="s">
        <v>20</v>
      </c>
      <c r="AK288" s="56" t="str">
        <f t="shared" si="325"/>
        <v/>
      </c>
      <c r="AL288" s="56">
        <f t="shared" si="326"/>
        <v>0.5377950403346281</v>
      </c>
      <c r="AM288" s="56" t="str">
        <f t="shared" si="327"/>
        <v/>
      </c>
      <c r="AN288" s="56">
        <f t="shared" si="328"/>
        <v>0.44444444444444448</v>
      </c>
      <c r="AO288" s="56">
        <f t="shared" si="329"/>
        <v>0.46505619429014344</v>
      </c>
      <c r="AP288" s="56">
        <f t="shared" si="330"/>
        <v>0.39991113085980889</v>
      </c>
      <c r="AQ288" s="256">
        <f t="shared" si="331"/>
        <v>0.53510128024053616</v>
      </c>
    </row>
    <row r="289" spans="1:43" ht="15.5">
      <c r="A289" s="10" t="s">
        <v>22</v>
      </c>
      <c r="J289" s="181"/>
      <c r="K289" s="181"/>
      <c r="L289" s="181"/>
      <c r="M289" s="181"/>
      <c r="N289" s="181"/>
      <c r="O289" s="181"/>
      <c r="P289" s="179">
        <f t="shared" si="332"/>
        <v>0</v>
      </c>
      <c r="Q289" s="2"/>
      <c r="R289" s="178">
        <v>0</v>
      </c>
      <c r="S289" s="178">
        <v>0</v>
      </c>
      <c r="T289" s="178">
        <v>0</v>
      </c>
      <c r="U289" s="178">
        <v>0</v>
      </c>
      <c r="V289" s="178">
        <v>0</v>
      </c>
      <c r="W289" s="178">
        <v>0</v>
      </c>
      <c r="X289" s="206">
        <v>0</v>
      </c>
      <c r="AC289" s="403"/>
      <c r="AF289" s="210"/>
      <c r="AG289" s="210"/>
      <c r="AH289" s="210"/>
      <c r="AJ289" s="10" t="s">
        <v>22</v>
      </c>
      <c r="AK289" s="56" t="str">
        <f t="shared" si="325"/>
        <v/>
      </c>
      <c r="AL289" s="56" t="str">
        <f t="shared" si="326"/>
        <v/>
      </c>
      <c r="AM289" s="56" t="str">
        <f t="shared" si="327"/>
        <v/>
      </c>
      <c r="AN289" s="56" t="str">
        <f t="shared" si="328"/>
        <v/>
      </c>
      <c r="AO289" s="56" t="str">
        <f t="shared" si="329"/>
        <v/>
      </c>
      <c r="AP289" s="56" t="str">
        <f t="shared" si="330"/>
        <v/>
      </c>
      <c r="AQ289" s="256" t="str">
        <f t="shared" si="331"/>
        <v/>
      </c>
    </row>
    <row r="290" spans="1:43" ht="15.5">
      <c r="A290" s="10" t="s">
        <v>349</v>
      </c>
      <c r="J290" s="181"/>
      <c r="K290" s="181">
        <v>0.1</v>
      </c>
      <c r="L290" s="181"/>
      <c r="M290" s="181"/>
      <c r="N290" s="181"/>
      <c r="O290" s="181"/>
      <c r="P290" s="179">
        <f t="shared" si="332"/>
        <v>0.1</v>
      </c>
      <c r="Q290" s="2"/>
      <c r="R290" s="178">
        <v>0</v>
      </c>
      <c r="S290" s="178">
        <v>6.7990000000000004</v>
      </c>
      <c r="T290" s="178">
        <v>0</v>
      </c>
      <c r="U290" s="178">
        <v>0</v>
      </c>
      <c r="V290" s="178">
        <v>0</v>
      </c>
      <c r="W290" s="178">
        <v>0</v>
      </c>
      <c r="X290" s="206">
        <v>6.7990000000000004</v>
      </c>
      <c r="Z290" s="169"/>
      <c r="AA290" s="207"/>
      <c r="AB290" s="207"/>
      <c r="AC290" s="403"/>
      <c r="AF290" s="185"/>
      <c r="AG290" s="207"/>
      <c r="AH290" s="207"/>
      <c r="AJ290" s="10" t="s">
        <v>349</v>
      </c>
      <c r="AK290" s="56" t="str">
        <f t="shared" si="325"/>
        <v/>
      </c>
      <c r="AL290" s="56" t="str">
        <f t="shared" si="326"/>
        <v/>
      </c>
      <c r="AM290" s="56" t="str">
        <f t="shared" si="327"/>
        <v/>
      </c>
      <c r="AN290" s="56" t="str">
        <f t="shared" si="328"/>
        <v/>
      </c>
      <c r="AO290" s="56" t="str">
        <f t="shared" si="329"/>
        <v/>
      </c>
      <c r="AP290" s="56" t="str">
        <f t="shared" si="330"/>
        <v/>
      </c>
      <c r="AQ290" s="256" t="str">
        <f t="shared" si="331"/>
        <v/>
      </c>
    </row>
    <row r="291" spans="1:43" ht="15.5">
      <c r="A291" s="11" t="s">
        <v>23</v>
      </c>
      <c r="J291" s="179">
        <f t="shared" ref="J291:P291" si="333">SUM(J292:J297)</f>
        <v>0.02</v>
      </c>
      <c r="K291" s="179">
        <f t="shared" si="333"/>
        <v>82682.39</v>
      </c>
      <c r="L291" s="179">
        <f t="shared" si="333"/>
        <v>1921.5800000000002</v>
      </c>
      <c r="M291" s="179">
        <f t="shared" si="333"/>
        <v>1856.22</v>
      </c>
      <c r="N291" s="179">
        <f t="shared" si="333"/>
        <v>9497.76</v>
      </c>
      <c r="O291" s="179">
        <f t="shared" si="333"/>
        <v>5631.1519999999991</v>
      </c>
      <c r="P291" s="179">
        <f t="shared" si="333"/>
        <v>101589.122</v>
      </c>
      <c r="Q291" s="2"/>
      <c r="R291" s="206">
        <v>0</v>
      </c>
      <c r="S291" s="206">
        <v>6.0780000000000003</v>
      </c>
      <c r="T291" s="206">
        <v>9.5050000000000008</v>
      </c>
      <c r="U291" s="206">
        <v>6.2839999999999998</v>
      </c>
      <c r="V291" s="206">
        <v>8.6039999999999992</v>
      </c>
      <c r="W291" s="206">
        <v>7.4249999999999998</v>
      </c>
      <c r="X291" s="451">
        <v>6.4580000000000002</v>
      </c>
      <c r="Z291" s="169"/>
      <c r="AA291" s="419"/>
      <c r="AB291" s="342"/>
      <c r="AC291" s="403"/>
      <c r="AF291" s="210"/>
      <c r="AG291" s="210"/>
      <c r="AH291" s="210"/>
      <c r="AJ291" s="11" t="s">
        <v>23</v>
      </c>
      <c r="AK291" s="256" t="str">
        <f t="shared" si="325"/>
        <v/>
      </c>
      <c r="AL291" s="256">
        <f t="shared" si="326"/>
        <v>0.59226704197894098</v>
      </c>
      <c r="AM291" s="256">
        <f t="shared" si="327"/>
        <v>0.3787259117033932</v>
      </c>
      <c r="AN291" s="256">
        <f t="shared" si="328"/>
        <v>0.57287262887197943</v>
      </c>
      <c r="AO291" s="256">
        <f t="shared" si="329"/>
        <v>0.41843692954635786</v>
      </c>
      <c r="AP291" s="256">
        <f t="shared" si="330"/>
        <v>0.48484782966914297</v>
      </c>
      <c r="AQ291" s="256">
        <f t="shared" si="331"/>
        <v>0.5574784668330206</v>
      </c>
    </row>
    <row r="292" spans="1:43" ht="15.5">
      <c r="A292" s="10" t="s">
        <v>24</v>
      </c>
      <c r="J292" s="181"/>
      <c r="K292" s="181">
        <v>12315.65</v>
      </c>
      <c r="L292" s="181">
        <v>150.9</v>
      </c>
      <c r="M292" s="181">
        <v>14.9</v>
      </c>
      <c r="N292" s="181">
        <v>1464.02</v>
      </c>
      <c r="O292" s="181">
        <v>5593.15</v>
      </c>
      <c r="P292" s="179">
        <f t="shared" ref="P292:P297" si="334">SUM(J292:O292)</f>
        <v>19538.62</v>
      </c>
      <c r="Q292" s="2"/>
      <c r="R292" s="178">
        <v>0</v>
      </c>
      <c r="S292" s="178">
        <v>5.7450000000000001</v>
      </c>
      <c r="T292" s="178">
        <v>7.2910000000000004</v>
      </c>
      <c r="U292" s="178">
        <v>6.5220000000000002</v>
      </c>
      <c r="V292" s="178">
        <v>7.3949999999999996</v>
      </c>
      <c r="W292" s="178">
        <v>7.4240000000000004</v>
      </c>
      <c r="X292" s="206">
        <v>6.3620000000000001</v>
      </c>
      <c r="Z292" s="169"/>
      <c r="AA292" s="207"/>
      <c r="AB292" s="207"/>
      <c r="AC292" s="186"/>
      <c r="AF292" s="185"/>
      <c r="AG292" s="207"/>
      <c r="AH292" s="207"/>
      <c r="AJ292" s="10" t="s">
        <v>24</v>
      </c>
      <c r="AK292" s="56" t="str">
        <f t="shared" si="325"/>
        <v/>
      </c>
      <c r="AL292" s="56">
        <f t="shared" si="326"/>
        <v>0.62663185378590081</v>
      </c>
      <c r="AM292" s="56">
        <f t="shared" si="327"/>
        <v>0.49375942943354822</v>
      </c>
      <c r="AN292" s="56">
        <f t="shared" si="328"/>
        <v>0.55197792088316466</v>
      </c>
      <c r="AO292" s="56">
        <f t="shared" si="329"/>
        <v>0.48681541582150106</v>
      </c>
      <c r="AP292" s="56">
        <f t="shared" si="330"/>
        <v>0.48491379310344829</v>
      </c>
      <c r="AQ292" s="256">
        <f t="shared" si="331"/>
        <v>0.56587767407715739</v>
      </c>
    </row>
    <row r="293" spans="1:43" ht="15.5">
      <c r="A293" s="10" t="s">
        <v>25</v>
      </c>
      <c r="J293" s="181"/>
      <c r="K293" s="181">
        <v>7758.24</v>
      </c>
      <c r="L293" s="181"/>
      <c r="M293" s="181">
        <v>250.11</v>
      </c>
      <c r="N293" s="181">
        <v>20.6</v>
      </c>
      <c r="O293" s="181">
        <v>4.7</v>
      </c>
      <c r="P293" s="179">
        <f t="shared" si="334"/>
        <v>8033.65</v>
      </c>
      <c r="Q293" s="2"/>
      <c r="R293" s="178">
        <v>0</v>
      </c>
      <c r="S293" s="178">
        <v>5.476</v>
      </c>
      <c r="T293" s="178">
        <v>4.8730000000000002</v>
      </c>
      <c r="U293" s="178">
        <v>5.3010000000000002</v>
      </c>
      <c r="V293" s="178">
        <v>9.31</v>
      </c>
      <c r="W293" s="178">
        <v>5.899</v>
      </c>
      <c r="X293" s="206">
        <v>5.48</v>
      </c>
      <c r="Z293" s="169"/>
      <c r="AA293" s="207"/>
      <c r="AB293" s="207"/>
      <c r="AC293" s="186"/>
      <c r="AF293" s="185"/>
      <c r="AG293" s="207"/>
      <c r="AH293" s="207"/>
      <c r="AJ293" s="10" t="s">
        <v>25</v>
      </c>
      <c r="AK293" s="56" t="str">
        <f t="shared" si="325"/>
        <v/>
      </c>
      <c r="AL293" s="56">
        <f t="shared" si="326"/>
        <v>0.6574141709276845</v>
      </c>
      <c r="AM293" s="56" t="str">
        <f t="shared" si="327"/>
        <v/>
      </c>
      <c r="AN293" s="56">
        <f t="shared" si="328"/>
        <v>0.67911714770797971</v>
      </c>
      <c r="AO293" s="56">
        <f t="shared" si="329"/>
        <v>0.38668098818474755</v>
      </c>
      <c r="AP293" s="56">
        <f t="shared" si="330"/>
        <v>0.61027292761484997</v>
      </c>
      <c r="AQ293" s="256">
        <f t="shared" si="331"/>
        <v>0.65685874030454561</v>
      </c>
    </row>
    <row r="294" spans="1:43" ht="15.5">
      <c r="A294" s="10" t="s">
        <v>26</v>
      </c>
      <c r="J294" s="181"/>
      <c r="K294" s="181">
        <v>61201.85</v>
      </c>
      <c r="L294" s="181">
        <v>943.24</v>
      </c>
      <c r="M294" s="181">
        <v>1247.3</v>
      </c>
      <c r="N294" s="181">
        <v>3526.82</v>
      </c>
      <c r="O294" s="181">
        <v>32.4</v>
      </c>
      <c r="P294" s="179">
        <f t="shared" si="334"/>
        <v>66951.61</v>
      </c>
      <c r="Q294" s="2"/>
      <c r="R294" s="178">
        <v>0</v>
      </c>
      <c r="S294" s="90">
        <v>6.19</v>
      </c>
      <c r="T294" s="178">
        <v>8.798</v>
      </c>
      <c r="U294" s="178">
        <v>6.649</v>
      </c>
      <c r="V294" s="178">
        <v>5.641</v>
      </c>
      <c r="W294" s="178">
        <v>7.7460000000000004</v>
      </c>
      <c r="X294" s="206">
        <v>6.2069999999999999</v>
      </c>
      <c r="Z294" s="169"/>
      <c r="AA294" s="207"/>
      <c r="AB294" s="207"/>
      <c r="AC294" s="186"/>
      <c r="AF294" s="185"/>
      <c r="AG294" s="207"/>
      <c r="AH294" s="207"/>
      <c r="AJ294" s="10" t="s">
        <v>26</v>
      </c>
      <c r="AK294" s="56" t="str">
        <f t="shared" si="325"/>
        <v/>
      </c>
      <c r="AL294" s="56">
        <f t="shared" si="326"/>
        <v>0.5815831987075929</v>
      </c>
      <c r="AM294" s="56">
        <f t="shared" si="327"/>
        <v>0.409183905433053</v>
      </c>
      <c r="AN294" s="56">
        <f t="shared" si="328"/>
        <v>0.54143480222589868</v>
      </c>
      <c r="AO294" s="56">
        <f t="shared" si="329"/>
        <v>0.63818471902145013</v>
      </c>
      <c r="AP294" s="56">
        <f t="shared" si="330"/>
        <v>0.46475600309837334</v>
      </c>
      <c r="AQ294" s="256">
        <f t="shared" si="331"/>
        <v>0.57997847978531702</v>
      </c>
    </row>
    <row r="295" spans="1:43" ht="15.5">
      <c r="A295" s="10" t="s">
        <v>27</v>
      </c>
      <c r="J295" s="181">
        <v>0.01</v>
      </c>
      <c r="K295" s="181">
        <v>551.54999999999995</v>
      </c>
      <c r="L295" s="181"/>
      <c r="M295" s="181">
        <v>175.5</v>
      </c>
      <c r="N295" s="181">
        <v>630</v>
      </c>
      <c r="O295" s="181">
        <v>1E-3</v>
      </c>
      <c r="P295" s="179">
        <f t="shared" si="334"/>
        <v>1357.0609999999999</v>
      </c>
      <c r="Q295" s="2"/>
      <c r="R295" s="178">
        <v>0</v>
      </c>
      <c r="S295" s="178">
        <v>5.0730000000000004</v>
      </c>
      <c r="T295" s="178">
        <v>0</v>
      </c>
      <c r="U295" s="178">
        <v>4.7690000000000001</v>
      </c>
      <c r="V295" s="178">
        <v>5.7190000000000003</v>
      </c>
      <c r="W295" s="178">
        <v>0</v>
      </c>
      <c r="X295" s="206">
        <v>5.3330000000000002</v>
      </c>
      <c r="Z295" s="169"/>
      <c r="AA295" s="207"/>
      <c r="AB295" s="207"/>
      <c r="AC295" s="186"/>
      <c r="AF295" s="210"/>
      <c r="AG295" s="210"/>
      <c r="AH295" s="210"/>
      <c r="AJ295" s="10" t="s">
        <v>27</v>
      </c>
      <c r="AK295" s="56" t="str">
        <f t="shared" si="325"/>
        <v/>
      </c>
      <c r="AL295" s="56">
        <f t="shared" si="326"/>
        <v>0.70963926670609112</v>
      </c>
      <c r="AM295" s="56" t="str">
        <f t="shared" si="327"/>
        <v/>
      </c>
      <c r="AN295" s="56">
        <f t="shared" si="328"/>
        <v>0.75487523589851124</v>
      </c>
      <c r="AO295" s="56">
        <f t="shared" si="329"/>
        <v>0.62948067844028677</v>
      </c>
      <c r="AP295" s="56" t="str">
        <f t="shared" si="330"/>
        <v/>
      </c>
      <c r="AQ295" s="256">
        <f t="shared" si="331"/>
        <v>0.67497351612754219</v>
      </c>
    </row>
    <row r="296" spans="1:43" ht="15.5">
      <c r="A296" s="10" t="s">
        <v>28</v>
      </c>
      <c r="J296" s="181">
        <v>0.01</v>
      </c>
      <c r="K296" s="181">
        <v>854.8</v>
      </c>
      <c r="L296" s="181">
        <v>827.44</v>
      </c>
      <c r="M296" s="181">
        <v>168.4</v>
      </c>
      <c r="N296" s="181">
        <v>3856.32</v>
      </c>
      <c r="O296" s="181">
        <v>0.9</v>
      </c>
      <c r="P296" s="179">
        <f t="shared" si="334"/>
        <v>5707.87</v>
      </c>
      <c r="Q296" s="2"/>
      <c r="R296" s="178">
        <v>0</v>
      </c>
      <c r="S296" s="178">
        <v>9.0039999999999996</v>
      </c>
      <c r="T296" s="178">
        <v>10.715999999999999</v>
      </c>
      <c r="U296" s="178">
        <v>6.6</v>
      </c>
      <c r="V296" s="178">
        <v>12.239000000000001</v>
      </c>
      <c r="W296" s="178">
        <v>10.132</v>
      </c>
      <c r="X296" s="206">
        <v>11.367000000000001</v>
      </c>
      <c r="AA296" s="419"/>
      <c r="AB296" s="342"/>
      <c r="AC296" s="403"/>
      <c r="AJ296" s="10" t="s">
        <v>28</v>
      </c>
      <c r="AK296" s="56" t="str">
        <f t="shared" si="325"/>
        <v/>
      </c>
      <c r="AL296" s="56">
        <f t="shared" si="326"/>
        <v>0.39982230119946693</v>
      </c>
      <c r="AM296" s="56">
        <f t="shared" si="327"/>
        <v>0.33594624860022393</v>
      </c>
      <c r="AN296" s="56">
        <f t="shared" si="328"/>
        <v>0.54545454545454541</v>
      </c>
      <c r="AO296" s="56">
        <f t="shared" si="329"/>
        <v>0.29414167824168641</v>
      </c>
      <c r="AP296" s="56">
        <f t="shared" si="330"/>
        <v>0.3553099091985788</v>
      </c>
      <c r="AQ296" s="256">
        <f t="shared" si="331"/>
        <v>0.31670543864857015</v>
      </c>
    </row>
    <row r="297" spans="1:43" ht="15.5">
      <c r="A297" s="10" t="s">
        <v>351</v>
      </c>
      <c r="J297" s="181"/>
      <c r="K297" s="181">
        <v>0.3</v>
      </c>
      <c r="L297" s="181"/>
      <c r="M297" s="181">
        <v>0.01</v>
      </c>
      <c r="N297" s="181"/>
      <c r="O297" s="181">
        <v>1E-3</v>
      </c>
      <c r="P297" s="179">
        <f t="shared" si="334"/>
        <v>0.311</v>
      </c>
      <c r="Q297" s="2"/>
      <c r="R297" s="178">
        <v>0</v>
      </c>
      <c r="S297" s="178">
        <v>7.3330000000000002</v>
      </c>
      <c r="T297" s="178">
        <v>0</v>
      </c>
      <c r="U297" s="178">
        <v>0</v>
      </c>
      <c r="V297" s="178">
        <v>0</v>
      </c>
      <c r="W297" s="178">
        <v>0</v>
      </c>
      <c r="X297" s="206">
        <v>7.3330000000000002</v>
      </c>
      <c r="Z297" s="169"/>
      <c r="AA297" s="207"/>
      <c r="AB297" s="207"/>
      <c r="AC297" s="186"/>
      <c r="AF297" s="207"/>
      <c r="AG297" s="207"/>
      <c r="AH297" s="207"/>
      <c r="AJ297" s="10" t="s">
        <v>351</v>
      </c>
      <c r="AK297" s="56" t="str">
        <f t="shared" si="325"/>
        <v/>
      </c>
      <c r="AL297" s="56">
        <f t="shared" si="326"/>
        <v>0.49093140597299884</v>
      </c>
      <c r="AM297" s="56" t="str">
        <f t="shared" si="327"/>
        <v/>
      </c>
      <c r="AN297" s="56" t="str">
        <f t="shared" si="328"/>
        <v/>
      </c>
      <c r="AO297" s="56" t="str">
        <f t="shared" si="329"/>
        <v/>
      </c>
      <c r="AP297" s="56" t="str">
        <f t="shared" si="330"/>
        <v/>
      </c>
      <c r="AQ297" s="256">
        <f t="shared" si="331"/>
        <v>0.50893222419200868</v>
      </c>
    </row>
    <row r="298" spans="1:43" ht="15.5">
      <c r="A298" s="11" t="s">
        <v>9</v>
      </c>
      <c r="J298" s="179">
        <f t="shared" ref="J298:O298" si="335">J284+J291</f>
        <v>14021.92</v>
      </c>
      <c r="K298" s="179">
        <f t="shared" si="335"/>
        <v>143997.93</v>
      </c>
      <c r="L298" s="179">
        <f t="shared" si="335"/>
        <v>1946.88</v>
      </c>
      <c r="M298" s="179">
        <f t="shared" si="335"/>
        <v>3851.24</v>
      </c>
      <c r="N298" s="179">
        <f t="shared" si="335"/>
        <v>17129.650000000001</v>
      </c>
      <c r="O298" s="179">
        <f t="shared" si="335"/>
        <v>8184.4919999999984</v>
      </c>
      <c r="P298" s="785">
        <f>P284+P291+'3'!$AG$27*1000</f>
        <v>189710.96169508007</v>
      </c>
      <c r="Q298" s="2"/>
      <c r="R298" s="206">
        <v>10.43</v>
      </c>
      <c r="S298" s="206">
        <v>6.3689999999999998</v>
      </c>
      <c r="T298" s="206">
        <v>9.4990000000000006</v>
      </c>
      <c r="U298" s="206">
        <v>8.3919999999999995</v>
      </c>
      <c r="V298" s="206">
        <v>9.8119999999999994</v>
      </c>
      <c r="W298" s="206">
        <v>8.1609999999999996</v>
      </c>
      <c r="X298" s="206">
        <v>7.1040000000000001</v>
      </c>
      <c r="Z298" s="169"/>
      <c r="AA298" s="207"/>
      <c r="AB298" s="207"/>
      <c r="AC298" s="186"/>
      <c r="AF298" s="207"/>
      <c r="AG298" s="207"/>
      <c r="AH298" s="207"/>
      <c r="AJ298" s="11" t="s">
        <v>9</v>
      </c>
      <c r="AK298" s="256">
        <f t="shared" si="325"/>
        <v>0.35845913918398986</v>
      </c>
      <c r="AL298" s="256">
        <f t="shared" si="326"/>
        <v>0.56522031612165824</v>
      </c>
      <c r="AM298" s="256">
        <f t="shared" si="327"/>
        <v>0.3789738507908858</v>
      </c>
      <c r="AN298" s="256">
        <f t="shared" si="328"/>
        <v>0.42898257623080316</v>
      </c>
      <c r="AO298" s="256">
        <f t="shared" si="329"/>
        <v>0.36689924370564569</v>
      </c>
      <c r="AP298" s="256">
        <f t="shared" si="330"/>
        <v>0.4411167240349626</v>
      </c>
      <c r="AQ298" s="256">
        <f t="shared" si="331"/>
        <v>0.50828422055253608</v>
      </c>
    </row>
    <row r="299" spans="1:43">
      <c r="J299" s="147">
        <f t="shared" ref="J299:P299" si="336">J291/11.63</f>
        <v>1.7196904557179706E-3</v>
      </c>
      <c r="K299" s="147">
        <f t="shared" si="336"/>
        <v>7109.4058469475485</v>
      </c>
      <c r="L299" s="147">
        <f t="shared" si="336"/>
        <v>165.22613929492692</v>
      </c>
      <c r="M299" s="147">
        <f t="shared" si="336"/>
        <v>159.60619088564059</v>
      </c>
      <c r="N299" s="147">
        <f t="shared" si="336"/>
        <v>816.6603611349957</v>
      </c>
      <c r="O299" s="147">
        <f t="shared" si="336"/>
        <v>484.19191745485801</v>
      </c>
      <c r="P299" s="147">
        <f t="shared" si="336"/>
        <v>8735.0921754084266</v>
      </c>
      <c r="Z299" s="169"/>
      <c r="AA299" s="207"/>
      <c r="AB299" s="207"/>
      <c r="AC299" s="186"/>
      <c r="AF299" s="207"/>
      <c r="AG299" s="207"/>
      <c r="AH299" s="207"/>
    </row>
    <row r="300" spans="1:43">
      <c r="J300" s="56"/>
      <c r="K300" s="56">
        <f>SUM(K291:M291)/SUM(K298:M298)</f>
        <v>0.57718604729563971</v>
      </c>
      <c r="L300" s="56"/>
      <c r="M300" s="56"/>
      <c r="N300" s="56">
        <f>N291/N298</f>
        <v>0.55446316766542225</v>
      </c>
      <c r="O300" s="56">
        <f>O291/O298</f>
        <v>0.68802706386663948</v>
      </c>
      <c r="Z300" s="169"/>
      <c r="AA300" s="207"/>
      <c r="AB300" s="207"/>
      <c r="AC300" s="186"/>
      <c r="AF300" s="207"/>
      <c r="AG300" s="207"/>
      <c r="AH300" s="207"/>
      <c r="AJ300" s="68"/>
    </row>
    <row r="301" spans="1:43">
      <c r="J301" s="68" t="s">
        <v>165</v>
      </c>
      <c r="K301" s="56">
        <f>(SUM(K310:M310)/41.868)/SUM(K335:M335)</f>
        <v>0.74460813314040386</v>
      </c>
      <c r="L301" s="56"/>
      <c r="M301" s="56"/>
      <c r="N301" s="56">
        <f>(N310/41.868)/N335</f>
        <v>0.69298169067875914</v>
      </c>
      <c r="O301" s="56">
        <f>(O310/41.868)/O335</f>
        <v>0.75432221408713684</v>
      </c>
      <c r="Z301" s="169"/>
      <c r="AA301" s="207"/>
      <c r="AB301" s="207"/>
      <c r="AC301" s="186"/>
      <c r="AF301" s="207"/>
      <c r="AG301" s="207"/>
      <c r="AH301" s="207"/>
      <c r="AJ301" s="68"/>
    </row>
    <row r="302" spans="1:43">
      <c r="A302" s="68" t="str">
        <f>$A$282</f>
        <v>Dati 2021 lorda</v>
      </c>
      <c r="J302" s="180" t="s">
        <v>5</v>
      </c>
      <c r="K302" s="180" t="s">
        <v>186</v>
      </c>
      <c r="L302" s="180" t="s">
        <v>187</v>
      </c>
      <c r="M302" s="180" t="s">
        <v>190</v>
      </c>
      <c r="N302" s="180" t="s">
        <v>192</v>
      </c>
      <c r="O302" s="180" t="s">
        <v>191</v>
      </c>
      <c r="P302" s="180" t="s">
        <v>189</v>
      </c>
      <c r="R302" s="68" t="s">
        <v>210</v>
      </c>
      <c r="Z302" s="169"/>
      <c r="AA302" s="207"/>
      <c r="AB302" s="207"/>
      <c r="AC302" s="186"/>
      <c r="AF302" s="207"/>
      <c r="AG302" s="207"/>
      <c r="AH302" s="207"/>
      <c r="AJ302" s="68"/>
    </row>
    <row r="303" spans="1:43">
      <c r="A303" s="11" t="s">
        <v>16</v>
      </c>
      <c r="J303" s="179">
        <f t="shared" ref="J303:O303" si="337">SUM(J304:J308)</f>
        <v>140821.9417</v>
      </c>
      <c r="K303" s="179">
        <f t="shared" si="337"/>
        <v>414579.68515999999</v>
      </c>
      <c r="L303" s="179">
        <f t="shared" si="337"/>
        <v>228.38309999999998</v>
      </c>
      <c r="M303" s="179">
        <f t="shared" si="337"/>
        <v>20654.702439999997</v>
      </c>
      <c r="N303" s="179">
        <f t="shared" si="337"/>
        <v>86361.931779999999</v>
      </c>
      <c r="O303" s="179">
        <f t="shared" si="337"/>
        <v>24983.140299999999</v>
      </c>
      <c r="P303" s="182">
        <f t="shared" ref="P303:P308" si="338">SUM(J303:O303)</f>
        <v>687629.78447999991</v>
      </c>
      <c r="Q303" s="172"/>
      <c r="R303" s="179">
        <f t="shared" ref="R303:W303" si="339">SUM(R304:R308)</f>
        <v>13.10731286870373</v>
      </c>
      <c r="S303" s="179">
        <f t="shared" si="339"/>
        <v>24.254665468019741</v>
      </c>
      <c r="T303" s="179">
        <f t="shared" si="339"/>
        <v>4.14566821821249E-2</v>
      </c>
      <c r="U303" s="179">
        <f t="shared" si="339"/>
        <v>1.4520444686934308</v>
      </c>
      <c r="V303" s="179">
        <f t="shared" si="339"/>
        <v>2.8259293706568571</v>
      </c>
      <c r="W303" s="179">
        <f t="shared" si="339"/>
        <v>1.7908644994768564E-2</v>
      </c>
      <c r="X303" s="190">
        <f>SUM(R303:W303)</f>
        <v>41.699317503250647</v>
      </c>
      <c r="Z303" s="169"/>
      <c r="AA303" s="205"/>
      <c r="AB303" s="554"/>
      <c r="AC303" s="193"/>
      <c r="AJ303" s="68"/>
    </row>
    <row r="304" spans="1:43">
      <c r="A304" s="10" t="s">
        <v>17</v>
      </c>
      <c r="J304" s="167">
        <f t="shared" ref="J304:O308" si="340">IFERROR(J285*R285,"")</f>
        <v>0</v>
      </c>
      <c r="K304" s="167">
        <f t="shared" si="340"/>
        <v>1899.4986000000001</v>
      </c>
      <c r="L304" s="167">
        <f t="shared" si="340"/>
        <v>228.38309999999998</v>
      </c>
      <c r="M304" s="167">
        <f t="shared" si="340"/>
        <v>1948.5392999999999</v>
      </c>
      <c r="N304" s="167">
        <f t="shared" si="340"/>
        <v>10315.818319999998</v>
      </c>
      <c r="O304" s="167">
        <f t="shared" si="340"/>
        <v>24727.0864</v>
      </c>
      <c r="P304" s="182">
        <f t="shared" si="338"/>
        <v>39119.325720000001</v>
      </c>
      <c r="Q304" s="172"/>
      <c r="R304" s="181">
        <f t="shared" ref="R304:R309" si="341">J304*J$320/1000000</f>
        <v>0</v>
      </c>
      <c r="S304" s="181">
        <f t="shared" ref="S304:S309" si="342">K304*K$320/1000000</f>
        <v>0.11112870395999085</v>
      </c>
      <c r="T304" s="181">
        <f t="shared" ref="T304:T309" si="343">L304*L$320/1000000</f>
        <v>4.14566821821249E-2</v>
      </c>
      <c r="U304" s="181">
        <f t="shared" ref="U304:U309" si="344">M304*M$320/1000000</f>
        <v>0.13698409458164865</v>
      </c>
      <c r="V304" s="181">
        <f t="shared" ref="V304:V309" si="345">N304*N$320/1000000</f>
        <v>0.33755351891745372</v>
      </c>
      <c r="W304" s="181">
        <f t="shared" ref="W304:W309" si="346">O304*O$320/1000000</f>
        <v>1.7725098077144841E-2</v>
      </c>
      <c r="X304" s="190">
        <f t="shared" ref="X304:X309" si="347">SUM(R304:W304)</f>
        <v>0.64484809771836304</v>
      </c>
      <c r="Z304" s="169"/>
      <c r="AA304" s="419"/>
      <c r="AB304" s="342"/>
      <c r="AC304" s="403"/>
      <c r="AJ304" s="68"/>
      <c r="AQ304" s="252"/>
    </row>
    <row r="305" spans="1:43">
      <c r="A305" s="10" t="s">
        <v>18</v>
      </c>
      <c r="J305" s="167">
        <f t="shared" si="340"/>
        <v>0</v>
      </c>
      <c r="K305" s="167">
        <f t="shared" si="340"/>
        <v>6276.7067999999999</v>
      </c>
      <c r="L305" s="167">
        <f t="shared" si="340"/>
        <v>0</v>
      </c>
      <c r="M305" s="167">
        <f t="shared" si="340"/>
        <v>128.34639999999999</v>
      </c>
      <c r="N305" s="167">
        <f t="shared" si="340"/>
        <v>131.23167999999998</v>
      </c>
      <c r="O305" s="167">
        <f t="shared" si="340"/>
        <v>133.23569999999998</v>
      </c>
      <c r="P305" s="182">
        <f t="shared" si="338"/>
        <v>6669.5205800000003</v>
      </c>
      <c r="Q305" s="172"/>
      <c r="R305" s="181">
        <f t="shared" si="341"/>
        <v>0</v>
      </c>
      <c r="S305" s="181">
        <f t="shared" si="342"/>
        <v>0.36721390151109423</v>
      </c>
      <c r="T305" s="181">
        <f t="shared" si="343"/>
        <v>0</v>
      </c>
      <c r="U305" s="181">
        <f t="shared" si="344"/>
        <v>9.0228692830645555E-3</v>
      </c>
      <c r="V305" s="181">
        <f t="shared" si="345"/>
        <v>4.2941542787319296E-3</v>
      </c>
      <c r="W305" s="181">
        <f t="shared" si="346"/>
        <v>9.5507243015782348E-5</v>
      </c>
      <c r="X305" s="190">
        <f t="shared" si="347"/>
        <v>0.38062643231590648</v>
      </c>
      <c r="Z305" s="169"/>
      <c r="AA305" s="207"/>
      <c r="AB305" s="207"/>
      <c r="AC305" s="186"/>
      <c r="AF305" s="207"/>
      <c r="AG305" s="207"/>
      <c r="AH305" s="207"/>
      <c r="AJ305" s="68" t="s">
        <v>265</v>
      </c>
    </row>
    <row r="306" spans="1:43">
      <c r="A306" s="10" t="s">
        <v>19</v>
      </c>
      <c r="J306" s="167">
        <f t="shared" si="340"/>
        <v>140821.9417</v>
      </c>
      <c r="K306" s="167">
        <f t="shared" si="340"/>
        <v>4816.7639999999992</v>
      </c>
      <c r="L306" s="167">
        <f t="shared" si="340"/>
        <v>0</v>
      </c>
      <c r="M306" s="167">
        <f t="shared" si="340"/>
        <v>18515.446739999999</v>
      </c>
      <c r="N306" s="167">
        <f t="shared" si="340"/>
        <v>60640.18576</v>
      </c>
      <c r="O306" s="167">
        <f t="shared" si="340"/>
        <v>76.908000000000001</v>
      </c>
      <c r="P306" s="182">
        <f t="shared" si="338"/>
        <v>224871.24619999997</v>
      </c>
      <c r="Q306" s="172"/>
      <c r="R306" s="181">
        <f t="shared" si="341"/>
        <v>13.10731286870373</v>
      </c>
      <c r="S306" s="181">
        <f t="shared" si="342"/>
        <v>0.28180107139912669</v>
      </c>
      <c r="T306" s="181">
        <f t="shared" si="343"/>
        <v>0</v>
      </c>
      <c r="U306" s="181">
        <f t="shared" si="344"/>
        <v>1.3016528367960751</v>
      </c>
      <c r="V306" s="181">
        <f t="shared" si="345"/>
        <v>1.9842641132415821</v>
      </c>
      <c r="W306" s="181">
        <f t="shared" si="346"/>
        <v>5.5129901714463839E-5</v>
      </c>
      <c r="X306" s="190">
        <f t="shared" si="347"/>
        <v>16.675086020042226</v>
      </c>
      <c r="Z306" s="169"/>
      <c r="AA306" s="207"/>
      <c r="AB306" s="207"/>
      <c r="AC306" s="186"/>
      <c r="AF306" s="207"/>
      <c r="AG306" s="207"/>
      <c r="AH306" s="207"/>
    </row>
    <row r="307" spans="1:43">
      <c r="A307" s="10" t="s">
        <v>20</v>
      </c>
      <c r="J307" s="167">
        <f t="shared" si="340"/>
        <v>0</v>
      </c>
      <c r="K307" s="167">
        <f t="shared" si="340"/>
        <v>401586.71575999999</v>
      </c>
      <c r="L307" s="167">
        <f t="shared" si="340"/>
        <v>0</v>
      </c>
      <c r="M307" s="167">
        <f t="shared" si="340"/>
        <v>62.37</v>
      </c>
      <c r="N307" s="167">
        <f t="shared" si="340"/>
        <v>15274.696019999999</v>
      </c>
      <c r="O307" s="167">
        <f t="shared" si="340"/>
        <v>45.910200000000003</v>
      </c>
      <c r="P307" s="182">
        <f t="shared" si="338"/>
        <v>416969.69197999995</v>
      </c>
      <c r="Q307" s="172"/>
      <c r="R307" s="181">
        <f t="shared" si="341"/>
        <v>0</v>
      </c>
      <c r="S307" s="181">
        <f t="shared" si="342"/>
        <v>23.494521791149531</v>
      </c>
      <c r="T307" s="181">
        <f t="shared" si="343"/>
        <v>0</v>
      </c>
      <c r="U307" s="181">
        <f t="shared" si="344"/>
        <v>4.3846680326424135E-3</v>
      </c>
      <c r="V307" s="181">
        <f t="shared" si="345"/>
        <v>0.49981758421908934</v>
      </c>
      <c r="W307" s="181">
        <f t="shared" si="346"/>
        <v>3.2909772893475037E-5</v>
      </c>
      <c r="X307" s="190">
        <f t="shared" si="347"/>
        <v>23.998756953174158</v>
      </c>
      <c r="Z307" s="169"/>
      <c r="AA307" s="207"/>
      <c r="AB307" s="207"/>
      <c r="AC307" s="186"/>
      <c r="AF307" s="207"/>
      <c r="AG307" s="207"/>
      <c r="AH307" s="207"/>
      <c r="AJ307" s="11" t="s">
        <v>23</v>
      </c>
      <c r="AK307" s="256" t="str">
        <f t="shared" ref="AK307:AK313" si="348">IFERROR(((J291/11.63)+J328)/J335,"")</f>
        <v/>
      </c>
      <c r="AL307" s="256">
        <f t="shared" ref="AL307:AL313" si="349">IFERROR(((K291/11.63)+K328)/K335,"")</f>
        <v>0.66686597453031327</v>
      </c>
      <c r="AM307" s="256">
        <f t="shared" ref="AM307:AM313" si="350">IFERROR(((L291/11.63)+L328)/L335,"")</f>
        <v>0.42592183314531351</v>
      </c>
      <c r="AN307" s="256">
        <f t="shared" ref="AN307:AN313" si="351">IFERROR(((M291/11.63)+M328)/M335,"")</f>
        <v>0.77599251462005037</v>
      </c>
      <c r="AO307" s="256">
        <f t="shared" ref="AO307:AO313" si="352">IFERROR(((N291/11.63)+N328)/N335,"")</f>
        <v>0.55506189647711623</v>
      </c>
      <c r="AP307" s="256">
        <f t="shared" ref="AP307:AP313" si="353">IFERROR(((O291/11.63)+O328)/O335,"")</f>
        <v>0.58558012473212329</v>
      </c>
      <c r="AQ307" s="256">
        <f t="shared" ref="AQ307:AQ313" si="354">IFERROR(((P291/11.63)+P328)/P335,"")</f>
        <v>0.64533507935764411</v>
      </c>
    </row>
    <row r="308" spans="1:43">
      <c r="A308" s="10" t="s">
        <v>22</v>
      </c>
      <c r="J308" s="167">
        <f t="shared" si="340"/>
        <v>0</v>
      </c>
      <c r="K308" s="167">
        <f t="shared" si="340"/>
        <v>0</v>
      </c>
      <c r="L308" s="167">
        <f t="shared" si="340"/>
        <v>0</v>
      </c>
      <c r="M308" s="167">
        <f t="shared" si="340"/>
        <v>0</v>
      </c>
      <c r="N308" s="167">
        <f t="shared" si="340"/>
        <v>0</v>
      </c>
      <c r="O308" s="167">
        <f t="shared" si="340"/>
        <v>0</v>
      </c>
      <c r="P308" s="182">
        <f t="shared" si="338"/>
        <v>0</v>
      </c>
      <c r="Q308" s="172"/>
      <c r="R308" s="181">
        <f t="shared" si="341"/>
        <v>0</v>
      </c>
      <c r="S308" s="181">
        <f t="shared" si="342"/>
        <v>0</v>
      </c>
      <c r="T308" s="181">
        <f t="shared" si="343"/>
        <v>0</v>
      </c>
      <c r="U308" s="181">
        <f t="shared" si="344"/>
        <v>0</v>
      </c>
      <c r="V308" s="181">
        <f t="shared" si="345"/>
        <v>0</v>
      </c>
      <c r="W308" s="181">
        <f t="shared" si="346"/>
        <v>0</v>
      </c>
      <c r="X308" s="190">
        <f t="shared" si="347"/>
        <v>0</v>
      </c>
      <c r="Z308" s="169"/>
      <c r="AA308" s="207"/>
      <c r="AB308" s="207"/>
      <c r="AC308" s="186"/>
      <c r="AF308" s="207"/>
      <c r="AG308" s="207"/>
      <c r="AH308" s="207"/>
      <c r="AJ308" s="10" t="s">
        <v>24</v>
      </c>
      <c r="AK308" s="56" t="str">
        <f t="shared" si="348"/>
        <v/>
      </c>
      <c r="AL308" s="56">
        <f t="shared" si="349"/>
        <v>0.72677879734600803</v>
      </c>
      <c r="AM308" s="56">
        <f t="shared" si="350"/>
        <v>0.59145423191537827</v>
      </c>
      <c r="AN308" s="56">
        <f t="shared" si="351"/>
        <v>0.70465365021216786</v>
      </c>
      <c r="AO308" s="56">
        <f t="shared" si="352"/>
        <v>0.65951610819710804</v>
      </c>
      <c r="AP308" s="56">
        <f t="shared" si="353"/>
        <v>0.58564614266575543</v>
      </c>
      <c r="AQ308" s="256">
        <f t="shared" si="354"/>
        <v>0.67635162099675539</v>
      </c>
    </row>
    <row r="309" spans="1:43">
      <c r="A309" s="10" t="s">
        <v>349</v>
      </c>
      <c r="J309" s="167"/>
      <c r="K309" s="167"/>
      <c r="L309" s="167"/>
      <c r="M309" s="167"/>
      <c r="N309" s="167"/>
      <c r="O309" s="167"/>
      <c r="P309" s="182"/>
      <c r="Q309" s="172"/>
      <c r="R309" s="181">
        <f t="shared" si="341"/>
        <v>0</v>
      </c>
      <c r="S309" s="181">
        <f t="shared" si="342"/>
        <v>0</v>
      </c>
      <c r="T309" s="181">
        <f t="shared" si="343"/>
        <v>0</v>
      </c>
      <c r="U309" s="181">
        <f t="shared" si="344"/>
        <v>0</v>
      </c>
      <c r="V309" s="181">
        <f t="shared" si="345"/>
        <v>0</v>
      </c>
      <c r="W309" s="181">
        <f t="shared" si="346"/>
        <v>0</v>
      </c>
      <c r="X309" s="190">
        <f t="shared" si="347"/>
        <v>0</v>
      </c>
      <c r="Z309" s="169"/>
      <c r="AA309" s="207"/>
      <c r="AB309" s="403"/>
      <c r="AC309" s="186"/>
      <c r="AJ309" s="10" t="s">
        <v>25</v>
      </c>
      <c r="AK309" s="56" t="str">
        <f t="shared" si="348"/>
        <v/>
      </c>
      <c r="AL309" s="56">
        <f t="shared" si="349"/>
        <v>0.76157962726102935</v>
      </c>
      <c r="AM309" s="56" t="str">
        <f t="shared" si="350"/>
        <v/>
      </c>
      <c r="AN309" s="56">
        <f t="shared" si="351"/>
        <v>0.82063448994948451</v>
      </c>
      <c r="AO309" s="56">
        <f t="shared" si="352"/>
        <v>0.70987222309376041</v>
      </c>
      <c r="AP309" s="56">
        <f t="shared" si="353"/>
        <v>0.72370306684476926</v>
      </c>
      <c r="AQ309" s="256">
        <f t="shared" si="354"/>
        <v>0.76379541439078003</v>
      </c>
    </row>
    <row r="310" spans="1:43">
      <c r="A310" s="11" t="s">
        <v>23</v>
      </c>
      <c r="J310" s="179">
        <f t="shared" ref="J310:O310" si="355">SUM(J311:J315)</f>
        <v>0</v>
      </c>
      <c r="K310" s="179">
        <f t="shared" si="355"/>
        <v>502571.61534000008</v>
      </c>
      <c r="L310" s="179">
        <f t="shared" si="355"/>
        <v>18265.68446</v>
      </c>
      <c r="M310" s="179">
        <f t="shared" si="355"/>
        <v>11664.708110000001</v>
      </c>
      <c r="N310" s="179">
        <f t="shared" si="355"/>
        <v>81713.475999999995</v>
      </c>
      <c r="O310" s="179">
        <f t="shared" si="355"/>
        <v>41811.360099999991</v>
      </c>
      <c r="P310" s="266">
        <f t="shared" ref="P310:P315" si="356">SUM(J310:O310)</f>
        <v>656026.84401000012</v>
      </c>
      <c r="Q310" s="172"/>
      <c r="R310" s="179">
        <f t="shared" ref="R310:W310" si="357">SUM(R311:R315)</f>
        <v>0</v>
      </c>
      <c r="S310" s="179">
        <f t="shared" si="357"/>
        <v>29.402565634853978</v>
      </c>
      <c r="T310" s="179">
        <f t="shared" si="357"/>
        <v>3.3156335801431789</v>
      </c>
      <c r="U310" s="179">
        <f t="shared" si="357"/>
        <v>0.82003964662532802</v>
      </c>
      <c r="V310" s="179">
        <f t="shared" si="357"/>
        <v>2.6738229107137768</v>
      </c>
      <c r="W310" s="179">
        <f t="shared" si="357"/>
        <v>2.9971604681711332E-2</v>
      </c>
      <c r="X310" s="190">
        <f t="shared" ref="X310:X316" si="358">SUM(R310:W310)</f>
        <v>36.242033377017968</v>
      </c>
      <c r="Z310" s="169"/>
      <c r="AA310" s="207"/>
      <c r="AB310" s="403"/>
      <c r="AC310" s="186"/>
      <c r="AJ310" s="10" t="s">
        <v>26</v>
      </c>
      <c r="AK310" s="56" t="str">
        <f t="shared" si="348"/>
        <v/>
      </c>
      <c r="AL310" s="56">
        <f t="shared" si="349"/>
        <v>0.63515371681536259</v>
      </c>
      <c r="AM310" s="56">
        <f t="shared" si="350"/>
        <v>0.47748677177606841</v>
      </c>
      <c r="AN310" s="56">
        <f t="shared" si="351"/>
        <v>0.72688309003528151</v>
      </c>
      <c r="AO310" s="56">
        <f t="shared" si="352"/>
        <v>0.66939145103154707</v>
      </c>
      <c r="AP310" s="56">
        <f t="shared" si="353"/>
        <v>0.54960377405177196</v>
      </c>
      <c r="AQ310" s="256">
        <f t="shared" si="354"/>
        <v>0.63706432726513385</v>
      </c>
    </row>
    <row r="311" spans="1:43">
      <c r="A311" s="10" t="s">
        <v>24</v>
      </c>
      <c r="J311" s="167">
        <f t="shared" ref="J311:O316" si="359">IFERROR(J292*R292,"")</f>
        <v>0</v>
      </c>
      <c r="K311" s="167">
        <f t="shared" si="359"/>
        <v>70753.409249999997</v>
      </c>
      <c r="L311" s="167">
        <f t="shared" si="359"/>
        <v>1100.2119</v>
      </c>
      <c r="M311" s="167">
        <f t="shared" si="359"/>
        <v>97.177800000000005</v>
      </c>
      <c r="N311" s="167">
        <f t="shared" si="359"/>
        <v>10826.427899999999</v>
      </c>
      <c r="O311" s="181">
        <f t="shared" si="359"/>
        <v>41523.545599999998</v>
      </c>
      <c r="P311" s="182">
        <f t="shared" si="356"/>
        <v>124300.77244999999</v>
      </c>
      <c r="Q311" s="172"/>
      <c r="R311" s="181">
        <f t="shared" ref="R311:R316" si="360">J311*J$320/1000000</f>
        <v>0</v>
      </c>
      <c r="S311" s="181">
        <f t="shared" ref="S311:S316" si="361">K311*K$320/1000000</f>
        <v>4.1393737645836257</v>
      </c>
      <c r="T311" s="181">
        <f t="shared" ref="T311:T316" si="362">L311*L$320/1000000</f>
        <v>0.19971326718698446</v>
      </c>
      <c r="U311" s="181">
        <f t="shared" ref="U311:U316" si="363">M311*M$320/1000000</f>
        <v>6.8316882017399076E-3</v>
      </c>
      <c r="V311" s="181">
        <f t="shared" ref="V311:V316" si="364">N311*N$320/1000000</f>
        <v>0.35426165153237194</v>
      </c>
      <c r="W311" s="181">
        <f t="shared" ref="W311:W316" si="365">O311*O$320/1000000</f>
        <v>2.9765290837936983E-2</v>
      </c>
      <c r="X311" s="190">
        <f t="shared" si="358"/>
        <v>4.7299456623426597</v>
      </c>
      <c r="Z311" s="169"/>
      <c r="AA311" s="207"/>
      <c r="AB311" s="403"/>
      <c r="AC311" s="186"/>
      <c r="AJ311" s="10" t="s">
        <v>27</v>
      </c>
      <c r="AK311" s="56" t="str">
        <f t="shared" si="348"/>
        <v/>
      </c>
      <c r="AL311" s="56">
        <f t="shared" si="349"/>
        <v>0.84427590027136512</v>
      </c>
      <c r="AM311" s="56" t="str">
        <f t="shared" si="350"/>
        <v/>
      </c>
      <c r="AN311" s="56">
        <f t="shared" si="351"/>
        <v>0.87515555229202679</v>
      </c>
      <c r="AO311" s="56">
        <f t="shared" si="352"/>
        <v>0.78563889864830072</v>
      </c>
      <c r="AP311" s="56" t="str">
        <f t="shared" si="353"/>
        <v/>
      </c>
      <c r="AQ311" s="256">
        <f t="shared" si="354"/>
        <v>0.82854988486724068</v>
      </c>
    </row>
    <row r="312" spans="1:43">
      <c r="A312" s="10" t="s">
        <v>25</v>
      </c>
      <c r="J312" s="167">
        <f t="shared" si="359"/>
        <v>0</v>
      </c>
      <c r="K312" s="167">
        <f t="shared" si="359"/>
        <v>42484.122239999997</v>
      </c>
      <c r="L312" s="167">
        <f t="shared" si="359"/>
        <v>0</v>
      </c>
      <c r="M312" s="167">
        <f t="shared" si="359"/>
        <v>1325.83311</v>
      </c>
      <c r="N312" s="167">
        <f t="shared" si="359"/>
        <v>191.78600000000003</v>
      </c>
      <c r="O312" s="167">
        <f t="shared" si="359"/>
        <v>27.725300000000001</v>
      </c>
      <c r="P312" s="182">
        <f t="shared" si="356"/>
        <v>44029.466649999995</v>
      </c>
      <c r="Q312" s="172"/>
      <c r="R312" s="181">
        <f t="shared" si="360"/>
        <v>0</v>
      </c>
      <c r="S312" s="181">
        <f t="shared" si="361"/>
        <v>2.4855008808161387</v>
      </c>
      <c r="T312" s="181">
        <f t="shared" si="362"/>
        <v>0</v>
      </c>
      <c r="U312" s="181">
        <f t="shared" si="363"/>
        <v>9.320728000698851E-2</v>
      </c>
      <c r="V312" s="181">
        <f t="shared" si="364"/>
        <v>6.2756086983027431E-3</v>
      </c>
      <c r="W312" s="181">
        <f t="shared" si="365"/>
        <v>1.9874305195870708E-5</v>
      </c>
      <c r="X312" s="190">
        <f t="shared" si="358"/>
        <v>2.5850036438266257</v>
      </c>
      <c r="Z312" s="169"/>
      <c r="AA312" s="207"/>
      <c r="AB312" s="207"/>
      <c r="AC312" s="186"/>
      <c r="AJ312" s="10" t="s">
        <v>28</v>
      </c>
      <c r="AK312" s="56" t="str">
        <f t="shared" si="348"/>
        <v/>
      </c>
      <c r="AL312" s="56">
        <f t="shared" si="349"/>
        <v>0.55344533747176661</v>
      </c>
      <c r="AM312" s="56">
        <f t="shared" si="350"/>
        <v>0.34403411853273103</v>
      </c>
      <c r="AN312" s="56">
        <f t="shared" si="351"/>
        <v>0.81934073138418617</v>
      </c>
      <c r="AO312" s="56">
        <f t="shared" si="352"/>
        <v>0.4411963313631308</v>
      </c>
      <c r="AP312" s="56">
        <f t="shared" si="353"/>
        <v>0.63055316715769572</v>
      </c>
      <c r="AQ312" s="256">
        <f t="shared" si="354"/>
        <v>0.466498939961426</v>
      </c>
    </row>
    <row r="313" spans="1:43">
      <c r="A313" s="10" t="s">
        <v>26</v>
      </c>
      <c r="J313" s="167">
        <f t="shared" si="359"/>
        <v>0</v>
      </c>
      <c r="K313" s="167">
        <f t="shared" si="359"/>
        <v>378839.45150000002</v>
      </c>
      <c r="L313" s="167">
        <f t="shared" si="359"/>
        <v>8298.6255199999996</v>
      </c>
      <c r="M313" s="167">
        <f t="shared" si="359"/>
        <v>8293.2976999999992</v>
      </c>
      <c r="N313" s="167">
        <f t="shared" si="359"/>
        <v>19894.79162</v>
      </c>
      <c r="O313" s="167">
        <f t="shared" si="359"/>
        <v>250.97040000000001</v>
      </c>
      <c r="P313" s="182">
        <f t="shared" si="356"/>
        <v>415577.13673999999</v>
      </c>
      <c r="Q313" s="172"/>
      <c r="R313" s="181">
        <f t="shared" si="360"/>
        <v>0</v>
      </c>
      <c r="S313" s="181">
        <f t="shared" si="361"/>
        <v>22.163710599264881</v>
      </c>
      <c r="T313" s="181">
        <f t="shared" si="362"/>
        <v>1.5063876474708986</v>
      </c>
      <c r="U313" s="181">
        <f t="shared" si="363"/>
        <v>0.58302641190278748</v>
      </c>
      <c r="V313" s="181">
        <f t="shared" si="364"/>
        <v>0.65099604424406632</v>
      </c>
      <c r="W313" s="181">
        <f t="shared" si="365"/>
        <v>1.7990291627970664E-4</v>
      </c>
      <c r="X313" s="190">
        <f t="shared" si="358"/>
        <v>24.904300605798912</v>
      </c>
      <c r="Z313" s="169"/>
      <c r="AA313" s="408"/>
      <c r="AB313" s="342"/>
      <c r="AC313" s="186"/>
      <c r="AJ313" s="10" t="s">
        <v>351</v>
      </c>
      <c r="AK313" s="56" t="str">
        <f t="shared" si="348"/>
        <v/>
      </c>
      <c r="AL313" s="56">
        <f t="shared" si="349"/>
        <v>0.4299226139576956</v>
      </c>
      <c r="AM313" s="56" t="str">
        <f t="shared" si="350"/>
        <v/>
      </c>
      <c r="AN313" s="56" t="str">
        <f t="shared" si="351"/>
        <v/>
      </c>
      <c r="AO313" s="56" t="str">
        <f t="shared" si="352"/>
        <v/>
      </c>
      <c r="AP313" s="56" t="str">
        <f t="shared" si="353"/>
        <v/>
      </c>
      <c r="AQ313" s="256">
        <f t="shared" si="354"/>
        <v>0.43938091146414449</v>
      </c>
    </row>
    <row r="314" spans="1:43">
      <c r="A314" s="10" t="s">
        <v>27</v>
      </c>
      <c r="J314" s="167">
        <f t="shared" si="359"/>
        <v>0</v>
      </c>
      <c r="K314" s="167">
        <f t="shared" si="359"/>
        <v>2798.0131499999998</v>
      </c>
      <c r="L314" s="167">
        <f t="shared" si="359"/>
        <v>0</v>
      </c>
      <c r="M314" s="167">
        <f t="shared" si="359"/>
        <v>836.95950000000005</v>
      </c>
      <c r="N314" s="167">
        <f t="shared" si="359"/>
        <v>3602.9700000000003</v>
      </c>
      <c r="O314" s="167">
        <f t="shared" si="359"/>
        <v>0</v>
      </c>
      <c r="P314" s="182">
        <f t="shared" si="356"/>
        <v>7237.94265</v>
      </c>
      <c r="Q314" s="172"/>
      <c r="R314" s="181">
        <f t="shared" si="360"/>
        <v>0</v>
      </c>
      <c r="S314" s="181">
        <f t="shared" si="361"/>
        <v>0.16369560631553579</v>
      </c>
      <c r="T314" s="181">
        <f t="shared" si="362"/>
        <v>0</v>
      </c>
      <c r="U314" s="181">
        <f t="shared" si="363"/>
        <v>5.8839018186089123E-2</v>
      </c>
      <c r="V314" s="181">
        <f t="shared" si="364"/>
        <v>0.11789614399238649</v>
      </c>
      <c r="W314" s="181">
        <f t="shared" si="365"/>
        <v>0</v>
      </c>
      <c r="X314" s="190">
        <f t="shared" si="358"/>
        <v>0.34043076849401144</v>
      </c>
      <c r="Z314" s="169"/>
      <c r="AA314" s="207"/>
      <c r="AB314" s="207"/>
      <c r="AC314" s="186"/>
      <c r="AF314" s="185"/>
      <c r="AG314" s="207"/>
      <c r="AH314" s="207"/>
      <c r="AJ314" s="275" t="s">
        <v>266</v>
      </c>
      <c r="AK314" s="274">
        <f t="shared" ref="AK314:AQ314" si="366">IFERROR(((J298/11.63)+J328)/(J335+J303/41.868),"")</f>
        <v>0.35845913918398981</v>
      </c>
      <c r="AL314" s="274">
        <f t="shared" si="366"/>
        <v>0.61518943206973475</v>
      </c>
      <c r="AM314" s="274">
        <f t="shared" si="366"/>
        <v>0.42561692926916211</v>
      </c>
      <c r="AN314" s="274">
        <f t="shared" si="366"/>
        <v>0.60520542936673882</v>
      </c>
      <c r="AO314" s="274">
        <f t="shared" si="366"/>
        <v>0.45489720624694224</v>
      </c>
      <c r="AP314" s="274">
        <f t="shared" si="366"/>
        <v>0.51795845297599208</v>
      </c>
      <c r="AQ314" s="274">
        <f t="shared" si="366"/>
        <v>0.5650663728970059</v>
      </c>
    </row>
    <row r="315" spans="1:43">
      <c r="A315" s="10" t="s">
        <v>28</v>
      </c>
      <c r="J315" s="167">
        <f t="shared" si="359"/>
        <v>0</v>
      </c>
      <c r="K315" s="167">
        <f t="shared" si="359"/>
        <v>7696.6191999999992</v>
      </c>
      <c r="L315" s="167">
        <f t="shared" si="359"/>
        <v>8866.8470400000006</v>
      </c>
      <c r="M315" s="167">
        <f t="shared" si="359"/>
        <v>1111.44</v>
      </c>
      <c r="N315" s="167">
        <f t="shared" si="359"/>
        <v>47197.500480000002</v>
      </c>
      <c r="O315" s="167">
        <f t="shared" si="359"/>
        <v>9.1188000000000002</v>
      </c>
      <c r="P315" s="182">
        <f t="shared" si="356"/>
        <v>64881.525519999996</v>
      </c>
      <c r="Q315" s="172"/>
      <c r="R315" s="181">
        <f t="shared" si="360"/>
        <v>0</v>
      </c>
      <c r="S315" s="181">
        <f t="shared" si="361"/>
        <v>0.45028478387379772</v>
      </c>
      <c r="T315" s="181">
        <f t="shared" si="362"/>
        <v>1.6095326654852962</v>
      </c>
      <c r="U315" s="181">
        <f t="shared" si="363"/>
        <v>7.813524832772302E-2</v>
      </c>
      <c r="V315" s="181">
        <f t="shared" si="364"/>
        <v>1.5443934622466493</v>
      </c>
      <c r="W315" s="181">
        <f t="shared" si="365"/>
        <v>6.5366222987706471E-6</v>
      </c>
      <c r="X315" s="190">
        <f t="shared" si="358"/>
        <v>3.6823526965557649</v>
      </c>
      <c r="Z315" s="169"/>
      <c r="AA315" s="207"/>
      <c r="AB315" s="207"/>
      <c r="AC315" s="186"/>
      <c r="AF315" s="185"/>
      <c r="AG315" s="207"/>
      <c r="AH315" s="207"/>
    </row>
    <row r="316" spans="1:43">
      <c r="A316" s="10" t="s">
        <v>351</v>
      </c>
      <c r="J316" s="167">
        <f t="shared" si="359"/>
        <v>0</v>
      </c>
      <c r="K316" s="167">
        <f t="shared" si="359"/>
        <v>2.1999</v>
      </c>
      <c r="L316" s="167">
        <f t="shared" si="359"/>
        <v>0</v>
      </c>
      <c r="M316" s="167">
        <f t="shared" si="359"/>
        <v>0</v>
      </c>
      <c r="N316" s="167">
        <f t="shared" si="359"/>
        <v>0</v>
      </c>
      <c r="O316" s="167">
        <f t="shared" si="359"/>
        <v>0</v>
      </c>
      <c r="P316" s="182">
        <f>SUM(J316:O316)</f>
        <v>2.1999</v>
      </c>
      <c r="Q316" s="172"/>
      <c r="R316" s="181">
        <f t="shared" si="360"/>
        <v>0</v>
      </c>
      <c r="S316" s="181">
        <f t="shared" si="361"/>
        <v>1.2870345671304196E-4</v>
      </c>
      <c r="T316" s="181">
        <f t="shared" si="362"/>
        <v>0</v>
      </c>
      <c r="U316" s="181">
        <f t="shared" si="363"/>
        <v>0</v>
      </c>
      <c r="V316" s="181">
        <f t="shared" si="364"/>
        <v>0</v>
      </c>
      <c r="W316" s="181">
        <f t="shared" si="365"/>
        <v>0</v>
      </c>
      <c r="X316" s="190">
        <f t="shared" si="358"/>
        <v>1.2870345671304196E-4</v>
      </c>
      <c r="Z316" s="169"/>
      <c r="AA316" s="207"/>
      <c r="AB316" s="207"/>
      <c r="AC316" s="189"/>
      <c r="AF316" s="185"/>
      <c r="AG316" s="207"/>
      <c r="AH316" s="207"/>
    </row>
    <row r="317" spans="1:43">
      <c r="A317" s="11" t="s">
        <v>9</v>
      </c>
      <c r="J317" s="182">
        <f t="shared" ref="J317:P317" si="367">J303+J310</f>
        <v>140821.9417</v>
      </c>
      <c r="K317" s="182">
        <f t="shared" si="367"/>
        <v>917151.30050000013</v>
      </c>
      <c r="L317" s="182">
        <f t="shared" si="367"/>
        <v>18494.06756</v>
      </c>
      <c r="M317" s="182">
        <f t="shared" si="367"/>
        <v>32319.410550000001</v>
      </c>
      <c r="N317" s="182">
        <f t="shared" si="367"/>
        <v>168075.40778000001</v>
      </c>
      <c r="O317" s="182">
        <f t="shared" si="367"/>
        <v>66794.50039999999</v>
      </c>
      <c r="P317" s="182">
        <f t="shared" si="367"/>
        <v>1343656.62849</v>
      </c>
      <c r="Q317" s="172"/>
      <c r="R317" s="199">
        <f t="shared" ref="R317:W317" si="368">R303+R310</f>
        <v>13.10731286870373</v>
      </c>
      <c r="S317" s="199">
        <f t="shared" si="368"/>
        <v>53.657231102873723</v>
      </c>
      <c r="T317" s="199">
        <f t="shared" si="368"/>
        <v>3.3570902623253036</v>
      </c>
      <c r="U317" s="199">
        <f t="shared" si="368"/>
        <v>2.272084115318759</v>
      </c>
      <c r="V317" s="199">
        <f t="shared" si="368"/>
        <v>5.4997522813706343</v>
      </c>
      <c r="W317" s="199">
        <f t="shared" si="368"/>
        <v>4.78802496764799E-2</v>
      </c>
      <c r="X317" s="199">
        <f>X303+X310</f>
        <v>77.941350880268615</v>
      </c>
      <c r="Z317" s="169"/>
      <c r="AA317" s="207"/>
      <c r="AB317" s="207"/>
      <c r="AC317" s="186"/>
      <c r="AF317" s="185"/>
      <c r="AG317" s="207"/>
      <c r="AH317" s="207"/>
    </row>
    <row r="318" spans="1:43">
      <c r="E318" s="68" t="s">
        <v>176</v>
      </c>
      <c r="F318" s="68"/>
      <c r="G318" s="68"/>
      <c r="H318" s="68"/>
      <c r="I318" s="68"/>
      <c r="J318" s="321">
        <f>J317/41.868</f>
        <v>3363.4742930161456</v>
      </c>
      <c r="K318" s="321">
        <f t="shared" ref="K318:P318" si="369">K317/41.868</f>
        <v>21905.78247109965</v>
      </c>
      <c r="L318" s="321">
        <f t="shared" si="369"/>
        <v>441.72321486576857</v>
      </c>
      <c r="M318" s="321">
        <f t="shared" si="369"/>
        <v>771.93585912869014</v>
      </c>
      <c r="N318" s="321">
        <f t="shared" si="369"/>
        <v>4014.4121472246106</v>
      </c>
      <c r="O318" s="321">
        <f t="shared" si="369"/>
        <v>1595.3592337823634</v>
      </c>
      <c r="P318" s="321">
        <f t="shared" si="369"/>
        <v>32092.687219117226</v>
      </c>
      <c r="R318" s="197">
        <v>13.10731286870373</v>
      </c>
      <c r="S318" s="197">
        <v>53.657231102873723</v>
      </c>
      <c r="T318" s="197">
        <v>3.3570902623253045</v>
      </c>
      <c r="U318" s="197">
        <v>2.2720841153187585</v>
      </c>
      <c r="V318" s="197">
        <v>5.4997522813706325</v>
      </c>
      <c r="W318" s="197">
        <v>4.78802496764799E-2</v>
      </c>
      <c r="X318" s="197">
        <v>77.941350880268629</v>
      </c>
      <c r="Z318" s="169"/>
      <c r="AA318" s="207"/>
      <c r="AB318" s="207"/>
      <c r="AC318" s="186"/>
      <c r="AF318" s="185"/>
      <c r="AG318" s="207"/>
      <c r="AH318" s="207"/>
    </row>
    <row r="319" spans="1:43">
      <c r="J319" s="321">
        <f>(J303)/41.868+J335</f>
        <v>3363.4742930161456</v>
      </c>
      <c r="K319" s="321">
        <f t="shared" ref="K319:P319" si="370">(K303)/41.868+K335</f>
        <v>25759.525662558517</v>
      </c>
      <c r="L319" s="321">
        <f t="shared" si="370"/>
        <v>485.15483662940676</v>
      </c>
      <c r="M319" s="321">
        <f t="shared" si="370"/>
        <v>1237.0890923855927</v>
      </c>
      <c r="N319" s="321">
        <f t="shared" si="370"/>
        <v>4879.0893030476727</v>
      </c>
      <c r="O319" s="321">
        <f t="shared" si="370"/>
        <v>1920.6120545524027</v>
      </c>
      <c r="P319" s="321">
        <f t="shared" si="370"/>
        <v>37644.945242189744</v>
      </c>
      <c r="T319" s="197"/>
      <c r="U319" s="198"/>
      <c r="Z319" s="169"/>
      <c r="AA319" s="207"/>
      <c r="AB319" s="207"/>
      <c r="AC319" s="186"/>
      <c r="AF319" s="185"/>
      <c r="AG319" s="207"/>
      <c r="AH319" s="207"/>
    </row>
    <row r="320" spans="1:43">
      <c r="A320" s="183" t="s">
        <v>193</v>
      </c>
      <c r="J320" s="168">
        <f>95+J321</f>
        <v>93.077205941577574</v>
      </c>
      <c r="K320" s="185">
        <f>56+K321</f>
        <v>58.504230516406189</v>
      </c>
      <c r="L320" s="147">
        <f>177+L321</f>
        <v>181.52254778100877</v>
      </c>
      <c r="M320" s="168">
        <f>68+M321</f>
        <v>70.300914424281132</v>
      </c>
      <c r="N320" s="168">
        <f>36+N321</f>
        <v>32.721933291808277</v>
      </c>
      <c r="O320" s="168">
        <f>1+O321</f>
        <v>0.71682922081530975</v>
      </c>
      <c r="P320" s="317">
        <f>P310/41.868</f>
        <v>15668.931976927488</v>
      </c>
      <c r="Q320" s="90">
        <f>P320-'5-x'!AA82</f>
        <v>0</v>
      </c>
      <c r="Z320" s="169"/>
      <c r="AA320" s="207"/>
      <c r="AB320" s="207"/>
      <c r="AC320" s="186"/>
      <c r="AF320" s="185"/>
      <c r="AG320" s="207"/>
      <c r="AH320" s="207"/>
    </row>
    <row r="321" spans="1:34">
      <c r="A321" s="453" t="s">
        <v>376</v>
      </c>
      <c r="B321" s="452"/>
      <c r="C321" s="452"/>
      <c r="D321" s="452"/>
      <c r="E321" s="452"/>
      <c r="F321" s="452"/>
      <c r="G321" s="452"/>
      <c r="H321" s="452"/>
      <c r="I321" s="452"/>
      <c r="J321" s="506">
        <v>-1.9227940584224328</v>
      </c>
      <c r="K321" s="506">
        <v>2.5042305164061913</v>
      </c>
      <c r="L321" s="506">
        <v>4.5225477810087611</v>
      </c>
      <c r="M321" s="506">
        <v>2.3009144242811281</v>
      </c>
      <c r="N321" s="506">
        <v>-3.2780667081917203</v>
      </c>
      <c r="O321" s="506">
        <v>-0.28317077918469019</v>
      </c>
      <c r="P321" s="318">
        <f>P303/41.868</f>
        <v>16423.755242189738</v>
      </c>
      <c r="Q321" s="90">
        <f>P321-'5-x'!AA83</f>
        <v>0</v>
      </c>
      <c r="R321" s="455">
        <f>R317-R318</f>
        <v>0</v>
      </c>
      <c r="S321" s="455">
        <f>S317-S318</f>
        <v>0</v>
      </c>
      <c r="T321" s="455">
        <f>T317-SUM(T318:T319)</f>
        <v>0</v>
      </c>
      <c r="U321" s="455">
        <f>U317-U318</f>
        <v>0</v>
      </c>
      <c r="V321" s="454">
        <f>V317-V318</f>
        <v>0</v>
      </c>
      <c r="W321" s="455">
        <f>W317-W318</f>
        <v>0</v>
      </c>
      <c r="X321" s="222">
        <f>X317-X318</f>
        <v>0</v>
      </c>
      <c r="AA321" s="419"/>
      <c r="AB321" s="342"/>
      <c r="AC321" s="403"/>
    </row>
    <row r="322" spans="1:34">
      <c r="J322" s="168">
        <f t="shared" ref="J322:O322" si="371">J412</f>
        <v>94.013334214870554</v>
      </c>
      <c r="K322" s="168">
        <f t="shared" si="371"/>
        <v>57.900194918652439</v>
      </c>
      <c r="L322" s="168">
        <f t="shared" si="371"/>
        <v>160.88536383229078</v>
      </c>
      <c r="M322" s="168">
        <f t="shared" si="371"/>
        <v>67.311295614367666</v>
      </c>
      <c r="N322" s="168">
        <f t="shared" si="371"/>
        <v>38.659929875437356</v>
      </c>
      <c r="O322" s="168">
        <f t="shared" si="371"/>
        <v>1.1509445395355939</v>
      </c>
      <c r="P322" s="319">
        <f>P335-P320</f>
        <v>5552.2580230725143</v>
      </c>
      <c r="Q322" s="90">
        <f>P322-'5-x'!AA84</f>
        <v>0</v>
      </c>
      <c r="Z322" s="169"/>
      <c r="AA322" s="207"/>
      <c r="AB322" s="554"/>
      <c r="AC322" s="186"/>
    </row>
    <row r="323" spans="1:34">
      <c r="J323" s="168">
        <f t="shared" ref="J323:O323" si="372">J310/41.868</f>
        <v>0</v>
      </c>
      <c r="K323" s="168">
        <f t="shared" si="372"/>
        <v>12003.71680854113</v>
      </c>
      <c r="L323" s="168">
        <f t="shared" si="372"/>
        <v>436.26837823636191</v>
      </c>
      <c r="M323" s="168">
        <f t="shared" si="372"/>
        <v>278.60676674309735</v>
      </c>
      <c r="N323" s="168">
        <f t="shared" si="372"/>
        <v>1951.6928441769369</v>
      </c>
      <c r="O323" s="168">
        <f t="shared" si="372"/>
        <v>998.64717922996056</v>
      </c>
      <c r="P323" s="320">
        <f>SUM(P320:P322)</f>
        <v>37644.945242189744</v>
      </c>
      <c r="Q323" s="320"/>
      <c r="Z323" s="169"/>
      <c r="AA323" s="207"/>
      <c r="AB323" s="207"/>
      <c r="AC323" s="186"/>
    </row>
    <row r="324" spans="1:34">
      <c r="J324" s="168" t="str">
        <f t="shared" ref="J324:O324" si="373">IFERROR(J335-(J328/J325),"")</f>
        <v/>
      </c>
      <c r="K324" s="168">
        <f t="shared" si="373"/>
        <v>12003.71680854113</v>
      </c>
      <c r="L324" s="168">
        <f t="shared" si="373"/>
        <v>436.26837823636191</v>
      </c>
      <c r="M324" s="168">
        <f t="shared" si="373"/>
        <v>278.60676674309735</v>
      </c>
      <c r="N324" s="168">
        <f t="shared" si="373"/>
        <v>1951.6928441769369</v>
      </c>
      <c r="O324" s="168">
        <f t="shared" si="373"/>
        <v>998.64717922996056</v>
      </c>
      <c r="P324" s="168"/>
      <c r="Z324" s="169"/>
      <c r="AA324" s="207"/>
      <c r="AB324" s="207"/>
      <c r="AC324" s="186"/>
    </row>
    <row r="325" spans="1:34">
      <c r="A325" s="241" t="s">
        <v>374</v>
      </c>
      <c r="J325" s="500" t="str">
        <f t="shared" ref="J325:P325" si="374">IFERROR(J328/(J335-J310/41.868),"")</f>
        <v/>
      </c>
      <c r="K325" s="500">
        <f t="shared" si="374"/>
        <v>0.8992282301551221</v>
      </c>
      <c r="L325" s="500">
        <f t="shared" si="374"/>
        <v>0.90000240556537914</v>
      </c>
      <c r="M325" s="500">
        <f t="shared" si="374"/>
        <v>0.89765258399818271</v>
      </c>
      <c r="N325" s="500">
        <f t="shared" si="374"/>
        <v>0.86344285519558106</v>
      </c>
      <c r="O325" s="500">
        <f t="shared" si="374"/>
        <v>0.89486575086087805</v>
      </c>
      <c r="P325" s="500">
        <f t="shared" si="374"/>
        <v>0.89327371615208595</v>
      </c>
      <c r="Z325" s="169"/>
      <c r="AA325" s="207"/>
      <c r="AB325" s="207"/>
      <c r="AC325" s="186"/>
    </row>
    <row r="326" spans="1:34">
      <c r="A326" s="68" t="s">
        <v>252</v>
      </c>
      <c r="J326" s="168"/>
      <c r="K326" s="168"/>
      <c r="L326" s="500">
        <f>IFERROR(SUM(K328:M328)/(SUM(K335:M335)-SUM(K310:M310)/41.868),"")</f>
        <v>0.89906792739858388</v>
      </c>
      <c r="P326" s="168"/>
      <c r="R326" s="191" t="s">
        <v>397</v>
      </c>
      <c r="S326" s="165"/>
      <c r="T326" s="165"/>
      <c r="U326" s="165"/>
      <c r="V326" s="165"/>
      <c r="W326" s="165"/>
      <c r="X326" s="165"/>
      <c r="Z326" s="169"/>
      <c r="AA326" s="207"/>
      <c r="AB326" s="207"/>
      <c r="AC326" s="186"/>
    </row>
    <row r="327" spans="1:34">
      <c r="A327" s="68" t="str">
        <f>$A$282</f>
        <v>Dati 2021 lorda</v>
      </c>
      <c r="J327" s="180" t="s">
        <v>5</v>
      </c>
      <c r="K327" s="180" t="s">
        <v>186</v>
      </c>
      <c r="L327" s="180" t="s">
        <v>187</v>
      </c>
      <c r="M327" s="180" t="s">
        <v>190</v>
      </c>
      <c r="N327" s="180" t="s">
        <v>192</v>
      </c>
      <c r="O327" s="180" t="s">
        <v>191</v>
      </c>
      <c r="P327" s="180" t="s">
        <v>189</v>
      </c>
      <c r="R327" s="191" t="s">
        <v>5</v>
      </c>
      <c r="S327" s="191" t="s">
        <v>186</v>
      </c>
      <c r="T327" s="191" t="s">
        <v>187</v>
      </c>
      <c r="U327" s="191" t="s">
        <v>190</v>
      </c>
      <c r="V327" s="191" t="s">
        <v>192</v>
      </c>
      <c r="W327" s="191" t="s">
        <v>191</v>
      </c>
      <c r="X327" s="191" t="s">
        <v>189</v>
      </c>
      <c r="AA327" s="180" t="s">
        <v>5</v>
      </c>
      <c r="AB327" s="180" t="s">
        <v>186</v>
      </c>
      <c r="AC327" s="180" t="s">
        <v>187</v>
      </c>
      <c r="AD327" s="180" t="s">
        <v>190</v>
      </c>
      <c r="AE327" s="180" t="s">
        <v>192</v>
      </c>
      <c r="AF327" s="180" t="s">
        <v>191</v>
      </c>
      <c r="AG327" s="180" t="s">
        <v>189</v>
      </c>
    </row>
    <row r="328" spans="1:34">
      <c r="A328" s="193" t="s">
        <v>251</v>
      </c>
      <c r="J328" s="179">
        <f t="shared" ref="J328:O328" si="375">SUM(J329:J334)</f>
        <v>0</v>
      </c>
      <c r="K328" s="179">
        <f t="shared" si="375"/>
        <v>3465.3946695279119</v>
      </c>
      <c r="L328" s="179">
        <f t="shared" si="375"/>
        <v>39.088564064879996</v>
      </c>
      <c r="M328" s="179">
        <f t="shared" si="375"/>
        <v>417.54600178816798</v>
      </c>
      <c r="N328" s="179">
        <f t="shared" si="375"/>
        <v>746.59931224625984</v>
      </c>
      <c r="O328" s="179">
        <f t="shared" si="375"/>
        <v>291.05760967800001</v>
      </c>
      <c r="P328" s="266">
        <f>SUM(J328:O328)</f>
        <v>4959.6861573052192</v>
      </c>
      <c r="Q328" s="193" t="s">
        <v>16</v>
      </c>
      <c r="R328" s="282">
        <f t="shared" ref="R328:R341" si="376">IFERROR(R303/J284*1000000,0)</f>
        <v>934.77437927126357</v>
      </c>
      <c r="S328" s="282">
        <f t="shared" ref="S328:S341" si="377">IFERROR(S303/K284*1000000,0)</f>
        <v>395.57126085849922</v>
      </c>
      <c r="T328" s="282">
        <f t="shared" ref="T328:T341" si="378">IFERROR(T303/L284*1000000,0)</f>
        <v>1638.6040388191659</v>
      </c>
      <c r="U328" s="282">
        <f t="shared" ref="U328:U341" si="379">IFERROR(U303/M284*1000000,0)</f>
        <v>727.83454235718477</v>
      </c>
      <c r="V328" s="282">
        <f t="shared" ref="V328:V341" si="380">IFERROR(V303/N284*1000000,0)</f>
        <v>370.27910133097527</v>
      </c>
      <c r="W328" s="282">
        <f t="shared" ref="W328:W341" si="381">IFERROR(W303/O284*1000000,0)</f>
        <v>7.0138113195925982</v>
      </c>
      <c r="X328" s="282">
        <f t="shared" ref="X328:X341" si="382">IFERROR(X303/P284*1000000,0)</f>
        <v>476.3296010708641</v>
      </c>
      <c r="Z328" s="555" t="s">
        <v>427</v>
      </c>
      <c r="AA328" s="179">
        <f t="shared" ref="AA328:AF328" si="383">SUM(AA329:AA334)</f>
        <v>0</v>
      </c>
      <c r="AB328" s="179">
        <f t="shared" si="383"/>
        <v>40302.539999999994</v>
      </c>
      <c r="AC328" s="179">
        <f t="shared" si="383"/>
        <v>454.6</v>
      </c>
      <c r="AD328" s="179">
        <f t="shared" si="383"/>
        <v>4856.0600000000004</v>
      </c>
      <c r="AE328" s="179">
        <f t="shared" si="383"/>
        <v>8682.9500000000007</v>
      </c>
      <c r="AF328" s="179">
        <f t="shared" si="383"/>
        <v>3385.0000000000005</v>
      </c>
      <c r="AG328" s="266">
        <f>SUM(AA328:AF328)</f>
        <v>57681.149999999994</v>
      </c>
    </row>
    <row r="329" spans="1:34">
      <c r="A329" s="186" t="s">
        <v>24</v>
      </c>
      <c r="J329" s="436">
        <f t="shared" ref="J329:K334" si="384">IFERROR(AA329*85.9845228/1000,"")</f>
        <v>0</v>
      </c>
      <c r="K329" s="436">
        <f t="shared" si="384"/>
        <v>810.61049024471993</v>
      </c>
      <c r="L329" s="436">
        <f t="shared" ref="L329:L334" si="385">IFERROR(AC329*85.9845228/1000,"")</f>
        <v>7.4892519358799987</v>
      </c>
      <c r="M329" s="436">
        <f t="shared" ref="M329:M334" si="386">IFERROR(AD329*85.9845228/1000,"")</f>
        <v>1.6079105763599999</v>
      </c>
      <c r="N329" s="436">
        <f t="shared" ref="N329:N334" si="387">IFERROR(AE329*85.9845228/1000,"")</f>
        <v>172.61392952099999</v>
      </c>
      <c r="O329" s="436">
        <f t="shared" ref="O329:O334" si="388">IFERROR(AF329*85.9845228/1000,"")</f>
        <v>289.20034398552002</v>
      </c>
      <c r="P329" s="266">
        <f t="shared" ref="P329:P334" si="389">SUM(J329:O329)</f>
        <v>1281.5219262634801</v>
      </c>
      <c r="Q329" s="186" t="s">
        <v>17</v>
      </c>
      <c r="R329" s="283">
        <f t="shared" si="376"/>
        <v>0</v>
      </c>
      <c r="S329" s="283">
        <f t="shared" si="377"/>
        <v>556.19971951947366</v>
      </c>
      <c r="T329" s="283">
        <f t="shared" si="378"/>
        <v>1638.6040388191659</v>
      </c>
      <c r="U329" s="283">
        <f t="shared" si="379"/>
        <v>669.19440440473204</v>
      </c>
      <c r="V329" s="283">
        <f t="shared" si="380"/>
        <v>287.49490590182751</v>
      </c>
      <c r="W329" s="283">
        <f t="shared" si="381"/>
        <v>7.0141739256778051</v>
      </c>
      <c r="X329" s="282">
        <f t="shared" si="382"/>
        <v>156.10126888625479</v>
      </c>
      <c r="Z329" s="209" t="s">
        <v>24</v>
      </c>
      <c r="AA329" s="405"/>
      <c r="AB329" s="405">
        <v>9427.4</v>
      </c>
      <c r="AC329" s="405">
        <v>87.1</v>
      </c>
      <c r="AD329" s="405">
        <v>18.7</v>
      </c>
      <c r="AE329" s="405">
        <v>2007.5</v>
      </c>
      <c r="AF329" s="405">
        <v>3363.4</v>
      </c>
      <c r="AG329" s="556">
        <f t="shared" ref="AG329:AG334" si="390">SUM(AA329:AF329)</f>
        <v>14904.1</v>
      </c>
    </row>
    <row r="330" spans="1:34">
      <c r="A330" s="186" t="s">
        <v>25</v>
      </c>
      <c r="J330" s="436">
        <f t="shared" si="384"/>
        <v>0</v>
      </c>
      <c r="K330" s="436">
        <f t="shared" si="384"/>
        <v>798.601891790472</v>
      </c>
      <c r="L330" s="436">
        <f t="shared" si="385"/>
        <v>0</v>
      </c>
      <c r="M330" s="436">
        <f t="shared" si="386"/>
        <v>50.80051591546799</v>
      </c>
      <c r="N330" s="436">
        <f t="shared" si="387"/>
        <v>7.3860705085199996</v>
      </c>
      <c r="O330" s="436">
        <f t="shared" si="388"/>
        <v>0.46431642311999999</v>
      </c>
      <c r="P330" s="266">
        <f t="shared" si="389"/>
        <v>857.25279463757988</v>
      </c>
      <c r="Q330" s="186" t="s">
        <v>18</v>
      </c>
      <c r="R330" s="283">
        <f t="shared" si="376"/>
        <v>0</v>
      </c>
      <c r="S330" s="283">
        <f t="shared" si="377"/>
        <v>572.69791252510015</v>
      </c>
      <c r="T330" s="283">
        <f t="shared" si="378"/>
        <v>0</v>
      </c>
      <c r="U330" s="283">
        <f t="shared" si="379"/>
        <v>1049.1708468679717</v>
      </c>
      <c r="V330" s="283">
        <f t="shared" si="380"/>
        <v>432.87845551733164</v>
      </c>
      <c r="W330" s="283">
        <f t="shared" si="381"/>
        <v>7.520255355573414</v>
      </c>
      <c r="X330" s="282">
        <f t="shared" si="382"/>
        <v>566.05459729916788</v>
      </c>
      <c r="Z330" s="209" t="s">
        <v>25</v>
      </c>
      <c r="AA330" s="405"/>
      <c r="AB330" s="405">
        <v>9287.74</v>
      </c>
      <c r="AC330" s="405"/>
      <c r="AD330" s="405">
        <v>590.80999999999995</v>
      </c>
      <c r="AE330" s="405">
        <v>85.9</v>
      </c>
      <c r="AF330" s="405">
        <v>5.4</v>
      </c>
      <c r="AG330" s="556">
        <f t="shared" si="390"/>
        <v>9969.8499999999985</v>
      </c>
    </row>
    <row r="331" spans="1:34">
      <c r="A331" s="186" t="s">
        <v>26</v>
      </c>
      <c r="J331" s="436">
        <f t="shared" si="384"/>
        <v>0</v>
      </c>
      <c r="K331" s="436">
        <f t="shared" si="384"/>
        <v>1646.3456580515999</v>
      </c>
      <c r="L331" s="436">
        <f t="shared" si="385"/>
        <v>28.81341359028</v>
      </c>
      <c r="M331" s="436">
        <f t="shared" si="386"/>
        <v>195.42562341984001</v>
      </c>
      <c r="N331" s="436">
        <f t="shared" si="387"/>
        <v>126.69819434579999</v>
      </c>
      <c r="O331" s="436">
        <f t="shared" si="388"/>
        <v>1.2811693897200001</v>
      </c>
      <c r="P331" s="266">
        <f t="shared" si="389"/>
        <v>1998.56405879724</v>
      </c>
      <c r="Q331" s="186" t="s">
        <v>19</v>
      </c>
      <c r="R331" s="283">
        <f t="shared" si="376"/>
        <v>934.77437927126357</v>
      </c>
      <c r="S331" s="283">
        <f t="shared" si="377"/>
        <v>584.16474170631568</v>
      </c>
      <c r="T331" s="283">
        <f t="shared" si="378"/>
        <v>0</v>
      </c>
      <c r="U331" s="283">
        <f t="shared" si="379"/>
        <v>733.73064384622228</v>
      </c>
      <c r="V331" s="283">
        <f t="shared" si="380"/>
        <v>443.44763997058573</v>
      </c>
      <c r="W331" s="283">
        <f t="shared" si="381"/>
        <v>6.4858707899369223</v>
      </c>
      <c r="X331" s="282">
        <f t="shared" si="382"/>
        <v>803.17540538075252</v>
      </c>
      <c r="Z331" s="209" t="s">
        <v>26</v>
      </c>
      <c r="AA331" s="405"/>
      <c r="AB331" s="405">
        <v>19147</v>
      </c>
      <c r="AC331" s="405">
        <v>335.1</v>
      </c>
      <c r="AD331" s="405">
        <v>2272.8000000000002</v>
      </c>
      <c r="AE331" s="405">
        <v>1473.5</v>
      </c>
      <c r="AF331" s="405">
        <v>14.9</v>
      </c>
      <c r="AG331" s="556">
        <f t="shared" si="390"/>
        <v>23243.3</v>
      </c>
    </row>
    <row r="332" spans="1:34">
      <c r="A332" s="186" t="s">
        <v>27</v>
      </c>
      <c r="J332" s="436">
        <f t="shared" si="384"/>
        <v>0</v>
      </c>
      <c r="K332" s="436">
        <f t="shared" si="384"/>
        <v>136.51762684955997</v>
      </c>
      <c r="L332" s="436">
        <f t="shared" si="385"/>
        <v>0</v>
      </c>
      <c r="M332" s="436">
        <f t="shared" si="386"/>
        <v>88.615649197679986</v>
      </c>
      <c r="N332" s="436">
        <f t="shared" si="387"/>
        <v>109.69045573596</v>
      </c>
      <c r="O332" s="436">
        <f t="shared" si="388"/>
        <v>0</v>
      </c>
      <c r="P332" s="266">
        <f t="shared" si="389"/>
        <v>334.82373178319995</v>
      </c>
      <c r="Q332" s="186" t="s">
        <v>20</v>
      </c>
      <c r="R332" s="283">
        <f t="shared" si="376"/>
        <v>0</v>
      </c>
      <c r="S332" s="283">
        <f t="shared" si="377"/>
        <v>391.62731907682303</v>
      </c>
      <c r="T332" s="283">
        <f t="shared" si="378"/>
        <v>0</v>
      </c>
      <c r="U332" s="283">
        <f t="shared" si="379"/>
        <v>569.43740683667704</v>
      </c>
      <c r="V332" s="283">
        <f t="shared" si="380"/>
        <v>253.30048561188786</v>
      </c>
      <c r="W332" s="283">
        <f t="shared" si="381"/>
        <v>6.4528966457794192</v>
      </c>
      <c r="X332" s="282">
        <f t="shared" si="382"/>
        <v>387.21374875519109</v>
      </c>
      <c r="Z332" s="209" t="s">
        <v>27</v>
      </c>
      <c r="AA332" s="405">
        <v>0</v>
      </c>
      <c r="AB332" s="405">
        <v>1587.7</v>
      </c>
      <c r="AC332" s="405"/>
      <c r="AD332" s="405">
        <v>1030.5999999999999</v>
      </c>
      <c r="AE332" s="405">
        <v>1275.7</v>
      </c>
      <c r="AF332" s="405">
        <v>0</v>
      </c>
      <c r="AG332" s="556">
        <f t="shared" si="390"/>
        <v>3894</v>
      </c>
    </row>
    <row r="333" spans="1:34">
      <c r="A333" s="186" t="s">
        <v>28</v>
      </c>
      <c r="J333" s="436">
        <f t="shared" si="384"/>
        <v>0</v>
      </c>
      <c r="K333" s="436">
        <f t="shared" si="384"/>
        <v>73.301805686999998</v>
      </c>
      <c r="L333" s="436">
        <f t="shared" si="385"/>
        <v>2.7858985387199997</v>
      </c>
      <c r="M333" s="436">
        <f t="shared" si="386"/>
        <v>81.096302678819995</v>
      </c>
      <c r="N333" s="436">
        <f t="shared" si="387"/>
        <v>330.21066213497994</v>
      </c>
      <c r="O333" s="436">
        <f t="shared" si="388"/>
        <v>0.11177987964</v>
      </c>
      <c r="P333" s="266">
        <f t="shared" si="389"/>
        <v>487.50644891915994</v>
      </c>
      <c r="Q333" s="186" t="s">
        <v>22</v>
      </c>
      <c r="R333" s="283">
        <f t="shared" si="376"/>
        <v>0</v>
      </c>
      <c r="S333" s="283">
        <f t="shared" si="377"/>
        <v>0</v>
      </c>
      <c r="T333" s="283">
        <f t="shared" si="378"/>
        <v>0</v>
      </c>
      <c r="U333" s="283">
        <f t="shared" si="379"/>
        <v>0</v>
      </c>
      <c r="V333" s="283">
        <f t="shared" si="380"/>
        <v>0</v>
      </c>
      <c r="W333" s="283">
        <f t="shared" si="381"/>
        <v>0</v>
      </c>
      <c r="X333" s="282">
        <f t="shared" si="382"/>
        <v>0</v>
      </c>
      <c r="Z333" s="209" t="s">
        <v>28</v>
      </c>
      <c r="AA333" s="405">
        <v>0</v>
      </c>
      <c r="AB333" s="405">
        <v>852.5</v>
      </c>
      <c r="AC333" s="405">
        <v>32.4</v>
      </c>
      <c r="AD333" s="405">
        <v>943.15</v>
      </c>
      <c r="AE333" s="405">
        <v>3840.35</v>
      </c>
      <c r="AF333" s="405">
        <v>1.3</v>
      </c>
      <c r="AG333" s="556">
        <f t="shared" si="390"/>
        <v>5669.7</v>
      </c>
    </row>
    <row r="334" spans="1:34">
      <c r="A334" s="186" t="s">
        <v>350</v>
      </c>
      <c r="J334" s="436">
        <f t="shared" si="384"/>
        <v>0</v>
      </c>
      <c r="K334" s="436">
        <f t="shared" si="384"/>
        <v>1.719690456E-2</v>
      </c>
      <c r="L334" s="436">
        <f t="shared" si="385"/>
        <v>0</v>
      </c>
      <c r="M334" s="436">
        <f t="shared" si="386"/>
        <v>0</v>
      </c>
      <c r="N334" s="436">
        <f t="shared" si="387"/>
        <v>0</v>
      </c>
      <c r="O334" s="436">
        <f t="shared" si="388"/>
        <v>0</v>
      </c>
      <c r="P334" s="190">
        <f t="shared" si="389"/>
        <v>1.719690456E-2</v>
      </c>
      <c r="Q334" s="186" t="str">
        <f>A334</f>
        <v>a celle combustibile (CEC)</v>
      </c>
      <c r="R334" s="283">
        <f t="shared" si="376"/>
        <v>0</v>
      </c>
      <c r="S334" s="283">
        <f t="shared" si="377"/>
        <v>0</v>
      </c>
      <c r="T334" s="283">
        <f t="shared" si="378"/>
        <v>0</v>
      </c>
      <c r="U334" s="283">
        <f t="shared" si="379"/>
        <v>0</v>
      </c>
      <c r="V334" s="283">
        <f t="shared" si="380"/>
        <v>0</v>
      </c>
      <c r="W334" s="283">
        <f t="shared" si="381"/>
        <v>0</v>
      </c>
      <c r="X334" s="282">
        <f t="shared" si="382"/>
        <v>0</v>
      </c>
      <c r="Z334" s="209" t="s">
        <v>692</v>
      </c>
      <c r="AA334" s="405"/>
      <c r="AB334" s="405">
        <v>0.2</v>
      </c>
      <c r="AC334" s="405"/>
      <c r="AD334" s="405">
        <v>0</v>
      </c>
      <c r="AE334" s="405"/>
      <c r="AF334" s="405"/>
      <c r="AG334" s="557">
        <f t="shared" si="390"/>
        <v>0.2</v>
      </c>
      <c r="AH334" s="207"/>
    </row>
    <row r="335" spans="1:34">
      <c r="A335" s="193" t="s">
        <v>253</v>
      </c>
      <c r="J335" s="179">
        <f t="shared" ref="J335:O335" si="391">SUM(J336:J341)</f>
        <v>0</v>
      </c>
      <c r="K335" s="179">
        <f t="shared" si="391"/>
        <v>15857.460000000001</v>
      </c>
      <c r="L335" s="179">
        <f t="shared" si="391"/>
        <v>479.70000000000005</v>
      </c>
      <c r="M335" s="179">
        <f t="shared" si="391"/>
        <v>743.75999999999988</v>
      </c>
      <c r="N335" s="179">
        <f t="shared" si="391"/>
        <v>2816.37</v>
      </c>
      <c r="O335" s="179">
        <f t="shared" si="391"/>
        <v>1323.9</v>
      </c>
      <c r="P335" s="266">
        <f>SUM(J335:O335)</f>
        <v>21221.190000000002</v>
      </c>
      <c r="Q335" s="193" t="s">
        <v>23</v>
      </c>
      <c r="R335" s="282">
        <f t="shared" si="376"/>
        <v>0</v>
      </c>
      <c r="S335" s="282">
        <f t="shared" si="377"/>
        <v>355.60855987416397</v>
      </c>
      <c r="T335" s="282">
        <f t="shared" si="378"/>
        <v>1725.4725695225693</v>
      </c>
      <c r="U335" s="282">
        <f t="shared" si="379"/>
        <v>441.77934007031922</v>
      </c>
      <c r="V335" s="282">
        <f t="shared" si="380"/>
        <v>281.5214230211941</v>
      </c>
      <c r="W335" s="282">
        <f t="shared" si="381"/>
        <v>5.322464156838838</v>
      </c>
      <c r="X335" s="282">
        <f t="shared" si="382"/>
        <v>356.75112318637787</v>
      </c>
      <c r="Z335" s="555" t="s">
        <v>429</v>
      </c>
      <c r="AA335" s="419">
        <f t="shared" ref="AA335:AF335" si="392">SUM(AA336:AA341)</f>
        <v>2E-3</v>
      </c>
      <c r="AB335" s="419">
        <f t="shared" si="392"/>
        <v>35228.74</v>
      </c>
      <c r="AC335" s="419">
        <f t="shared" si="392"/>
        <v>450.99999999999994</v>
      </c>
      <c r="AD335" s="419">
        <f t="shared" si="392"/>
        <v>4415.1100000000006</v>
      </c>
      <c r="AE335" s="419">
        <f t="shared" si="392"/>
        <v>5765.8</v>
      </c>
      <c r="AF335" s="419">
        <f t="shared" si="392"/>
        <v>1329.7</v>
      </c>
      <c r="AG335" s="556">
        <f>SUM(AA335:AF335)</f>
        <v>47190.351999999999</v>
      </c>
      <c r="AH335" s="207"/>
    </row>
    <row r="336" spans="1:34">
      <c r="A336" s="186" t="s">
        <v>24</v>
      </c>
      <c r="J336" s="147"/>
      <c r="K336" s="147">
        <v>2572.4</v>
      </c>
      <c r="L336" s="147">
        <v>34.6</v>
      </c>
      <c r="M336" s="147">
        <v>4.0999999999999996</v>
      </c>
      <c r="N336" s="147">
        <v>452.6</v>
      </c>
      <c r="O336" s="147">
        <v>1315</v>
      </c>
      <c r="P336" s="266">
        <f t="shared" ref="P336:P341" si="393">SUM(J336:O336)</f>
        <v>4378.7</v>
      </c>
      <c r="Q336" s="186" t="s">
        <v>24</v>
      </c>
      <c r="R336" s="283">
        <f t="shared" si="376"/>
        <v>0</v>
      </c>
      <c r="S336" s="283">
        <f t="shared" si="377"/>
        <v>336.10680431675354</v>
      </c>
      <c r="T336" s="283">
        <f t="shared" si="378"/>
        <v>1323.480895871335</v>
      </c>
      <c r="U336" s="283">
        <f t="shared" si="379"/>
        <v>458.50256387516157</v>
      </c>
      <c r="V336" s="283">
        <f t="shared" si="380"/>
        <v>241.9786966929222</v>
      </c>
      <c r="W336" s="283">
        <f t="shared" si="381"/>
        <v>5.3217401353328597</v>
      </c>
      <c r="X336" s="282">
        <f t="shared" si="382"/>
        <v>242.08186977087738</v>
      </c>
      <c r="Z336" s="209" t="s">
        <v>24</v>
      </c>
      <c r="AA336" s="405"/>
      <c r="AB336" s="405">
        <v>8381.2999999999993</v>
      </c>
      <c r="AC336" s="405">
        <v>86.2</v>
      </c>
      <c r="AD336" s="405">
        <v>7.4</v>
      </c>
      <c r="AE336" s="405">
        <v>942.3</v>
      </c>
      <c r="AF336" s="405">
        <v>1314.3</v>
      </c>
      <c r="AG336" s="556">
        <f t="shared" ref="AG336:AG341" si="394">SUM(AA336:AF336)</f>
        <v>10731.499999999998</v>
      </c>
    </row>
    <row r="337" spans="1:34">
      <c r="A337" s="186" t="s">
        <v>25</v>
      </c>
      <c r="J337" s="147"/>
      <c r="K337" s="147">
        <v>1924.54</v>
      </c>
      <c r="L337" s="147"/>
      <c r="M337" s="147">
        <v>88.11</v>
      </c>
      <c r="N337" s="147">
        <v>12.9</v>
      </c>
      <c r="O337" s="147">
        <v>1.2</v>
      </c>
      <c r="P337" s="266">
        <f t="shared" si="393"/>
        <v>2026.75</v>
      </c>
      <c r="Q337" s="186" t="s">
        <v>25</v>
      </c>
      <c r="R337" s="283">
        <f t="shared" si="376"/>
        <v>0</v>
      </c>
      <c r="S337" s="283">
        <f t="shared" si="377"/>
        <v>320.36916630784032</v>
      </c>
      <c r="T337" s="283">
        <f t="shared" si="378"/>
        <v>0</v>
      </c>
      <c r="U337" s="283">
        <f t="shared" si="379"/>
        <v>372.66514736311427</v>
      </c>
      <c r="V337" s="283">
        <f t="shared" si="380"/>
        <v>304.64119894673507</v>
      </c>
      <c r="W337" s="283">
        <f t="shared" si="381"/>
        <v>4.2285755735895121</v>
      </c>
      <c r="X337" s="282">
        <f t="shared" si="382"/>
        <v>321.77200199493706</v>
      </c>
      <c r="Z337" s="209" t="s">
        <v>25</v>
      </c>
      <c r="AA337" s="405"/>
      <c r="AB337" s="405">
        <v>8820.94</v>
      </c>
      <c r="AC337" s="405"/>
      <c r="AD337" s="405">
        <v>340.71</v>
      </c>
      <c r="AE337" s="405">
        <v>58.7</v>
      </c>
      <c r="AF337" s="405">
        <v>4.8</v>
      </c>
      <c r="AG337" s="556">
        <f t="shared" si="394"/>
        <v>9225.15</v>
      </c>
      <c r="AH337" s="210"/>
    </row>
    <row r="338" spans="1:34">
      <c r="A338" s="186" t="s">
        <v>26</v>
      </c>
      <c r="J338" s="147"/>
      <c r="K338" s="147">
        <v>10877.3</v>
      </c>
      <c r="L338" s="147">
        <v>230.2</v>
      </c>
      <c r="M338" s="147">
        <v>416.4</v>
      </c>
      <c r="N338" s="147">
        <v>642.29999999999995</v>
      </c>
      <c r="O338" s="147">
        <v>7.4</v>
      </c>
      <c r="P338" s="266">
        <f t="shared" si="393"/>
        <v>12173.599999999999</v>
      </c>
      <c r="Q338" s="186" t="s">
        <v>26</v>
      </c>
      <c r="R338" s="283">
        <f t="shared" si="376"/>
        <v>0</v>
      </c>
      <c r="S338" s="283">
        <f t="shared" si="377"/>
        <v>362.1411868965543</v>
      </c>
      <c r="T338" s="283">
        <f t="shared" si="378"/>
        <v>1597.0353753773152</v>
      </c>
      <c r="U338" s="283">
        <f t="shared" si="379"/>
        <v>467.43078000704526</v>
      </c>
      <c r="V338" s="283">
        <f t="shared" si="380"/>
        <v>184.58442569909047</v>
      </c>
      <c r="W338" s="283">
        <f t="shared" si="381"/>
        <v>5.5525591444353903</v>
      </c>
      <c r="X338" s="282">
        <f t="shared" si="382"/>
        <v>371.97463370632778</v>
      </c>
      <c r="Z338" s="209" t="s">
        <v>26</v>
      </c>
      <c r="AA338" s="405"/>
      <c r="AB338" s="405">
        <v>15686</v>
      </c>
      <c r="AC338" s="405">
        <v>332.4</v>
      </c>
      <c r="AD338" s="405">
        <v>2133.9</v>
      </c>
      <c r="AE338" s="405">
        <v>1460.5</v>
      </c>
      <c r="AF338" s="405">
        <v>10.199999999999999</v>
      </c>
      <c r="AG338" s="556">
        <f t="shared" si="394"/>
        <v>19623</v>
      </c>
      <c r="AH338" s="207"/>
    </row>
    <row r="339" spans="1:34">
      <c r="A339" s="186" t="s">
        <v>27</v>
      </c>
      <c r="J339" s="147">
        <v>0</v>
      </c>
      <c r="K339" s="147">
        <v>217.87</v>
      </c>
      <c r="L339" s="147"/>
      <c r="M339" s="147">
        <v>118.5</v>
      </c>
      <c r="N339" s="147">
        <v>208.57</v>
      </c>
      <c r="O339" s="147">
        <v>0</v>
      </c>
      <c r="P339" s="266">
        <f t="shared" si="393"/>
        <v>544.94000000000005</v>
      </c>
      <c r="Q339" s="186" t="s">
        <v>27</v>
      </c>
      <c r="R339" s="283">
        <f t="shared" si="376"/>
        <v>0</v>
      </c>
      <c r="S339" s="283">
        <f t="shared" si="377"/>
        <v>296.79196140972863</v>
      </c>
      <c r="T339" s="283">
        <f t="shared" si="378"/>
        <v>0</v>
      </c>
      <c r="U339" s="283">
        <f t="shared" si="379"/>
        <v>335.26506088939675</v>
      </c>
      <c r="V339" s="283">
        <f t="shared" si="380"/>
        <v>187.13673649585158</v>
      </c>
      <c r="W339" s="283">
        <f t="shared" si="381"/>
        <v>0</v>
      </c>
      <c r="X339" s="282">
        <f t="shared" si="382"/>
        <v>250.8588549033621</v>
      </c>
      <c r="Z339" s="209" t="s">
        <v>27</v>
      </c>
      <c r="AA339" s="405">
        <v>1E-3</v>
      </c>
      <c r="AB339" s="405">
        <v>1527.9</v>
      </c>
      <c r="AC339" s="405"/>
      <c r="AD339" s="405">
        <v>1025</v>
      </c>
      <c r="AE339" s="405">
        <v>1059.8</v>
      </c>
      <c r="AF339" s="405">
        <v>0</v>
      </c>
      <c r="AG339" s="556">
        <f t="shared" si="394"/>
        <v>3612.701</v>
      </c>
      <c r="AH339" s="207"/>
    </row>
    <row r="340" spans="1:34">
      <c r="A340" s="186" t="s">
        <v>28</v>
      </c>
      <c r="J340" s="147">
        <v>0</v>
      </c>
      <c r="K340" s="147">
        <v>265.25</v>
      </c>
      <c r="L340" s="147">
        <v>214.9</v>
      </c>
      <c r="M340" s="147">
        <v>116.65</v>
      </c>
      <c r="N340" s="147">
        <v>1500</v>
      </c>
      <c r="O340" s="147">
        <v>0.3</v>
      </c>
      <c r="P340" s="266">
        <f t="shared" si="393"/>
        <v>2097.1000000000004</v>
      </c>
      <c r="Q340" s="186" t="s">
        <v>28</v>
      </c>
      <c r="R340" s="283">
        <f t="shared" si="376"/>
        <v>0</v>
      </c>
      <c r="S340" s="283">
        <f t="shared" si="377"/>
        <v>526.77209156972128</v>
      </c>
      <c r="T340" s="283">
        <f t="shared" si="378"/>
        <v>1945.1956220212899</v>
      </c>
      <c r="U340" s="283">
        <f t="shared" si="379"/>
        <v>463.98603520025546</v>
      </c>
      <c r="V340" s="283">
        <f t="shared" si="380"/>
        <v>400.48374155844152</v>
      </c>
      <c r="W340" s="283">
        <f t="shared" si="381"/>
        <v>7.2629136653007187</v>
      </c>
      <c r="X340" s="282">
        <f t="shared" si="382"/>
        <v>645.13604839559503</v>
      </c>
      <c r="Z340" s="209" t="s">
        <v>28</v>
      </c>
      <c r="AA340" s="405">
        <v>1E-3</v>
      </c>
      <c r="AB340" s="405">
        <v>812.6</v>
      </c>
      <c r="AC340" s="405">
        <v>32.4</v>
      </c>
      <c r="AD340" s="405">
        <v>908.1</v>
      </c>
      <c r="AE340" s="405">
        <v>2244.5</v>
      </c>
      <c r="AF340" s="405">
        <v>0.4</v>
      </c>
      <c r="AG340" s="556">
        <f t="shared" si="394"/>
        <v>3998.0010000000002</v>
      </c>
      <c r="AH340" s="207"/>
    </row>
    <row r="341" spans="1:34">
      <c r="A341" s="186" t="s">
        <v>350</v>
      </c>
      <c r="K341">
        <v>0.1</v>
      </c>
      <c r="M341" s="147"/>
      <c r="P341" s="266">
        <f t="shared" si="393"/>
        <v>0.1</v>
      </c>
      <c r="Q341" s="186" t="str">
        <f>A341</f>
        <v>a celle combustibile (CEC)</v>
      </c>
      <c r="R341" s="283">
        <f t="shared" si="376"/>
        <v>0</v>
      </c>
      <c r="S341" s="283">
        <f t="shared" si="377"/>
        <v>429.01152237680657</v>
      </c>
      <c r="T341" s="283">
        <f t="shared" si="378"/>
        <v>0</v>
      </c>
      <c r="U341" s="283">
        <f t="shared" si="379"/>
        <v>0</v>
      </c>
      <c r="V341" s="283">
        <f t="shared" si="380"/>
        <v>0</v>
      </c>
      <c r="W341" s="283">
        <f t="shared" si="381"/>
        <v>0</v>
      </c>
      <c r="X341" s="282">
        <f t="shared" si="382"/>
        <v>413.83748139241789</v>
      </c>
      <c r="Z341" s="209" t="s">
        <v>692</v>
      </c>
      <c r="AA341" s="405"/>
      <c r="AB341" s="405">
        <v>0</v>
      </c>
      <c r="AC341" s="405"/>
      <c r="AD341" s="405">
        <v>0</v>
      </c>
      <c r="AE341" s="405"/>
      <c r="AF341" s="405">
        <v>0</v>
      </c>
      <c r="AG341" s="556">
        <f t="shared" si="394"/>
        <v>0</v>
      </c>
      <c r="AH341" s="408"/>
    </row>
    <row r="342" spans="1:34">
      <c r="Q342" s="193" t="s">
        <v>9</v>
      </c>
      <c r="R342" s="282">
        <f t="shared" ref="R342:X342" si="395">R317/J298*1000000</f>
        <v>934.7730459668669</v>
      </c>
      <c r="S342" s="282">
        <f t="shared" si="395"/>
        <v>372.62501692124135</v>
      </c>
      <c r="T342" s="282">
        <f t="shared" si="395"/>
        <v>1724.3436998301402</v>
      </c>
      <c r="U342" s="282">
        <f t="shared" si="395"/>
        <v>589.96170462468172</v>
      </c>
      <c r="V342" s="282">
        <f t="shared" si="395"/>
        <v>321.06623786070548</v>
      </c>
      <c r="W342" s="282">
        <f t="shared" si="395"/>
        <v>5.8501186972239587</v>
      </c>
      <c r="X342" s="195">
        <f t="shared" si="395"/>
        <v>410.84263230683905</v>
      </c>
      <c r="AA342" s="186"/>
      <c r="AB342" s="207"/>
      <c r="AC342" s="207"/>
      <c r="AD342" s="403"/>
      <c r="AE342" s="186"/>
      <c r="AF342" s="185"/>
      <c r="AG342" s="207"/>
      <c r="AH342" s="408"/>
    </row>
    <row r="343" spans="1:34">
      <c r="J343" s="90" t="str">
        <f t="shared" ref="J343:O344" si="396">IFERROR((J291/11.63+J328)/J335,"")</f>
        <v/>
      </c>
      <c r="K343" s="90">
        <f t="shared" si="396"/>
        <v>0.66686597453031327</v>
      </c>
      <c r="L343" s="90">
        <f t="shared" si="396"/>
        <v>0.42592183314531351</v>
      </c>
      <c r="M343" s="90">
        <f t="shared" si="396"/>
        <v>0.77599251462005037</v>
      </c>
      <c r="N343" s="90">
        <f t="shared" si="396"/>
        <v>0.55506189647711623</v>
      </c>
      <c r="O343" s="90">
        <f t="shared" si="396"/>
        <v>0.58558012473212329</v>
      </c>
      <c r="P343" s="269"/>
      <c r="R343" s="315">
        <f>'7'!AG6</f>
        <v>934.77312959760673</v>
      </c>
      <c r="S343" s="315">
        <f>'7'!AG7</f>
        <v>372.62496473739247</v>
      </c>
      <c r="T343" s="204"/>
      <c r="U343" s="204"/>
      <c r="V343" s="204"/>
      <c r="W343" s="204"/>
      <c r="X343" s="196">
        <f>'7'!AG12</f>
        <v>410.84231967688788</v>
      </c>
      <c r="Z343" s="555" t="s">
        <v>430</v>
      </c>
      <c r="AA343" s="559" t="str">
        <f t="shared" ref="AA343:AG343" si="397">IFERROR(AA335/AA328,"")</f>
        <v/>
      </c>
      <c r="AB343" s="559">
        <f t="shared" si="397"/>
        <v>0.87410719026642003</v>
      </c>
      <c r="AC343" s="559">
        <f t="shared" si="397"/>
        <v>0.99208095028596555</v>
      </c>
      <c r="AD343" s="559">
        <f t="shared" si="397"/>
        <v>0.90919593250495256</v>
      </c>
      <c r="AE343" s="559">
        <f t="shared" si="397"/>
        <v>0.66403699203611677</v>
      </c>
      <c r="AF343" s="559">
        <f t="shared" si="397"/>
        <v>0.39282127031019198</v>
      </c>
      <c r="AG343" s="559">
        <f t="shared" si="397"/>
        <v>0.81812432657809364</v>
      </c>
      <c r="AH343" s="210"/>
    </row>
    <row r="344" spans="1:34">
      <c r="J344" s="90" t="str">
        <f t="shared" si="396"/>
        <v/>
      </c>
      <c r="K344" s="90">
        <f>IFERROR((K292/11.63+K329)/K336,"")</f>
        <v>0.72677879734600803</v>
      </c>
      <c r="L344" s="90">
        <f>IFERROR((L292/11.63+L329)/L336,"")</f>
        <v>0.59145423191537827</v>
      </c>
      <c r="M344" s="90">
        <f>IFERROR((M292/11.63+M329)/M336,"")</f>
        <v>0.70465365021216786</v>
      </c>
      <c r="N344" s="90">
        <f>IFERROR((N292/11.63+N329)/N336,"")</f>
        <v>0.65951610819710804</v>
      </c>
      <c r="O344" s="90">
        <f>IFERROR((O292/11.63+O329)/O336,"")</f>
        <v>0.58564614266575543</v>
      </c>
      <c r="P344" s="272"/>
      <c r="R344" s="172">
        <f>R342-R343</f>
        <v>-8.3630739823092881E-5</v>
      </c>
      <c r="S344" s="172">
        <f>S342-S343</f>
        <v>5.2183848879394645E-5</v>
      </c>
      <c r="T344" s="172"/>
      <c r="U344" s="172"/>
      <c r="V344" s="172"/>
      <c r="W344" s="172"/>
      <c r="X344" s="197">
        <f>X342-X343</f>
        <v>3.1262995116776437E-4</v>
      </c>
      <c r="Z344" s="209" t="s">
        <v>24</v>
      </c>
      <c r="AA344" s="560" t="str">
        <f>IFERROR(AA336/AA329,"")</f>
        <v/>
      </c>
      <c r="AB344" s="560">
        <f t="shared" ref="AB344:AG344" si="398">IFERROR(AB336/AB329,"")</f>
        <v>0.88903621359017326</v>
      </c>
      <c r="AC344" s="560">
        <f t="shared" si="398"/>
        <v>0.989667049368542</v>
      </c>
      <c r="AD344" s="560">
        <f t="shared" si="398"/>
        <v>0.39572192513368987</v>
      </c>
      <c r="AE344" s="560">
        <f t="shared" si="398"/>
        <v>0.46938978829389788</v>
      </c>
      <c r="AF344" s="560">
        <f t="shared" si="398"/>
        <v>0.3907652970208717</v>
      </c>
      <c r="AG344" s="559">
        <f t="shared" si="398"/>
        <v>0.72003676840600894</v>
      </c>
      <c r="AH344" s="207"/>
    </row>
    <row r="345" spans="1:34">
      <c r="J345" s="90" t="str">
        <f t="shared" ref="J345:O345" si="399">IFERROR((J293/11.63+J330)/J337,"")</f>
        <v/>
      </c>
      <c r="K345" s="90">
        <f t="shared" si="399"/>
        <v>0.76157962726102935</v>
      </c>
      <c r="L345" s="90" t="str">
        <f t="shared" si="399"/>
        <v/>
      </c>
      <c r="M345" s="90">
        <f t="shared" si="399"/>
        <v>0.82063448994948451</v>
      </c>
      <c r="N345" s="90">
        <f t="shared" si="399"/>
        <v>0.70987222309376041</v>
      </c>
      <c r="O345" s="90">
        <f t="shared" si="399"/>
        <v>0.72370306684476926</v>
      </c>
      <c r="P345" s="272"/>
      <c r="Z345" s="209" t="s">
        <v>25</v>
      </c>
      <c r="AA345" s="560" t="str">
        <f t="shared" ref="AA345:AG349" si="400">IFERROR(AA337/AA330,"")</f>
        <v/>
      </c>
      <c r="AB345" s="560">
        <f t="shared" si="400"/>
        <v>0.94974019513896824</v>
      </c>
      <c r="AC345" s="560" t="str">
        <f t="shared" si="400"/>
        <v/>
      </c>
      <c r="AD345" s="560">
        <f t="shared" si="400"/>
        <v>0.57668285912560724</v>
      </c>
      <c r="AE345" s="560">
        <f t="shared" si="400"/>
        <v>0.68335273573923161</v>
      </c>
      <c r="AF345" s="560">
        <f t="shared" si="400"/>
        <v>0.88888888888888884</v>
      </c>
      <c r="AG345" s="559">
        <f t="shared" si="400"/>
        <v>0.92530479395377074</v>
      </c>
      <c r="AH345" s="207"/>
    </row>
    <row r="346" spans="1:34">
      <c r="J346" s="90" t="str">
        <f t="shared" ref="J346:O346" si="401">IFERROR((J294/11.63+J331)/J338,"")</f>
        <v/>
      </c>
      <c r="K346" s="90">
        <f t="shared" si="401"/>
        <v>0.63515371681536259</v>
      </c>
      <c r="L346" s="90">
        <f t="shared" si="401"/>
        <v>0.47748677177606841</v>
      </c>
      <c r="M346" s="90">
        <f t="shared" si="401"/>
        <v>0.72688309003528151</v>
      </c>
      <c r="N346" s="90">
        <f t="shared" si="401"/>
        <v>0.66939145103154707</v>
      </c>
      <c r="O346" s="90">
        <f t="shared" si="401"/>
        <v>0.54960377405177196</v>
      </c>
      <c r="Z346" s="209" t="s">
        <v>26</v>
      </c>
      <c r="AA346" s="560" t="str">
        <f t="shared" si="400"/>
        <v/>
      </c>
      <c r="AB346" s="560">
        <f t="shared" si="400"/>
        <v>0.81924061210633514</v>
      </c>
      <c r="AC346" s="560">
        <f t="shared" si="400"/>
        <v>0.99194270367054593</v>
      </c>
      <c r="AD346" s="560">
        <f t="shared" si="400"/>
        <v>0.93888595564941923</v>
      </c>
      <c r="AE346" s="560">
        <f t="shared" si="400"/>
        <v>0.99117746861214795</v>
      </c>
      <c r="AF346" s="560">
        <f t="shared" si="400"/>
        <v>0.68456375838926165</v>
      </c>
      <c r="AG346" s="559">
        <f t="shared" si="400"/>
        <v>0.8442432873129031</v>
      </c>
      <c r="AH346" s="207"/>
    </row>
    <row r="347" spans="1:34">
      <c r="J347" s="90" t="str">
        <f t="shared" ref="J347:O347" si="402">IFERROR((J295/11.63+J332)/J339,"")</f>
        <v/>
      </c>
      <c r="K347" s="90">
        <f t="shared" si="402"/>
        <v>0.84427590027136512</v>
      </c>
      <c r="L347" s="90" t="str">
        <f t="shared" si="402"/>
        <v/>
      </c>
      <c r="M347" s="90">
        <f t="shared" si="402"/>
        <v>0.87515555229202679</v>
      </c>
      <c r="N347" s="90">
        <f t="shared" si="402"/>
        <v>0.78563889864830072</v>
      </c>
      <c r="O347" s="90" t="str">
        <f t="shared" si="402"/>
        <v/>
      </c>
      <c r="Z347" s="209" t="s">
        <v>27</v>
      </c>
      <c r="AA347" s="560" t="str">
        <f t="shared" si="400"/>
        <v/>
      </c>
      <c r="AB347" s="560">
        <f t="shared" si="400"/>
        <v>0.96233545380109597</v>
      </c>
      <c r="AC347" s="560" t="str">
        <f t="shared" si="400"/>
        <v/>
      </c>
      <c r="AD347" s="560">
        <f t="shared" si="400"/>
        <v>0.99456627207451975</v>
      </c>
      <c r="AE347" s="560">
        <f t="shared" si="400"/>
        <v>0.83075958297405339</v>
      </c>
      <c r="AF347" s="560" t="str">
        <f t="shared" si="400"/>
        <v/>
      </c>
      <c r="AG347" s="559">
        <f t="shared" si="400"/>
        <v>0.9277609142270159</v>
      </c>
      <c r="AH347" s="207"/>
    </row>
    <row r="348" spans="1:34">
      <c r="J348" s="90" t="str">
        <f t="shared" ref="J348:O348" si="403">IFERROR((J296/11.63+J333)/J340,"")</f>
        <v/>
      </c>
      <c r="K348" s="90">
        <f t="shared" si="403"/>
        <v>0.55344533747176661</v>
      </c>
      <c r="L348" s="90">
        <f t="shared" si="403"/>
        <v>0.34403411853273103</v>
      </c>
      <c r="M348" s="90">
        <f t="shared" si="403"/>
        <v>0.81934073138418617</v>
      </c>
      <c r="N348" s="90">
        <f t="shared" si="403"/>
        <v>0.4411963313631308</v>
      </c>
      <c r="O348" s="90">
        <f t="shared" si="403"/>
        <v>0.63055316715769572</v>
      </c>
      <c r="Z348" s="209" t="s">
        <v>28</v>
      </c>
      <c r="AA348" s="560" t="str">
        <f t="shared" si="400"/>
        <v/>
      </c>
      <c r="AB348" s="560">
        <f t="shared" si="400"/>
        <v>0.95319648093841647</v>
      </c>
      <c r="AC348" s="560">
        <f t="shared" si="400"/>
        <v>1</v>
      </c>
      <c r="AD348" s="560">
        <f t="shared" si="400"/>
        <v>0.96283730053543981</v>
      </c>
      <c r="AE348" s="560">
        <f t="shared" si="400"/>
        <v>0.58445193797440342</v>
      </c>
      <c r="AF348" s="560">
        <f t="shared" si="400"/>
        <v>0.30769230769230771</v>
      </c>
      <c r="AG348" s="559">
        <f t="shared" si="400"/>
        <v>0.70515212445102926</v>
      </c>
    </row>
    <row r="349" spans="1:34">
      <c r="J349" s="90" t="str">
        <f t="shared" ref="J349:O349" si="404">IFERROR((J297/11.63+J334)/J341,"")</f>
        <v/>
      </c>
      <c r="K349" s="90">
        <f t="shared" si="404"/>
        <v>0.4299226139576956</v>
      </c>
      <c r="L349" s="90" t="str">
        <f t="shared" si="404"/>
        <v/>
      </c>
      <c r="M349" s="90" t="str">
        <f t="shared" si="404"/>
        <v/>
      </c>
      <c r="N349" s="90" t="str">
        <f t="shared" si="404"/>
        <v/>
      </c>
      <c r="O349" s="90" t="str">
        <f t="shared" si="404"/>
        <v/>
      </c>
      <c r="Z349" s="209" t="s">
        <v>692</v>
      </c>
      <c r="AA349" s="560" t="str">
        <f t="shared" si="400"/>
        <v/>
      </c>
      <c r="AB349" s="560">
        <f t="shared" si="400"/>
        <v>0</v>
      </c>
      <c r="AC349" s="560" t="str">
        <f t="shared" si="400"/>
        <v/>
      </c>
      <c r="AD349" s="560" t="str">
        <f t="shared" si="400"/>
        <v/>
      </c>
      <c r="AE349" s="560" t="str">
        <f t="shared" si="400"/>
        <v/>
      </c>
      <c r="AF349" s="560">
        <v>0</v>
      </c>
      <c r="AG349" s="559">
        <f t="shared" si="400"/>
        <v>0</v>
      </c>
    </row>
    <row r="350" spans="1:34">
      <c r="A350" s="68" t="str">
        <f>$A$282</f>
        <v>Dati 2021 lorda</v>
      </c>
    </row>
    <row r="351" spans="1:34">
      <c r="A351" s="68" t="s">
        <v>257</v>
      </c>
      <c r="B351" s="68"/>
      <c r="C351" s="68"/>
      <c r="D351" s="68"/>
      <c r="E351" s="68"/>
      <c r="J351" s="428">
        <v>0</v>
      </c>
      <c r="K351" s="428">
        <v>9.4402680476391936</v>
      </c>
      <c r="L351" s="428">
        <v>0.29287411443979705</v>
      </c>
      <c r="M351" s="588">
        <v>1.1611955808032142</v>
      </c>
      <c r="N351" s="587">
        <v>1.4303954739310463</v>
      </c>
      <c r="O351" s="587">
        <v>9.6384329813133107E-4</v>
      </c>
      <c r="P351" s="429">
        <f>SUM(J351:O351)</f>
        <v>12.325697060111382</v>
      </c>
      <c r="Q351" t="s">
        <v>363</v>
      </c>
    </row>
    <row r="352" spans="1:34">
      <c r="A352" t="s">
        <v>258</v>
      </c>
      <c r="J352" s="181" t="str">
        <f>IFERROR(J351/(J328*11.63)*1000000,"")</f>
        <v/>
      </c>
      <c r="K352" s="181">
        <f t="shared" ref="K352:P352" si="405">IFERROR(K351/(K328*11.63)*1000000,"")</f>
        <v>234.23506424386622</v>
      </c>
      <c r="L352" s="181">
        <f t="shared" si="405"/>
        <v>644.24574217282384</v>
      </c>
      <c r="M352" s="181">
        <f t="shared" si="405"/>
        <v>239.12298872188111</v>
      </c>
      <c r="N352" s="181">
        <f t="shared" si="405"/>
        <v>164.7361177591097</v>
      </c>
      <c r="O352" s="181">
        <f t="shared" si="405"/>
        <v>0.28473952672769887</v>
      </c>
      <c r="P352" s="181">
        <f t="shared" si="405"/>
        <v>213.68674268959563</v>
      </c>
    </row>
    <row r="354" spans="1:34">
      <c r="A354" s="68" t="s">
        <v>259</v>
      </c>
      <c r="J354" s="271">
        <f t="shared" ref="J354:P354" si="406">J351+R310</f>
        <v>0</v>
      </c>
      <c r="K354" s="271">
        <f t="shared" si="406"/>
        <v>38.842833682493172</v>
      </c>
      <c r="L354" s="271">
        <f t="shared" si="406"/>
        <v>3.6085076945829759</v>
      </c>
      <c r="M354" s="271">
        <f t="shared" si="406"/>
        <v>1.9812352274285421</v>
      </c>
      <c r="N354" s="271">
        <f t="shared" si="406"/>
        <v>4.104218384644823</v>
      </c>
      <c r="O354" s="271">
        <f t="shared" si="406"/>
        <v>3.0935447979842663E-2</v>
      </c>
      <c r="P354" s="271">
        <f t="shared" si="406"/>
        <v>48.567730437129349</v>
      </c>
    </row>
    <row r="355" spans="1:34">
      <c r="A355" t="s">
        <v>260</v>
      </c>
      <c r="J355" s="90">
        <f>IFERROR(J354/((J328*11.63)+J291)*1000000,"")</f>
        <v>0</v>
      </c>
      <c r="K355" s="181">
        <f t="shared" ref="K355:P355" si="407">K354/((K328*11.63)+K291)*1000000</f>
        <v>315.83409187130189</v>
      </c>
      <c r="L355" s="181">
        <f t="shared" si="407"/>
        <v>1518.6171478885256</v>
      </c>
      <c r="M355" s="181">
        <f t="shared" si="407"/>
        <v>295.16575994944697</v>
      </c>
      <c r="N355" s="181">
        <f t="shared" si="407"/>
        <v>225.74577034248722</v>
      </c>
      <c r="O355" s="181">
        <f t="shared" si="407"/>
        <v>3.4311142911008949</v>
      </c>
      <c r="P355" s="181">
        <f t="shared" si="407"/>
        <v>304.93908137637084</v>
      </c>
    </row>
    <row r="356" spans="1:34">
      <c r="J356" s="181" t="str">
        <f>IFERROR((J$628*J327*11.63/1000000+R309)/(J327*11.63+J290)*1000000,"")</f>
        <v/>
      </c>
      <c r="K356" s="168"/>
      <c r="L356" s="168"/>
      <c r="M356" s="168"/>
      <c r="N356" s="168"/>
      <c r="O356" s="168"/>
      <c r="P356" s="168"/>
    </row>
    <row r="357" spans="1:34">
      <c r="A357" t="s">
        <v>261</v>
      </c>
      <c r="J357" s="266" t="str">
        <f t="shared" ref="J357:P357" si="408">IFERROR((J352*J328*11.63/1000000+R310)/(J328*11.63+J291)*1000000,"")</f>
        <v/>
      </c>
      <c r="K357" s="266">
        <f t="shared" si="408"/>
        <v>315.83409187130189</v>
      </c>
      <c r="L357" s="266">
        <f t="shared" si="408"/>
        <v>1518.6171478885256</v>
      </c>
      <c r="M357" s="266">
        <f t="shared" si="408"/>
        <v>295.16575994944697</v>
      </c>
      <c r="N357" s="266">
        <f t="shared" si="408"/>
        <v>225.74577034248722</v>
      </c>
      <c r="O357" s="266">
        <f t="shared" si="408"/>
        <v>3.4311142911008949</v>
      </c>
      <c r="P357" s="266">
        <f t="shared" si="408"/>
        <v>304.93908137637084</v>
      </c>
      <c r="R357" s="255" t="str">
        <f t="shared" ref="R357:R363" si="409">IFERROR(J357/R335-1,"")</f>
        <v/>
      </c>
      <c r="S357" s="255">
        <f t="shared" ref="S357:S363" si="410">IFERROR(K357/S335-1,"")</f>
        <v>-0.11184901740536479</v>
      </c>
      <c r="T357" s="255">
        <f t="shared" ref="T357:T363" si="411">IFERROR(L357/T335-1,"")</f>
        <v>-0.11988334401124656</v>
      </c>
      <c r="U357" s="255">
        <f t="shared" ref="U357:U363" si="412">IFERROR(M357/U335-1,"")</f>
        <v>-0.33187061236846294</v>
      </c>
      <c r="V357" s="255">
        <f t="shared" ref="V357:V363" si="413">IFERROR(N357/V335-1,"")</f>
        <v>-0.1981222319784447</v>
      </c>
      <c r="W357" s="255">
        <f t="shared" ref="W357:W363" si="414">IFERROR(O357/W335-1,"")</f>
        <v>-0.3553522973579345</v>
      </c>
      <c r="X357" s="255">
        <f t="shared" ref="X357:X363" si="415">IFERROR(P357/X335-1,"")</f>
        <v>-0.14523301663983501</v>
      </c>
      <c r="AE357" s="186"/>
      <c r="AF357" s="185"/>
      <c r="AG357" s="207"/>
      <c r="AH357" s="207"/>
    </row>
    <row r="358" spans="1:34">
      <c r="A358" s="186" t="s">
        <v>24</v>
      </c>
      <c r="J358" s="181" t="str">
        <f t="shared" ref="J358:P358" si="416">IFERROR((J352*J329*11.63/1000000+R311)/(J329*11.63+J292)*1000000,"")</f>
        <v/>
      </c>
      <c r="K358" s="181">
        <f t="shared" si="416"/>
        <v>291.93702857451171</v>
      </c>
      <c r="L358" s="181">
        <f t="shared" si="416"/>
        <v>1074.90366102557</v>
      </c>
      <c r="M358" s="181">
        <f t="shared" si="416"/>
        <v>336.40738364704561</v>
      </c>
      <c r="N358" s="181">
        <f t="shared" si="416"/>
        <v>197.31109367742658</v>
      </c>
      <c r="O358" s="181">
        <f t="shared" si="416"/>
        <v>3.4302252273920075</v>
      </c>
      <c r="P358" s="181">
        <f t="shared" si="416"/>
        <v>229.79469228978695</v>
      </c>
      <c r="R358" s="254" t="str">
        <f t="shared" si="409"/>
        <v/>
      </c>
      <c r="S358" s="254">
        <f t="shared" si="410"/>
        <v>-0.13141589273097665</v>
      </c>
      <c r="T358" s="254">
        <f t="shared" si="411"/>
        <v>-0.18782079561647924</v>
      </c>
      <c r="U358" s="254">
        <f t="shared" si="412"/>
        <v>-0.26629116137583764</v>
      </c>
      <c r="V358" s="254">
        <f t="shared" si="413"/>
        <v>-0.18459312173327413</v>
      </c>
      <c r="W358" s="254">
        <f t="shared" si="414"/>
        <v>-0.35543165578161839</v>
      </c>
      <c r="X358" s="254">
        <f t="shared" si="415"/>
        <v>-5.0756289567326252E-2</v>
      </c>
    </row>
    <row r="359" spans="1:34">
      <c r="A359" s="186" t="s">
        <v>25</v>
      </c>
      <c r="J359" s="181" t="str">
        <f t="shared" ref="J359:P359" si="417">IFERROR((J352*J330*11.63/1000000+R312)/(J330*11.63+J293)*1000000,"")</f>
        <v/>
      </c>
      <c r="K359" s="181">
        <f t="shared" si="417"/>
        <v>273.43779919586621</v>
      </c>
      <c r="L359" s="181" t="str">
        <f t="shared" si="417"/>
        <v/>
      </c>
      <c r="M359" s="181">
        <f t="shared" si="417"/>
        <v>278.84166504532493</v>
      </c>
      <c r="N359" s="181">
        <f t="shared" si="417"/>
        <v>191.79757007914586</v>
      </c>
      <c r="O359" s="181">
        <f t="shared" si="417"/>
        <v>2.1199899642153452</v>
      </c>
      <c r="P359" s="181">
        <f t="shared" si="417"/>
        <v>261.91731693013202</v>
      </c>
      <c r="R359" s="254" t="str">
        <f t="shared" si="409"/>
        <v/>
      </c>
      <c r="S359" s="254">
        <f t="shared" si="410"/>
        <v>-0.14649152305399493</v>
      </c>
      <c r="T359" s="254" t="str">
        <f t="shared" si="411"/>
        <v/>
      </c>
      <c r="U359" s="254">
        <f t="shared" si="412"/>
        <v>-0.25176350131387637</v>
      </c>
      <c r="V359" s="254">
        <f t="shared" si="413"/>
        <v>-0.37041486593978168</v>
      </c>
      <c r="W359" s="254">
        <f t="shared" si="414"/>
        <v>-0.49865151341832381</v>
      </c>
      <c r="X359" s="254">
        <f t="shared" si="415"/>
        <v>-0.18601582702570507</v>
      </c>
    </row>
    <row r="360" spans="1:34">
      <c r="A360" s="186" t="s">
        <v>26</v>
      </c>
      <c r="J360" s="181" t="str">
        <f t="shared" ref="J360:P360" si="418">IFERROR((J352*J331*11.63/1000000+R313)/(J331*11.63+J294)*1000000,"")</f>
        <v/>
      </c>
      <c r="K360" s="181">
        <f t="shared" si="418"/>
        <v>331.66136632990094</v>
      </c>
      <c r="L360" s="181">
        <f t="shared" si="418"/>
        <v>1347.2741177107625</v>
      </c>
      <c r="M360" s="181">
        <f t="shared" si="418"/>
        <v>320.0207780005469</v>
      </c>
      <c r="N360" s="181">
        <f t="shared" si="418"/>
        <v>178.7355036795108</v>
      </c>
      <c r="O360" s="181">
        <f t="shared" si="418"/>
        <v>3.8931402794742462</v>
      </c>
      <c r="P360" s="181">
        <f t="shared" si="418"/>
        <v>331.18371836845455</v>
      </c>
      <c r="R360" s="254" t="str">
        <f t="shared" si="409"/>
        <v/>
      </c>
      <c r="S360" s="254">
        <f t="shared" si="410"/>
        <v>-8.416557317839668E-2</v>
      </c>
      <c r="T360" s="254">
        <f t="shared" si="411"/>
        <v>-0.1563905606083047</v>
      </c>
      <c r="U360" s="254">
        <f t="shared" si="412"/>
        <v>-0.3153622061522704</v>
      </c>
      <c r="V360" s="254">
        <f t="shared" si="413"/>
        <v>-3.1686974659035361E-2</v>
      </c>
      <c r="W360" s="254">
        <f t="shared" si="414"/>
        <v>-0.29885658518814051</v>
      </c>
      <c r="X360" s="254">
        <f t="shared" si="415"/>
        <v>-0.1096604758540537</v>
      </c>
    </row>
    <row r="361" spans="1:34">
      <c r="A361" s="186" t="s">
        <v>27</v>
      </c>
      <c r="J361" s="181"/>
      <c r="K361" s="181">
        <f t="shared" ref="K361:P361" si="419">IFERROR((K352*K332*11.63/1000000+S314)/(K332*11.63+K295)*1000000,"")</f>
        <v>250.36373393073393</v>
      </c>
      <c r="L361" s="181" t="str">
        <f t="shared" si="419"/>
        <v/>
      </c>
      <c r="M361" s="181">
        <f t="shared" si="419"/>
        <v>253.11265264944473</v>
      </c>
      <c r="N361" s="181">
        <f t="shared" si="419"/>
        <v>172.14147526690112</v>
      </c>
      <c r="O361" s="181">
        <f t="shared" si="419"/>
        <v>0</v>
      </c>
      <c r="P361" s="181">
        <f t="shared" si="419"/>
        <v>223.29333910254744</v>
      </c>
      <c r="R361" s="254" t="str">
        <f t="shared" si="409"/>
        <v/>
      </c>
      <c r="S361" s="254">
        <f t="shared" si="410"/>
        <v>-0.15643357474530584</v>
      </c>
      <c r="T361" s="254" t="str">
        <f t="shared" si="411"/>
        <v/>
      </c>
      <c r="U361" s="254">
        <f t="shared" si="412"/>
        <v>-0.24503718944651354</v>
      </c>
      <c r="V361" s="254">
        <f t="shared" si="413"/>
        <v>-8.0129970788941685E-2</v>
      </c>
      <c r="W361" s="254" t="str">
        <f t="shared" si="414"/>
        <v/>
      </c>
      <c r="X361" s="254">
        <f t="shared" si="415"/>
        <v>-0.10988456361818955</v>
      </c>
    </row>
    <row r="362" spans="1:34">
      <c r="A362" s="186" t="s">
        <v>28</v>
      </c>
      <c r="J362" s="181" t="str">
        <f t="shared" ref="J362:P362" si="420">IFERROR((J352*J333*11.63/1000000+R315)/(J333*11.63+J296)*1000000,"")</f>
        <v/>
      </c>
      <c r="K362" s="181">
        <f t="shared" si="420"/>
        <v>380.70062444867119</v>
      </c>
      <c r="L362" s="181">
        <f t="shared" si="420"/>
        <v>1896.1739713493712</v>
      </c>
      <c r="M362" s="181">
        <f t="shared" si="420"/>
        <v>273.18977566056037</v>
      </c>
      <c r="N362" s="181">
        <f t="shared" si="420"/>
        <v>282.85450876917594</v>
      </c>
      <c r="O362" s="181">
        <f t="shared" si="420"/>
        <v>3.13944712859456</v>
      </c>
      <c r="P362" s="181">
        <f t="shared" si="420"/>
        <v>430.13511860456191</v>
      </c>
      <c r="R362" s="254" t="str">
        <f t="shared" si="409"/>
        <v/>
      </c>
      <c r="S362" s="254">
        <f t="shared" si="410"/>
        <v>-0.27729537965037898</v>
      </c>
      <c r="T362" s="254">
        <f t="shared" si="411"/>
        <v>-2.5201398829480914E-2</v>
      </c>
      <c r="U362" s="254">
        <f t="shared" si="412"/>
        <v>-0.41121121125412274</v>
      </c>
      <c r="V362" s="254">
        <f t="shared" si="413"/>
        <v>-0.29371787311895226</v>
      </c>
      <c r="W362" s="254">
        <f t="shared" si="414"/>
        <v>-0.5677427444038643</v>
      </c>
      <c r="X362" s="254">
        <f t="shared" si="415"/>
        <v>-0.33326448014449717</v>
      </c>
    </row>
    <row r="363" spans="1:34">
      <c r="A363" s="186" t="s">
        <v>350</v>
      </c>
      <c r="J363" s="181" t="str">
        <f t="shared" ref="J363:P363" si="421">IFERROR((J352*J334*11.63/1000000+R316)/(J334*11.63+J297)*1000000,"")</f>
        <v/>
      </c>
      <c r="K363" s="181">
        <f t="shared" si="421"/>
        <v>351.10093911596408</v>
      </c>
      <c r="L363" s="181" t="str">
        <f t="shared" si="421"/>
        <v/>
      </c>
      <c r="M363" s="181">
        <f t="shared" si="421"/>
        <v>0</v>
      </c>
      <c r="N363" s="181" t="str">
        <f t="shared" si="421"/>
        <v/>
      </c>
      <c r="O363" s="181">
        <f t="shared" si="421"/>
        <v>0</v>
      </c>
      <c r="P363" s="181">
        <f t="shared" si="421"/>
        <v>335.50059735218315</v>
      </c>
      <c r="R363" s="254" t="str">
        <f t="shared" si="409"/>
        <v/>
      </c>
      <c r="S363" s="254">
        <f t="shared" si="410"/>
        <v>-0.18160487352228405</v>
      </c>
      <c r="T363" s="254" t="str">
        <f t="shared" si="411"/>
        <v/>
      </c>
      <c r="U363" s="254" t="str">
        <f t="shared" si="412"/>
        <v/>
      </c>
      <c r="V363" s="254" t="str">
        <f t="shared" si="413"/>
        <v/>
      </c>
      <c r="W363" s="254" t="str">
        <f t="shared" si="414"/>
        <v/>
      </c>
      <c r="X363" s="254">
        <f t="shared" si="415"/>
        <v>-0.18929383529171551</v>
      </c>
    </row>
    <row r="364" spans="1:34">
      <c r="J364" s="181"/>
      <c r="K364" s="181"/>
      <c r="L364" s="181"/>
      <c r="M364" s="181"/>
      <c r="N364" s="181"/>
      <c r="O364" s="181"/>
      <c r="P364" s="181"/>
    </row>
    <row r="365" spans="1:34">
      <c r="J365" s="181"/>
      <c r="K365" s="181"/>
      <c r="L365" s="181"/>
      <c r="M365" s="181"/>
      <c r="N365" s="181"/>
      <c r="O365" s="181"/>
      <c r="P365" s="181"/>
    </row>
    <row r="366" spans="1:34">
      <c r="J366" s="181"/>
      <c r="K366" s="181"/>
      <c r="L366" s="181"/>
      <c r="M366" s="181"/>
      <c r="N366" s="181"/>
      <c r="O366" s="181"/>
      <c r="P366" s="181"/>
    </row>
    <row r="367" spans="1:34">
      <c r="J367" s="181"/>
      <c r="K367" s="181"/>
      <c r="L367" s="181"/>
      <c r="M367" s="181"/>
      <c r="N367" s="181"/>
      <c r="O367" s="181"/>
      <c r="P367" s="181"/>
    </row>
    <row r="368" spans="1:34">
      <c r="J368" s="181"/>
      <c r="K368" s="181"/>
      <c r="L368" s="181"/>
      <c r="M368" s="181"/>
      <c r="N368" s="181"/>
      <c r="O368" s="181"/>
      <c r="P368" s="181"/>
    </row>
    <row r="369" spans="1:43">
      <c r="J369" s="181"/>
      <c r="K369" s="181"/>
      <c r="L369" s="181"/>
      <c r="M369" s="181"/>
      <c r="N369" s="181"/>
      <c r="O369" s="181"/>
      <c r="P369" s="181"/>
    </row>
    <row r="372" spans="1:43" ht="15.5">
      <c r="A372" s="108"/>
      <c r="B372" s="108"/>
      <c r="J372" s="254">
        <f t="shared" ref="J372:O372" si="422">J383/J390</f>
        <v>5.5988597489743655E-3</v>
      </c>
      <c r="K372" s="254">
        <f t="shared" si="422"/>
        <v>0.58191292444238318</v>
      </c>
      <c r="L372" s="254">
        <f t="shared" si="422"/>
        <v>0.98361428739832613</v>
      </c>
      <c r="M372" s="254">
        <f t="shared" si="422"/>
        <v>0.66890504327668088</v>
      </c>
      <c r="N372" s="254">
        <f t="shared" si="422"/>
        <v>0.64697438366175919</v>
      </c>
      <c r="O372" s="254">
        <f t="shared" si="422"/>
        <v>0.66082475598881552</v>
      </c>
      <c r="P372" s="254">
        <f>SUM(K383:O383)/SUM(K390:O390)</f>
        <v>0.599536307581085</v>
      </c>
    </row>
    <row r="373" spans="1:43">
      <c r="J373" s="166">
        <f>J427*((J383/11.63)/((J383/11.63)+J420))*41.868</f>
        <v>306.48078609379996</v>
      </c>
      <c r="K373" s="166">
        <f t="shared" ref="K373:P373" si="423">K427*((K383/11.63)/((K383/11.63)+K420))*41.868</f>
        <v>423587.69121908338</v>
      </c>
      <c r="L373" s="166">
        <f t="shared" si="423"/>
        <v>11660.482213343503</v>
      </c>
      <c r="M373" s="166">
        <f t="shared" si="423"/>
        <v>9741.2986540295879</v>
      </c>
      <c r="N373" s="166">
        <f t="shared" si="423"/>
        <v>83114.515174011991</v>
      </c>
      <c r="O373" s="166">
        <f t="shared" si="423"/>
        <v>33485.397847132896</v>
      </c>
      <c r="P373" s="166">
        <f t="shared" si="423"/>
        <v>561630.9400368653</v>
      </c>
    </row>
    <row r="374" spans="1:43">
      <c r="A374" s="402" t="s">
        <v>396</v>
      </c>
      <c r="J374" s="68" t="s">
        <v>175</v>
      </c>
      <c r="R374" s="68" t="s">
        <v>122</v>
      </c>
      <c r="S374" s="68"/>
      <c r="AJ374" s="68" t="s">
        <v>264</v>
      </c>
    </row>
    <row r="375" spans="1:43" ht="15.5">
      <c r="A375" s="68"/>
      <c r="J375" s="180" t="s">
        <v>5</v>
      </c>
      <c r="K375" s="180" t="s">
        <v>186</v>
      </c>
      <c r="L375" s="180" t="s">
        <v>187</v>
      </c>
      <c r="M375" s="180" t="s">
        <v>190</v>
      </c>
      <c r="N375" s="180" t="s">
        <v>192</v>
      </c>
      <c r="O375" s="180" t="s">
        <v>191</v>
      </c>
      <c r="P375" s="180" t="s">
        <v>189</v>
      </c>
      <c r="Q375" s="2"/>
      <c r="R375" s="180" t="s">
        <v>5</v>
      </c>
      <c r="S375" s="180" t="s">
        <v>186</v>
      </c>
      <c r="T375" s="180" t="s">
        <v>187</v>
      </c>
      <c r="U375" s="180" t="s">
        <v>190</v>
      </c>
      <c r="V375" s="180" t="s">
        <v>192</v>
      </c>
      <c r="W375" s="180" t="s">
        <v>191</v>
      </c>
      <c r="X375" s="180" t="s">
        <v>189</v>
      </c>
      <c r="AA375" s="68" t="s">
        <v>194</v>
      </c>
      <c r="AB375" s="183" t="s">
        <v>193</v>
      </c>
      <c r="AJ375" s="68"/>
      <c r="AK375" s="180" t="s">
        <v>5</v>
      </c>
      <c r="AL375" s="180" t="s">
        <v>186</v>
      </c>
      <c r="AM375" s="180" t="s">
        <v>187</v>
      </c>
      <c r="AN375" s="180" t="s">
        <v>190</v>
      </c>
      <c r="AO375" s="180" t="s">
        <v>192</v>
      </c>
      <c r="AP375" s="180" t="s">
        <v>191</v>
      </c>
      <c r="AQ375" s="180" t="s">
        <v>189</v>
      </c>
    </row>
    <row r="376" spans="1:43" ht="15.5">
      <c r="A376" s="11" t="s">
        <v>16</v>
      </c>
      <c r="J376" s="179">
        <f t="shared" ref="J376:P376" si="424">SUM(J377:J382)</f>
        <v>13304.6</v>
      </c>
      <c r="K376" s="179">
        <f t="shared" si="424"/>
        <v>55891.03</v>
      </c>
      <c r="L376" s="179">
        <f t="shared" si="424"/>
        <v>27.8</v>
      </c>
      <c r="M376" s="179">
        <f t="shared" si="424"/>
        <v>1051.2</v>
      </c>
      <c r="N376" s="179">
        <f t="shared" si="424"/>
        <v>7274.58</v>
      </c>
      <c r="O376" s="179">
        <f t="shared" si="424"/>
        <v>2803.28</v>
      </c>
      <c r="P376" s="179">
        <f t="shared" si="424"/>
        <v>80352.490000000005</v>
      </c>
      <c r="Q376" s="2"/>
      <c r="R376" s="206">
        <v>9.8930000000000007</v>
      </c>
      <c r="S376" s="206">
        <v>6.8170000000000002</v>
      </c>
      <c r="T376" s="206">
        <v>9.4870000000000001</v>
      </c>
      <c r="U376" s="206">
        <v>10.762</v>
      </c>
      <c r="V376" s="206">
        <v>11.23</v>
      </c>
      <c r="W376" s="206">
        <v>9.7680000000000007</v>
      </c>
      <c r="X376" s="451">
        <v>7.8810000000000002</v>
      </c>
      <c r="AA376" s="68" t="s">
        <v>5</v>
      </c>
      <c r="AC376" s="403"/>
      <c r="AJ376" s="11" t="s">
        <v>16</v>
      </c>
      <c r="AK376" s="256">
        <f t="shared" ref="AK376:AK390" si="425">IFERROR(J376*3.6/J395,"")</f>
        <v>0.3638936621853836</v>
      </c>
      <c r="AL376" s="256">
        <f t="shared" ref="AL376:AL390" si="426">IFERROR(K376*3.6/K395,"")</f>
        <v>0.52807104995971044</v>
      </c>
      <c r="AM376" s="256">
        <f t="shared" ref="AM376:AM390" si="427">IFERROR(L376*3.6/L395,"")</f>
        <v>0.37946663855802676</v>
      </c>
      <c r="AN376" s="256">
        <f t="shared" ref="AN376:AN390" si="428">IFERROR(M376*3.6/M395,"")</f>
        <v>0.33449637008434002</v>
      </c>
      <c r="AO376" s="256">
        <f t="shared" ref="AO376:AO390" si="429">IFERROR(N376*3.6/N395,"")</f>
        <v>0.32057548701714178</v>
      </c>
      <c r="AP376" s="256">
        <f t="shared" ref="AP376:AP390" si="430">IFERROR(O376*3.6/O395,"")</f>
        <v>0.36854913567623421</v>
      </c>
      <c r="AQ376" s="256">
        <f t="shared" ref="AQ376:AQ390" si="431">IFERROR(P376*3.6/P395,"")</f>
        <v>0.45676580397457756</v>
      </c>
    </row>
    <row r="377" spans="1:43" ht="15.5">
      <c r="A377" s="10" t="s">
        <v>17</v>
      </c>
      <c r="J377" s="181"/>
      <c r="K377" s="181">
        <v>229.88</v>
      </c>
      <c r="L377" s="181">
        <v>27.8</v>
      </c>
      <c r="M377" s="181">
        <v>182</v>
      </c>
      <c r="N377" s="181">
        <v>1403.18</v>
      </c>
      <c r="O377" s="181">
        <v>2783.38</v>
      </c>
      <c r="P377" s="179">
        <f t="shared" ref="P377:P382" si="432">SUM(J377:O377)</f>
        <v>4626.24</v>
      </c>
      <c r="Q377" s="2"/>
      <c r="R377" s="178">
        <v>0</v>
      </c>
      <c r="S377" s="178">
        <v>10.279</v>
      </c>
      <c r="T377" s="178">
        <v>9.4870000000000001</v>
      </c>
      <c r="U377" s="178">
        <v>9.5</v>
      </c>
      <c r="V377" s="178">
        <v>8.6769999999999996</v>
      </c>
      <c r="W377" s="178">
        <v>9.7729999999999997</v>
      </c>
      <c r="X377" s="206">
        <v>9.4534000000000002</v>
      </c>
      <c r="Z377" s="169">
        <f>AA377*AB377</f>
        <v>601258.01217640855</v>
      </c>
      <c r="AA377" s="207">
        <v>6374.10778838853</v>
      </c>
      <c r="AB377" s="207">
        <v>94.328183980775705</v>
      </c>
      <c r="AC377" s="186" t="s">
        <v>58</v>
      </c>
      <c r="AF377" s="185"/>
      <c r="AG377" s="207"/>
      <c r="AH377" s="207"/>
      <c r="AJ377" s="10" t="s">
        <v>17</v>
      </c>
      <c r="AK377" s="56" t="str">
        <f t="shared" si="425"/>
        <v/>
      </c>
      <c r="AL377" s="56">
        <f t="shared" si="426"/>
        <v>0.35022862146123168</v>
      </c>
      <c r="AM377" s="56">
        <f t="shared" si="427"/>
        <v>0.37946663855802676</v>
      </c>
      <c r="AN377" s="56">
        <f t="shared" si="428"/>
        <v>0.37894736842105264</v>
      </c>
      <c r="AO377" s="56">
        <f t="shared" si="429"/>
        <v>0.41488993891898124</v>
      </c>
      <c r="AP377" s="56">
        <f t="shared" si="430"/>
        <v>0.36836181315870259</v>
      </c>
      <c r="AQ377" s="256">
        <f t="shared" si="431"/>
        <v>0.38082108460351299</v>
      </c>
    </row>
    <row r="378" spans="1:43" ht="15.5">
      <c r="A378" s="10" t="s">
        <v>18</v>
      </c>
      <c r="J378" s="181"/>
      <c r="K378" s="181">
        <v>1247.45</v>
      </c>
      <c r="L378" s="181"/>
      <c r="M378" s="181">
        <v>6.8</v>
      </c>
      <c r="N378" s="181">
        <v>10.6</v>
      </c>
      <c r="O378" s="181">
        <v>0.5</v>
      </c>
      <c r="P378" s="179">
        <f t="shared" si="432"/>
        <v>1265.3499999999999</v>
      </c>
      <c r="Q378" s="2"/>
      <c r="R378" s="178">
        <v>0</v>
      </c>
      <c r="S378" s="178">
        <v>7.3639999999999999</v>
      </c>
      <c r="T378" s="178">
        <v>0</v>
      </c>
      <c r="U378" s="178">
        <v>15.443</v>
      </c>
      <c r="V378" s="178">
        <v>13.388</v>
      </c>
      <c r="W378" s="178">
        <v>11.255000000000001</v>
      </c>
      <c r="X378" s="206">
        <v>7.4589999999999996</v>
      </c>
      <c r="Z378" s="169">
        <f>AA378*AB378</f>
        <v>90.212499946757305</v>
      </c>
      <c r="AA378" s="207">
        <v>0.956368458923611</v>
      </c>
      <c r="AB378" s="207">
        <v>94.328183980775705</v>
      </c>
      <c r="AC378" s="186" t="s">
        <v>59</v>
      </c>
      <c r="AF378" s="185"/>
      <c r="AG378" s="207"/>
      <c r="AH378" s="207"/>
      <c r="AJ378" s="10" t="s">
        <v>18</v>
      </c>
      <c r="AK378" s="56" t="str">
        <f t="shared" si="425"/>
        <v/>
      </c>
      <c r="AL378" s="56">
        <f t="shared" si="426"/>
        <v>0.48886474741988062</v>
      </c>
      <c r="AM378" s="56" t="str">
        <f t="shared" si="427"/>
        <v/>
      </c>
      <c r="AN378" s="56">
        <f t="shared" si="428"/>
        <v>0.23311532733277213</v>
      </c>
      <c r="AO378" s="56">
        <f t="shared" si="429"/>
        <v>0.268897520167314</v>
      </c>
      <c r="AP378" s="56">
        <f t="shared" si="430"/>
        <v>0.31985784095957354</v>
      </c>
      <c r="AQ378" s="256">
        <f t="shared" si="431"/>
        <v>0.48261138138219112</v>
      </c>
    </row>
    <row r="379" spans="1:43" ht="15.5">
      <c r="A379" s="10" t="s">
        <v>19</v>
      </c>
      <c r="J379" s="181">
        <v>13304.6</v>
      </c>
      <c r="K379" s="181">
        <v>435</v>
      </c>
      <c r="L379" s="181"/>
      <c r="M379" s="181">
        <v>856</v>
      </c>
      <c r="N379" s="181">
        <v>4198.3</v>
      </c>
      <c r="O379" s="181">
        <v>8.5</v>
      </c>
      <c r="P379" s="179">
        <f t="shared" si="432"/>
        <v>18802.400000000001</v>
      </c>
      <c r="Q379" s="2"/>
      <c r="R379" s="178">
        <v>9.8930000000000007</v>
      </c>
      <c r="S379" s="178">
        <v>9.907</v>
      </c>
      <c r="T379" s="178">
        <v>0</v>
      </c>
      <c r="U379" s="178">
        <v>11.013</v>
      </c>
      <c r="V379" s="178">
        <v>13.49</v>
      </c>
      <c r="W379" s="178">
        <v>9.0440000000000005</v>
      </c>
      <c r="X379" s="206">
        <v>10.747</v>
      </c>
      <c r="Z379" s="169">
        <f>AA379*AB379</f>
        <v>0</v>
      </c>
      <c r="AA379" s="207"/>
      <c r="AB379" s="207">
        <v>101</v>
      </c>
      <c r="AC379" s="186" t="s">
        <v>60</v>
      </c>
      <c r="AF379" s="185"/>
      <c r="AG379" s="207"/>
      <c r="AH379" s="207"/>
      <c r="AJ379" s="10" t="s">
        <v>19</v>
      </c>
      <c r="AK379" s="56">
        <f t="shared" si="425"/>
        <v>0.3638936621853836</v>
      </c>
      <c r="AL379" s="56">
        <f t="shared" si="426"/>
        <v>0.36337942868678713</v>
      </c>
      <c r="AM379" s="56" t="str">
        <f t="shared" si="427"/>
        <v/>
      </c>
      <c r="AN379" s="56">
        <f t="shared" si="428"/>
        <v>0.32688640697357663</v>
      </c>
      <c r="AO379" s="56">
        <f t="shared" si="429"/>
        <v>0.26686434395848779</v>
      </c>
      <c r="AP379" s="56">
        <f t="shared" si="430"/>
        <v>0.39805395842547542</v>
      </c>
      <c r="AQ379" s="256">
        <f t="shared" si="431"/>
        <v>0.33497450251424421</v>
      </c>
    </row>
    <row r="380" spans="1:43" ht="15.5">
      <c r="A380" s="10" t="s">
        <v>20</v>
      </c>
      <c r="J380" s="181"/>
      <c r="K380" s="181">
        <v>53978.6</v>
      </c>
      <c r="L380" s="181"/>
      <c r="M380" s="181">
        <v>6.4</v>
      </c>
      <c r="N380" s="181">
        <v>1662.5</v>
      </c>
      <c r="O380" s="181">
        <v>10.9</v>
      </c>
      <c r="P380" s="179">
        <f t="shared" si="432"/>
        <v>55658.400000000001</v>
      </c>
      <c r="Q380" s="2"/>
      <c r="R380" s="178">
        <v>0</v>
      </c>
      <c r="S380" s="178">
        <v>6.7649999999999997</v>
      </c>
      <c r="T380" s="178">
        <v>0</v>
      </c>
      <c r="U380" s="178">
        <v>8.1790000000000003</v>
      </c>
      <c r="V380" s="178">
        <v>7.6630000000000003</v>
      </c>
      <c r="W380" s="178">
        <v>8.9960000000000004</v>
      </c>
      <c r="X380" s="206">
        <v>6.7919999999999998</v>
      </c>
      <c r="Z380" s="169">
        <f>AA380*AB380</f>
        <v>0</v>
      </c>
      <c r="AA380" s="207">
        <v>0</v>
      </c>
      <c r="AB380" s="207">
        <v>96.1</v>
      </c>
      <c r="AC380" s="186" t="s">
        <v>61</v>
      </c>
      <c r="AF380" s="185"/>
      <c r="AG380" s="207"/>
      <c r="AH380" s="207"/>
      <c r="AJ380" s="10" t="s">
        <v>20</v>
      </c>
      <c r="AK380" s="56" t="str">
        <f t="shared" si="425"/>
        <v/>
      </c>
      <c r="AL380" s="56">
        <f t="shared" si="426"/>
        <v>0.53215077605321504</v>
      </c>
      <c r="AM380" s="56" t="str">
        <f t="shared" si="427"/>
        <v/>
      </c>
      <c r="AN380" s="56">
        <f t="shared" si="428"/>
        <v>0.44015160777601176</v>
      </c>
      <c r="AO380" s="56">
        <f t="shared" si="429"/>
        <v>0.46978989951716033</v>
      </c>
      <c r="AP380" s="56">
        <f t="shared" si="430"/>
        <v>0.40017785682525564</v>
      </c>
      <c r="AQ380" s="256">
        <f t="shared" si="431"/>
        <v>0.53000236657134003</v>
      </c>
    </row>
    <row r="381" spans="1:43" ht="15.5">
      <c r="A381" s="10" t="s">
        <v>22</v>
      </c>
      <c r="J381" s="181"/>
      <c r="K381" s="181"/>
      <c r="L381" s="181"/>
      <c r="M381" s="181"/>
      <c r="N381" s="181"/>
      <c r="O381" s="181"/>
      <c r="P381" s="179">
        <f t="shared" si="432"/>
        <v>0</v>
      </c>
      <c r="Q381" s="2"/>
      <c r="R381" s="178">
        <v>0</v>
      </c>
      <c r="S381" s="178">
        <v>0</v>
      </c>
      <c r="T381" s="178">
        <v>0</v>
      </c>
      <c r="U381" s="178">
        <v>0</v>
      </c>
      <c r="V381" s="178">
        <v>0</v>
      </c>
      <c r="W381" s="178">
        <v>0</v>
      </c>
      <c r="X381" s="206">
        <v>0</v>
      </c>
      <c r="AA381" t="s">
        <v>186</v>
      </c>
      <c r="AC381" s="403"/>
      <c r="AF381" s="210"/>
      <c r="AG381" s="210"/>
      <c r="AH381" s="210"/>
      <c r="AJ381" s="10" t="s">
        <v>22</v>
      </c>
      <c r="AK381" s="56" t="str">
        <f t="shared" si="425"/>
        <v/>
      </c>
      <c r="AL381" s="56" t="str">
        <f t="shared" si="426"/>
        <v/>
      </c>
      <c r="AM381" s="56" t="str">
        <f t="shared" si="427"/>
        <v/>
      </c>
      <c r="AN381" s="56" t="str">
        <f t="shared" si="428"/>
        <v/>
      </c>
      <c r="AO381" s="56" t="str">
        <f t="shared" si="429"/>
        <v/>
      </c>
      <c r="AP381" s="56" t="str">
        <f t="shared" si="430"/>
        <v/>
      </c>
      <c r="AQ381" s="256" t="str">
        <f t="shared" si="431"/>
        <v/>
      </c>
    </row>
    <row r="382" spans="1:43" ht="15.5">
      <c r="A382" s="10" t="s">
        <v>349</v>
      </c>
      <c r="J382" s="181"/>
      <c r="K382" s="181">
        <v>0.1</v>
      </c>
      <c r="L382" s="181"/>
      <c r="M382" s="181"/>
      <c r="N382" s="181"/>
      <c r="O382" s="181"/>
      <c r="P382" s="179">
        <f t="shared" si="432"/>
        <v>0.1</v>
      </c>
      <c r="Q382" s="2"/>
      <c r="R382" s="178">
        <v>0</v>
      </c>
      <c r="S382" s="178">
        <v>6.9089999999999998</v>
      </c>
      <c r="T382" s="178">
        <v>0</v>
      </c>
      <c r="U382" s="178">
        <v>0</v>
      </c>
      <c r="V382" s="178">
        <v>0</v>
      </c>
      <c r="W382" s="178">
        <v>0</v>
      </c>
      <c r="X382" s="206">
        <v>6.9089999999999998</v>
      </c>
      <c r="Z382" s="169"/>
      <c r="AA382" s="207">
        <v>19609.000150509321</v>
      </c>
      <c r="AB382" s="207">
        <v>57.514354246521499</v>
      </c>
      <c r="AC382" s="403"/>
      <c r="AF382" s="185"/>
      <c r="AG382" s="207"/>
      <c r="AH382" s="207"/>
      <c r="AJ382" s="10" t="s">
        <v>349</v>
      </c>
      <c r="AK382" s="56" t="str">
        <f t="shared" si="425"/>
        <v/>
      </c>
      <c r="AL382" s="56" t="str">
        <f t="shared" si="426"/>
        <v/>
      </c>
      <c r="AM382" s="56" t="str">
        <f t="shared" si="427"/>
        <v/>
      </c>
      <c r="AN382" s="56" t="str">
        <f t="shared" si="428"/>
        <v/>
      </c>
      <c r="AO382" s="56" t="str">
        <f t="shared" si="429"/>
        <v/>
      </c>
      <c r="AP382" s="56" t="str">
        <f t="shared" si="430"/>
        <v/>
      </c>
      <c r="AQ382" s="256" t="str">
        <f t="shared" si="431"/>
        <v/>
      </c>
    </row>
    <row r="383" spans="1:43" ht="15.5">
      <c r="A383" s="11" t="s">
        <v>23</v>
      </c>
      <c r="J383" s="179">
        <f t="shared" ref="J383:P383" si="433">SUM(J384:J389)</f>
        <v>74.910000000000011</v>
      </c>
      <c r="K383" s="179">
        <f t="shared" si="433"/>
        <v>77791.72</v>
      </c>
      <c r="L383" s="179">
        <f t="shared" si="433"/>
        <v>1668.8</v>
      </c>
      <c r="M383" s="179">
        <f t="shared" si="433"/>
        <v>2123.7199999999998</v>
      </c>
      <c r="N383" s="179">
        <f t="shared" si="433"/>
        <v>13331.8</v>
      </c>
      <c r="O383" s="179">
        <f t="shared" si="433"/>
        <v>5461.7100000000009</v>
      </c>
      <c r="P383" s="179">
        <f t="shared" si="433"/>
        <v>100452.65999999999</v>
      </c>
      <c r="Q383" s="2"/>
      <c r="R383" s="206">
        <v>4.3959999999999999</v>
      </c>
      <c r="S383" s="206">
        <v>6.1319999999999997</v>
      </c>
      <c r="T383" s="206">
        <v>8.4689999999999994</v>
      </c>
      <c r="U383" s="206">
        <v>5.984</v>
      </c>
      <c r="V383" s="206">
        <v>8.1560000000000006</v>
      </c>
      <c r="W383" s="206">
        <v>7.3540000000000001</v>
      </c>
      <c r="X383" s="451">
        <v>6.5010000000000003</v>
      </c>
      <c r="Z383" s="169"/>
      <c r="AA383" s="419" t="s">
        <v>213</v>
      </c>
      <c r="AB383" s="342"/>
      <c r="AC383" s="403"/>
      <c r="AF383" s="210"/>
      <c r="AG383" s="210"/>
      <c r="AH383" s="210"/>
      <c r="AJ383" s="11" t="s">
        <v>23</v>
      </c>
      <c r="AK383" s="256">
        <f t="shared" si="425"/>
        <v>0.81903563258745982</v>
      </c>
      <c r="AL383" s="256">
        <f t="shared" si="426"/>
        <v>0.58696905306942204</v>
      </c>
      <c r="AM383" s="256">
        <f t="shared" si="427"/>
        <v>0.42508528480136704</v>
      </c>
      <c r="AN383" s="256">
        <f t="shared" si="428"/>
        <v>0.60159460396568898</v>
      </c>
      <c r="AO383" s="256">
        <f t="shared" si="429"/>
        <v>0.44142449569344594</v>
      </c>
      <c r="AP383" s="256">
        <f t="shared" si="430"/>
        <v>0.48948237510109993</v>
      </c>
      <c r="AQ383" s="256">
        <f t="shared" si="431"/>
        <v>0.55364569944741859</v>
      </c>
    </row>
    <row r="384" spans="1:43" ht="15.5">
      <c r="A384" s="10" t="s">
        <v>24</v>
      </c>
      <c r="J384" s="181"/>
      <c r="K384" s="181">
        <v>10761.3</v>
      </c>
      <c r="L384" s="181">
        <v>134</v>
      </c>
      <c r="M384" s="181">
        <v>24.7</v>
      </c>
      <c r="N384" s="181">
        <v>2105.5</v>
      </c>
      <c r="O384" s="181">
        <v>5426.7</v>
      </c>
      <c r="P384" s="179">
        <f t="shared" ref="P384:P389" si="434">SUM(J384:O384)</f>
        <v>18452.2</v>
      </c>
      <c r="Q384" s="2"/>
      <c r="R384" s="178">
        <v>0</v>
      </c>
      <c r="S384" s="178">
        <v>5.875</v>
      </c>
      <c r="T384" s="178">
        <v>6.6890000000000001</v>
      </c>
      <c r="U384" s="178">
        <v>6.1909999999999998</v>
      </c>
      <c r="V384" s="178">
        <v>7.468</v>
      </c>
      <c r="W384" s="178">
        <v>7.3529999999999998</v>
      </c>
      <c r="X384" s="206">
        <v>6.4980000000000002</v>
      </c>
      <c r="Z384" s="169">
        <f>AA384*AB384</f>
        <v>417.6754858848069</v>
      </c>
      <c r="AA384" s="207">
        <v>2.1656654145074601</v>
      </c>
      <c r="AB384" s="207">
        <v>192.86242606399998</v>
      </c>
      <c r="AC384" s="186" t="s">
        <v>140</v>
      </c>
      <c r="AF384" s="185"/>
      <c r="AG384" s="207"/>
      <c r="AH384" s="207"/>
      <c r="AJ384" s="10" t="s">
        <v>24</v>
      </c>
      <c r="AK384" s="56" t="str">
        <f t="shared" si="425"/>
        <v/>
      </c>
      <c r="AL384" s="56">
        <f t="shared" si="426"/>
        <v>0.61276595744680851</v>
      </c>
      <c r="AM384" s="56">
        <f t="shared" si="427"/>
        <v>0.53819703991628054</v>
      </c>
      <c r="AN384" s="56">
        <f t="shared" si="428"/>
        <v>0.58148925860119527</v>
      </c>
      <c r="AO384" s="56">
        <f t="shared" si="429"/>
        <v>0.48205677557579008</v>
      </c>
      <c r="AP384" s="56">
        <f t="shared" si="430"/>
        <v>0.48959608323133413</v>
      </c>
      <c r="AQ384" s="256">
        <f t="shared" si="431"/>
        <v>0.55403563615582563</v>
      </c>
    </row>
    <row r="385" spans="1:43" ht="15.5">
      <c r="A385" s="10" t="s">
        <v>25</v>
      </c>
      <c r="J385" s="181"/>
      <c r="K385" s="181">
        <v>4447.54</v>
      </c>
      <c r="L385" s="181"/>
      <c r="M385" s="181">
        <v>447.22</v>
      </c>
      <c r="N385" s="181">
        <v>22</v>
      </c>
      <c r="O385" s="181">
        <v>7.3</v>
      </c>
      <c r="P385" s="179">
        <f t="shared" si="434"/>
        <v>4924.0600000000004</v>
      </c>
      <c r="Q385" s="2"/>
      <c r="R385" s="178">
        <v>0</v>
      </c>
      <c r="S385" s="178">
        <v>5.95</v>
      </c>
      <c r="T385" s="178">
        <v>4.8730000000000002</v>
      </c>
      <c r="U385" s="178">
        <v>5.1769999999999996</v>
      </c>
      <c r="V385" s="178">
        <v>9.2780000000000005</v>
      </c>
      <c r="W385" s="178">
        <v>6.7789999999999999</v>
      </c>
      <c r="X385" s="206">
        <v>5.8680000000000003</v>
      </c>
      <c r="Z385" s="169">
        <f>AA385*AB385</f>
        <v>89241.464153553708</v>
      </c>
      <c r="AA385" s="207">
        <v>356.56331656417501</v>
      </c>
      <c r="AB385" s="207">
        <v>250.28223602326699</v>
      </c>
      <c r="AC385" s="186" t="s">
        <v>141</v>
      </c>
      <c r="AF385" s="185"/>
      <c r="AG385" s="207"/>
      <c r="AH385" s="207"/>
      <c r="AJ385" s="10" t="s">
        <v>25</v>
      </c>
      <c r="AK385" s="56" t="str">
        <f t="shared" si="425"/>
        <v/>
      </c>
      <c r="AL385" s="56">
        <f t="shared" si="426"/>
        <v>0.60504201680672265</v>
      </c>
      <c r="AM385" s="56" t="str">
        <f t="shared" si="427"/>
        <v/>
      </c>
      <c r="AN385" s="56">
        <f t="shared" si="428"/>
        <v>0.6953834266949972</v>
      </c>
      <c r="AO385" s="56">
        <f t="shared" si="429"/>
        <v>0.38801465833153698</v>
      </c>
      <c r="AP385" s="56">
        <f t="shared" si="430"/>
        <v>0.53105177754831101</v>
      </c>
      <c r="AQ385" s="256">
        <f t="shared" si="431"/>
        <v>0.61059467979972815</v>
      </c>
    </row>
    <row r="386" spans="1:43" ht="15.5">
      <c r="A386" s="10" t="s">
        <v>26</v>
      </c>
      <c r="J386" s="181"/>
      <c r="K386" s="181">
        <v>61073.14</v>
      </c>
      <c r="L386" s="181">
        <v>915.6</v>
      </c>
      <c r="M386" s="181">
        <v>1322.1</v>
      </c>
      <c r="N386" s="181">
        <v>6512.3</v>
      </c>
      <c r="O386" s="181">
        <v>26.5</v>
      </c>
      <c r="P386" s="179">
        <f t="shared" si="434"/>
        <v>69849.64</v>
      </c>
      <c r="Q386" s="2"/>
      <c r="R386" s="178">
        <v>0</v>
      </c>
      <c r="S386" s="90">
        <v>6.16</v>
      </c>
      <c r="T386" s="178">
        <v>8.1449999999999996</v>
      </c>
      <c r="U386" s="178">
        <v>6.4829999999999997</v>
      </c>
      <c r="V386" s="178">
        <v>6.0250000000000004</v>
      </c>
      <c r="W386" s="178">
        <v>7.7130000000000001</v>
      </c>
      <c r="X386" s="206">
        <v>6.18</v>
      </c>
      <c r="Z386" s="169">
        <f>AA386*AB386</f>
        <v>8377.042320016224</v>
      </c>
      <c r="AA386" s="207">
        <v>190.35219265860999</v>
      </c>
      <c r="AB386" s="207">
        <v>44.008120962599875</v>
      </c>
      <c r="AC386" s="186" t="s">
        <v>142</v>
      </c>
      <c r="AF386" s="185"/>
      <c r="AG386" s="207"/>
      <c r="AH386" s="207"/>
      <c r="AJ386" s="10" t="s">
        <v>26</v>
      </c>
      <c r="AK386" s="56" t="str">
        <f t="shared" si="425"/>
        <v/>
      </c>
      <c r="AL386" s="56">
        <f t="shared" si="426"/>
        <v>0.5844155844155845</v>
      </c>
      <c r="AM386" s="56">
        <f t="shared" si="427"/>
        <v>0.44198895027624313</v>
      </c>
      <c r="AN386" s="56">
        <f t="shared" si="428"/>
        <v>0.55529847292919943</v>
      </c>
      <c r="AO386" s="56">
        <f t="shared" si="429"/>
        <v>0.59751037344398339</v>
      </c>
      <c r="AP386" s="56">
        <f t="shared" si="430"/>
        <v>0.46674445740956833</v>
      </c>
      <c r="AQ386" s="256">
        <f t="shared" si="431"/>
        <v>0.58251144479484218</v>
      </c>
    </row>
    <row r="387" spans="1:43" ht="15.5">
      <c r="A387" s="10" t="s">
        <v>27</v>
      </c>
      <c r="J387" s="181">
        <v>0.01</v>
      </c>
      <c r="K387" s="181">
        <v>549.32000000000005</v>
      </c>
      <c r="L387" s="181"/>
      <c r="M387" s="181">
        <v>161.5</v>
      </c>
      <c r="N387" s="181">
        <v>641.6</v>
      </c>
      <c r="O387" s="181">
        <v>0.01</v>
      </c>
      <c r="P387" s="179">
        <f t="shared" si="434"/>
        <v>1352.44</v>
      </c>
      <c r="Q387" s="2"/>
      <c r="R387" s="178">
        <v>0</v>
      </c>
      <c r="S387" s="178">
        <v>4.931</v>
      </c>
      <c r="T387" s="178">
        <v>0</v>
      </c>
      <c r="U387" s="178">
        <v>5.2249999999999996</v>
      </c>
      <c r="V387" s="178">
        <v>5.952</v>
      </c>
      <c r="W387" s="178">
        <v>0</v>
      </c>
      <c r="X387" s="206">
        <v>5.45</v>
      </c>
      <c r="Z387" s="169">
        <f>AA387*AB387</f>
        <v>396.2407439638323</v>
      </c>
      <c r="AA387" s="207">
        <v>7.0631148656654599</v>
      </c>
      <c r="AB387" s="207">
        <v>56.1</v>
      </c>
      <c r="AC387" s="187" t="s">
        <v>196</v>
      </c>
      <c r="AF387" s="210"/>
      <c r="AG387" s="210"/>
      <c r="AH387" s="210"/>
      <c r="AJ387" s="10" t="s">
        <v>27</v>
      </c>
      <c r="AK387" s="56" t="str">
        <f t="shared" si="425"/>
        <v/>
      </c>
      <c r="AL387" s="56">
        <f t="shared" si="426"/>
        <v>0.73007503548975861</v>
      </c>
      <c r="AM387" s="56" t="str">
        <f t="shared" si="427"/>
        <v/>
      </c>
      <c r="AN387" s="56">
        <f t="shared" si="428"/>
        <v>0.68899521531100483</v>
      </c>
      <c r="AO387" s="56">
        <f t="shared" si="429"/>
        <v>0.60483870967741937</v>
      </c>
      <c r="AP387" s="56" t="str">
        <f t="shared" si="430"/>
        <v/>
      </c>
      <c r="AQ387" s="256">
        <f t="shared" si="431"/>
        <v>0.66050210300908729</v>
      </c>
    </row>
    <row r="388" spans="1:43" ht="15.5">
      <c r="A388" s="10" t="s">
        <v>28</v>
      </c>
      <c r="J388" s="181">
        <v>74.900000000000006</v>
      </c>
      <c r="K388" s="181">
        <v>960.12</v>
      </c>
      <c r="L388" s="181">
        <v>619.20000000000005</v>
      </c>
      <c r="M388" s="181">
        <v>168.2</v>
      </c>
      <c r="N388" s="181">
        <v>4050.4</v>
      </c>
      <c r="O388" s="181">
        <v>1.1000000000000001</v>
      </c>
      <c r="P388" s="179">
        <f t="shared" si="434"/>
        <v>5873.92</v>
      </c>
      <c r="Q388" s="2"/>
      <c r="R388" s="178">
        <v>4.3959999999999999</v>
      </c>
      <c r="S388" s="178">
        <v>8.8610000000000007</v>
      </c>
      <c r="T388" s="178">
        <v>9.3330000000000002</v>
      </c>
      <c r="U388" s="178">
        <v>4.907</v>
      </c>
      <c r="V388" s="178">
        <v>12.281000000000001</v>
      </c>
      <c r="W388" s="178">
        <v>11.706</v>
      </c>
      <c r="X388" s="206">
        <v>11.1</v>
      </c>
      <c r="AA388" s="419" t="s">
        <v>214</v>
      </c>
      <c r="AB388" s="342"/>
      <c r="AC388" s="403"/>
      <c r="AJ388" s="10" t="s">
        <v>28</v>
      </c>
      <c r="AK388" s="56">
        <f t="shared" si="425"/>
        <v>0.81892629663330307</v>
      </c>
      <c r="AL388" s="56">
        <f t="shared" si="426"/>
        <v>0.4062746868299289</v>
      </c>
      <c r="AM388" s="56">
        <f t="shared" si="427"/>
        <v>0.38572806171648988</v>
      </c>
      <c r="AN388" s="56">
        <f t="shared" si="428"/>
        <v>0.73364581210515589</v>
      </c>
      <c r="AO388" s="56">
        <f t="shared" si="429"/>
        <v>0.29313573813207394</v>
      </c>
      <c r="AP388" s="56">
        <f t="shared" si="430"/>
        <v>0.30753459764223479</v>
      </c>
      <c r="AQ388" s="256">
        <f t="shared" si="431"/>
        <v>0.32434142812629291</v>
      </c>
    </row>
    <row r="389" spans="1:43" ht="15.5">
      <c r="A389" s="10" t="s">
        <v>351</v>
      </c>
      <c r="J389" s="181"/>
      <c r="K389" s="181">
        <v>0.3</v>
      </c>
      <c r="L389" s="181"/>
      <c r="M389" s="181"/>
      <c r="N389" s="181"/>
      <c r="O389" s="181">
        <v>0.1</v>
      </c>
      <c r="P389" s="179">
        <f t="shared" si="434"/>
        <v>0.4</v>
      </c>
      <c r="Q389" s="2"/>
      <c r="R389" s="178">
        <v>0</v>
      </c>
      <c r="S389" s="178">
        <v>7.7359999999999998</v>
      </c>
      <c r="T389" s="178">
        <v>0</v>
      </c>
      <c r="U389" s="178">
        <v>0</v>
      </c>
      <c r="V389" s="178">
        <v>0</v>
      </c>
      <c r="W389" s="178">
        <v>10.246</v>
      </c>
      <c r="X389" s="206">
        <v>8.4749999999999996</v>
      </c>
      <c r="Z389" s="169">
        <f t="shared" ref="Z389:Z395" si="435">AA389*AB389</f>
        <v>1.7716096276989897</v>
      </c>
      <c r="AA389" s="207">
        <v>2.4777757030755101E-2</v>
      </c>
      <c r="AB389" s="207">
        <v>71.5</v>
      </c>
      <c r="AC389" s="186" t="s">
        <v>65</v>
      </c>
      <c r="AF389" s="207"/>
      <c r="AG389" s="207"/>
      <c r="AH389" s="207"/>
      <c r="AJ389" s="10" t="s">
        <v>351</v>
      </c>
      <c r="AK389" s="56" t="str">
        <f t="shared" si="425"/>
        <v/>
      </c>
      <c r="AL389" s="56" t="str">
        <f t="shared" si="426"/>
        <v/>
      </c>
      <c r="AM389" s="56" t="str">
        <f t="shared" si="427"/>
        <v/>
      </c>
      <c r="AN389" s="56" t="str">
        <f t="shared" si="428"/>
        <v/>
      </c>
      <c r="AO389" s="56" t="str">
        <f t="shared" si="429"/>
        <v/>
      </c>
      <c r="AP389" s="56" t="str">
        <f t="shared" si="430"/>
        <v/>
      </c>
      <c r="AQ389" s="256" t="str">
        <f t="shared" si="431"/>
        <v/>
      </c>
    </row>
    <row r="390" spans="1:43" ht="15.5">
      <c r="A390" s="11" t="s">
        <v>9</v>
      </c>
      <c r="J390" s="179">
        <f t="shared" ref="J390:O390" si="436">J376+J383</f>
        <v>13379.51</v>
      </c>
      <c r="K390" s="179">
        <f t="shared" si="436"/>
        <v>133682.75</v>
      </c>
      <c r="L390" s="179">
        <f t="shared" si="436"/>
        <v>1696.6</v>
      </c>
      <c r="M390" s="179">
        <f t="shared" si="436"/>
        <v>3174.92</v>
      </c>
      <c r="N390" s="179">
        <f t="shared" si="436"/>
        <v>20606.379999999997</v>
      </c>
      <c r="O390" s="179">
        <f t="shared" si="436"/>
        <v>8264.9900000000016</v>
      </c>
      <c r="P390" s="785">
        <f>P376+P383+'3'!$AF$27*1000</f>
        <v>181306.63429092997</v>
      </c>
      <c r="Q390" s="2"/>
      <c r="R390" s="206">
        <v>9.8620000000000001</v>
      </c>
      <c r="S390" s="206">
        <v>6.4180000000000001</v>
      </c>
      <c r="T390" s="206">
        <v>8.4860000000000007</v>
      </c>
      <c r="U390" s="206">
        <v>7.5659999999999998</v>
      </c>
      <c r="V390" s="206">
        <v>9.2409999999999997</v>
      </c>
      <c r="W390" s="206">
        <v>8.173</v>
      </c>
      <c r="X390" s="206">
        <v>7.1440000000000001</v>
      </c>
      <c r="Z390" s="169">
        <f t="shared" si="435"/>
        <v>0</v>
      </c>
      <c r="AA390" s="207">
        <v>0</v>
      </c>
      <c r="AB390" s="207">
        <v>97.286951941375108</v>
      </c>
      <c r="AC390" s="186" t="s">
        <v>66</v>
      </c>
      <c r="AF390" s="207"/>
      <c r="AG390" s="207"/>
      <c r="AH390" s="207"/>
      <c r="AJ390" s="11" t="s">
        <v>9</v>
      </c>
      <c r="AK390" s="256">
        <f t="shared" si="425"/>
        <v>0.36502938278123259</v>
      </c>
      <c r="AL390" s="256">
        <f t="shared" si="426"/>
        <v>0.56081755607601236</v>
      </c>
      <c r="AM390" s="256">
        <f t="shared" si="427"/>
        <v>0.42424957491064463</v>
      </c>
      <c r="AN390" s="256">
        <f t="shared" si="428"/>
        <v>0.47580123746107061</v>
      </c>
      <c r="AO390" s="256">
        <f t="shared" si="429"/>
        <v>0.3895786303186537</v>
      </c>
      <c r="AP390" s="256">
        <f t="shared" si="430"/>
        <v>0.44046136499920246</v>
      </c>
      <c r="AQ390" s="256">
        <f t="shared" si="431"/>
        <v>0.50735763905773312</v>
      </c>
    </row>
    <row r="391" spans="1:43">
      <c r="J391" s="147">
        <f t="shared" ref="J391:P391" si="437">J383/11.63</f>
        <v>6.4411006018916597</v>
      </c>
      <c r="K391" s="147">
        <f t="shared" si="437"/>
        <v>6688.8839208942391</v>
      </c>
      <c r="L391" s="147">
        <f t="shared" si="437"/>
        <v>143.49097162510748</v>
      </c>
      <c r="M391" s="147">
        <f t="shared" si="437"/>
        <v>182.60705073086842</v>
      </c>
      <c r="N391" s="147">
        <f t="shared" si="437"/>
        <v>1146.3284608770421</v>
      </c>
      <c r="O391" s="147">
        <f t="shared" si="437"/>
        <v>469.62252794496993</v>
      </c>
      <c r="P391" s="147">
        <f t="shared" si="437"/>
        <v>8637.3740326741172</v>
      </c>
      <c r="Z391" s="169">
        <f t="shared" si="435"/>
        <v>170.62171803501212</v>
      </c>
      <c r="AA391" s="207">
        <v>2.7039891923139798</v>
      </c>
      <c r="AB391" s="207">
        <v>63.1</v>
      </c>
      <c r="AC391" s="186" t="s">
        <v>68</v>
      </c>
      <c r="AF391" s="207"/>
      <c r="AG391" s="207"/>
      <c r="AH391" s="207"/>
    </row>
    <row r="392" spans="1:43">
      <c r="J392" s="56"/>
      <c r="K392" s="56">
        <f>SUM(K383:M383)/SUM(K390:M390)</f>
        <v>0.58882515854617834</v>
      </c>
      <c r="L392" s="56"/>
      <c r="M392" s="56"/>
      <c r="N392" s="56">
        <f>N383/N390</f>
        <v>0.64697438366175919</v>
      </c>
      <c r="O392" s="56">
        <f>O383/O390</f>
        <v>0.66082475598881552</v>
      </c>
      <c r="Z392" s="169">
        <f t="shared" si="435"/>
        <v>16441.770558888795</v>
      </c>
      <c r="AA392" s="207">
        <v>281.899110375107</v>
      </c>
      <c r="AB392" s="207">
        <v>58.325017546208898</v>
      </c>
      <c r="AC392" s="186" t="s">
        <v>69</v>
      </c>
      <c r="AF392" s="207"/>
      <c r="AG392" s="207"/>
      <c r="AH392" s="207"/>
      <c r="AJ392" s="68"/>
    </row>
    <row r="393" spans="1:43">
      <c r="J393" s="68" t="s">
        <v>165</v>
      </c>
      <c r="K393" s="56">
        <f>(SUM(K402:M402)/41.868)/SUM(K427:M427)</f>
        <v>0.74148017683969392</v>
      </c>
      <c r="L393" s="56"/>
      <c r="M393" s="56"/>
      <c r="N393" s="56">
        <f>(N402/41.868)/N427</f>
        <v>0.68344103464640005</v>
      </c>
      <c r="O393" s="56">
        <f>(O402/41.868)/O427</f>
        <v>0.757284805879886</v>
      </c>
      <c r="Z393" s="169">
        <f t="shared" si="435"/>
        <v>6649.5689826941643</v>
      </c>
      <c r="AA393" s="207">
        <v>89.737773045805199</v>
      </c>
      <c r="AB393" s="207">
        <v>74.099999999999994</v>
      </c>
      <c r="AC393" s="186" t="s">
        <v>70</v>
      </c>
      <c r="AF393" s="207"/>
      <c r="AG393" s="207"/>
      <c r="AH393" s="207"/>
      <c r="AJ393" s="68"/>
    </row>
    <row r="394" spans="1:43">
      <c r="A394" s="68" t="str">
        <f>$A$374</f>
        <v>Dati 2020 lorda</v>
      </c>
      <c r="J394" s="180" t="s">
        <v>5</v>
      </c>
      <c r="K394" s="180" t="s">
        <v>186</v>
      </c>
      <c r="L394" s="180" t="s">
        <v>187</v>
      </c>
      <c r="M394" s="180" t="s">
        <v>190</v>
      </c>
      <c r="N394" s="180" t="s">
        <v>192</v>
      </c>
      <c r="O394" s="180" t="s">
        <v>191</v>
      </c>
      <c r="P394" s="180" t="s">
        <v>189</v>
      </c>
      <c r="R394" s="68" t="s">
        <v>210</v>
      </c>
      <c r="Z394" s="169">
        <f t="shared" si="435"/>
        <v>0</v>
      </c>
      <c r="AA394" s="207">
        <v>0</v>
      </c>
      <c r="AB394" s="207">
        <v>74.099999999999994</v>
      </c>
      <c r="AC394" s="186" t="s">
        <v>71</v>
      </c>
      <c r="AF394" s="207"/>
      <c r="AG394" s="207"/>
      <c r="AH394" s="207"/>
      <c r="AJ394" s="68"/>
    </row>
    <row r="395" spans="1:43">
      <c r="A395" s="11" t="s">
        <v>16</v>
      </c>
      <c r="J395" s="179">
        <f t="shared" ref="J395:O395" si="438">SUM(J396:J400)</f>
        <v>131622.40780000002</v>
      </c>
      <c r="K395" s="179">
        <f t="shared" si="438"/>
        <v>381023.93231999996</v>
      </c>
      <c r="L395" s="179">
        <f t="shared" si="438"/>
        <v>263.73860000000002</v>
      </c>
      <c r="M395" s="179">
        <f t="shared" si="438"/>
        <v>11313.486000000001</v>
      </c>
      <c r="N395" s="179">
        <f t="shared" si="438"/>
        <v>81692.110160000011</v>
      </c>
      <c r="O395" s="179">
        <f t="shared" si="438"/>
        <v>27382.530640000001</v>
      </c>
      <c r="P395" s="182">
        <f t="shared" ref="P395:P400" si="439">SUM(J395:O395)</f>
        <v>633298.20551999996</v>
      </c>
      <c r="Q395" s="172"/>
      <c r="R395" s="179">
        <f t="shared" ref="R395:W395" si="440">SUM(R396:R400)</f>
        <v>12.374261414667387</v>
      </c>
      <c r="S395" s="179">
        <f t="shared" si="440"/>
        <v>22.061359949999432</v>
      </c>
      <c r="T395" s="179">
        <f t="shared" si="440"/>
        <v>4.2431680617619011E-2</v>
      </c>
      <c r="U395" s="179">
        <f t="shared" si="440"/>
        <v>0.76152540057500995</v>
      </c>
      <c r="V395" s="179">
        <f t="shared" si="440"/>
        <v>3.1582112501621031</v>
      </c>
      <c r="W395" s="179">
        <f t="shared" si="440"/>
        <v>3.1515774118774098E-2</v>
      </c>
      <c r="X395" s="190">
        <f>SUM(R395:W395)</f>
        <v>38.429305470140321</v>
      </c>
      <c r="Z395" s="169">
        <f t="shared" si="435"/>
        <v>18158.4906260272</v>
      </c>
      <c r="AA395" s="205">
        <v>236.77682838602072</v>
      </c>
      <c r="AB395" s="184">
        <v>76.690319529169244</v>
      </c>
      <c r="AC395" s="203" t="s">
        <v>72</v>
      </c>
      <c r="AJ395" s="68"/>
    </row>
    <row r="396" spans="1:43">
      <c r="A396" s="10" t="s">
        <v>17</v>
      </c>
      <c r="J396" s="167">
        <f t="shared" ref="J396:O400" si="441">IFERROR(J377*R377,"")</f>
        <v>0</v>
      </c>
      <c r="K396" s="167">
        <f t="shared" si="441"/>
        <v>2362.9365199999997</v>
      </c>
      <c r="L396" s="167">
        <f t="shared" si="441"/>
        <v>263.73860000000002</v>
      </c>
      <c r="M396" s="167">
        <f t="shared" si="441"/>
        <v>1729</v>
      </c>
      <c r="N396" s="167">
        <f t="shared" si="441"/>
        <v>12175.39286</v>
      </c>
      <c r="O396" s="167">
        <f t="shared" si="441"/>
        <v>27201.972740000001</v>
      </c>
      <c r="P396" s="182">
        <f t="shared" si="439"/>
        <v>43733.040720000005</v>
      </c>
      <c r="Q396" s="172"/>
      <c r="R396" s="181">
        <f t="shared" ref="R396:R401" si="442">J396*J$412/1000000</f>
        <v>0</v>
      </c>
      <c r="S396" s="181">
        <f t="shared" ref="S396:S401" si="443">K396*K$412/1000000</f>
        <v>0.13681448508840227</v>
      </c>
      <c r="T396" s="181">
        <f t="shared" ref="T396:T401" si="444">L396*L$412/1000000</f>
        <v>4.2431680617619011E-2</v>
      </c>
      <c r="U396" s="181">
        <f t="shared" ref="U396:U401" si="445">M396*M$412/1000000</f>
        <v>0.11638123011724169</v>
      </c>
      <c r="V396" s="181">
        <f t="shared" ref="V396:V401" si="446">N396*N$412/1000000</f>
        <v>0.47069983417350064</v>
      </c>
      <c r="W396" s="181">
        <f t="shared" ref="W396:W401" si="447">O396*O$412/1000000</f>
        <v>3.1307961989699082E-2</v>
      </c>
      <c r="X396" s="190">
        <f t="shared" ref="X396:X401" si="448">SUM(R396:W396)</f>
        <v>0.79763519198646271</v>
      </c>
      <c r="Z396" s="169"/>
      <c r="AA396" s="419" t="s">
        <v>215</v>
      </c>
      <c r="AB396" s="342"/>
      <c r="AC396" s="403"/>
      <c r="AJ396" s="68"/>
      <c r="AQ396" s="252"/>
    </row>
    <row r="397" spans="1:43">
      <c r="A397" s="10" t="s">
        <v>18</v>
      </c>
      <c r="J397" s="167">
        <f t="shared" si="441"/>
        <v>0</v>
      </c>
      <c r="K397" s="167">
        <f t="shared" si="441"/>
        <v>9186.2217999999993</v>
      </c>
      <c r="L397" s="167">
        <f t="shared" si="441"/>
        <v>0</v>
      </c>
      <c r="M397" s="167">
        <f t="shared" si="441"/>
        <v>105.0124</v>
      </c>
      <c r="N397" s="167">
        <f t="shared" si="441"/>
        <v>141.9128</v>
      </c>
      <c r="O397" s="167">
        <f t="shared" si="441"/>
        <v>5.6275000000000004</v>
      </c>
      <c r="P397" s="182">
        <f t="shared" si="439"/>
        <v>9438.7744999999995</v>
      </c>
      <c r="Q397" s="172"/>
      <c r="R397" s="181">
        <f t="shared" si="442"/>
        <v>0</v>
      </c>
      <c r="S397" s="181">
        <f t="shared" si="443"/>
        <v>0.53188403278597418</v>
      </c>
      <c r="T397" s="181">
        <f t="shared" si="444"/>
        <v>0</v>
      </c>
      <c r="U397" s="181">
        <f t="shared" si="445"/>
        <v>7.0685206995742232E-3</v>
      </c>
      <c r="V397" s="181">
        <f t="shared" si="446"/>
        <v>5.4863388964269668E-3</v>
      </c>
      <c r="W397" s="181">
        <f t="shared" si="447"/>
        <v>6.4769403962365553E-6</v>
      </c>
      <c r="X397" s="190">
        <f t="shared" si="448"/>
        <v>0.54444536932237153</v>
      </c>
      <c r="Z397" s="169">
        <f t="shared" ref="Z397:Z412" si="449">AA397*AB397</f>
        <v>0</v>
      </c>
      <c r="AA397" s="207">
        <v>0</v>
      </c>
      <c r="AB397" s="207">
        <v>63.1</v>
      </c>
      <c r="AC397" s="187" t="s">
        <v>195</v>
      </c>
      <c r="AF397" s="207"/>
      <c r="AG397" s="207"/>
      <c r="AH397" s="207"/>
      <c r="AJ397" s="68" t="s">
        <v>265</v>
      </c>
    </row>
    <row r="398" spans="1:43">
      <c r="A398" s="10" t="s">
        <v>19</v>
      </c>
      <c r="J398" s="167">
        <f t="shared" si="441"/>
        <v>131622.40780000002</v>
      </c>
      <c r="K398" s="167">
        <f t="shared" si="441"/>
        <v>4309.5450000000001</v>
      </c>
      <c r="L398" s="167">
        <f t="shared" si="441"/>
        <v>0</v>
      </c>
      <c r="M398" s="167">
        <f t="shared" si="441"/>
        <v>9427.1280000000006</v>
      </c>
      <c r="N398" s="167">
        <f t="shared" si="441"/>
        <v>56635.067000000003</v>
      </c>
      <c r="O398" s="167">
        <f t="shared" si="441"/>
        <v>76.874000000000009</v>
      </c>
      <c r="P398" s="182">
        <f t="shared" si="439"/>
        <v>202071.02180000005</v>
      </c>
      <c r="Q398" s="172"/>
      <c r="R398" s="181">
        <f>J398*J$412/1000000</f>
        <v>12.374261414667387</v>
      </c>
      <c r="S398" s="181">
        <f t="shared" si="443"/>
        <v>0.24952349551070402</v>
      </c>
      <c r="T398" s="181">
        <f t="shared" si="444"/>
        <v>0</v>
      </c>
      <c r="U398" s="181">
        <f t="shared" si="445"/>
        <v>0.63455219960248266</v>
      </c>
      <c r="V398" s="181">
        <f t="shared" si="446"/>
        <v>2.1895077187106962</v>
      </c>
      <c r="W398" s="181">
        <f t="shared" si="447"/>
        <v>8.8477710532259264E-5</v>
      </c>
      <c r="X398" s="190">
        <f t="shared" si="448"/>
        <v>15.447933306201802</v>
      </c>
      <c r="Z398" s="169">
        <f t="shared" si="449"/>
        <v>462.470332162349</v>
      </c>
      <c r="AA398" s="207">
        <v>6.040207941297</v>
      </c>
      <c r="AB398" s="207">
        <v>76.565299846787028</v>
      </c>
      <c r="AC398" s="187" t="s">
        <v>198</v>
      </c>
      <c r="AF398" s="207"/>
      <c r="AG398" s="207"/>
      <c r="AH398" s="207"/>
    </row>
    <row r="399" spans="1:43">
      <c r="A399" s="10" t="s">
        <v>20</v>
      </c>
      <c r="J399" s="167">
        <f t="shared" si="441"/>
        <v>0</v>
      </c>
      <c r="K399" s="167">
        <f t="shared" si="441"/>
        <v>365165.22899999999</v>
      </c>
      <c r="L399" s="167">
        <f t="shared" si="441"/>
        <v>0</v>
      </c>
      <c r="M399" s="167">
        <f t="shared" si="441"/>
        <v>52.345600000000005</v>
      </c>
      <c r="N399" s="167">
        <f t="shared" si="441"/>
        <v>12739.737500000001</v>
      </c>
      <c r="O399" s="167">
        <f t="shared" si="441"/>
        <v>98.056400000000011</v>
      </c>
      <c r="P399" s="182">
        <f t="shared" si="439"/>
        <v>378055.36849999998</v>
      </c>
      <c r="Q399" s="172"/>
      <c r="R399" s="181">
        <f t="shared" si="442"/>
        <v>0</v>
      </c>
      <c r="S399" s="181">
        <f t="shared" si="443"/>
        <v>21.143137936614352</v>
      </c>
      <c r="T399" s="181">
        <f t="shared" si="444"/>
        <v>0</v>
      </c>
      <c r="U399" s="181">
        <f t="shared" si="445"/>
        <v>3.5234501557114446E-3</v>
      </c>
      <c r="V399" s="181">
        <f t="shared" si="446"/>
        <v>0.4925173583814797</v>
      </c>
      <c r="W399" s="181">
        <f t="shared" si="447"/>
        <v>1.1285747814651802E-4</v>
      </c>
      <c r="X399" s="190">
        <f t="shared" si="448"/>
        <v>21.63929160262969</v>
      </c>
      <c r="Z399" s="169">
        <f t="shared" si="449"/>
        <v>4813.707257496706</v>
      </c>
      <c r="AA399" s="207">
        <v>94.771300162874496</v>
      </c>
      <c r="AB399" s="207">
        <v>50.792879798249487</v>
      </c>
      <c r="AC399" s="187" t="s">
        <v>199</v>
      </c>
      <c r="AF399" s="207"/>
      <c r="AG399" s="207"/>
      <c r="AH399" s="207"/>
      <c r="AJ399" s="11" t="s">
        <v>23</v>
      </c>
      <c r="AK399" s="256">
        <f t="shared" ref="AK399:AK405" si="450">IFERROR(((J383/11.63)+J420)/J427,"")</f>
        <v>0.87991160371620925</v>
      </c>
      <c r="AL399" s="256">
        <f t="shared" ref="AL399:AL405" si="451">IFERROR(((K383/11.63)+K420)/K427,"")</f>
        <v>0.66113864450125281</v>
      </c>
      <c r="AM399" s="256">
        <f t="shared" ref="AM399:AM405" si="452">IFERROR(((L383/11.63)+L420)/L427,"")</f>
        <v>0.51521711453109542</v>
      </c>
      <c r="AN399" s="256">
        <f t="shared" ref="AN399:AN405" si="453">IFERROR(((M383/11.63)+M420)/M427,"")</f>
        <v>0.78484319920089973</v>
      </c>
      <c r="AO399" s="256">
        <f t="shared" ref="AO399:AO405" si="454">IFERROR(((N383/11.63)+N420)/N427,"")</f>
        <v>0.57745003865470146</v>
      </c>
      <c r="AP399" s="256">
        <f t="shared" ref="AP399:AP405" si="455">IFERROR(((O383/11.63)+O420)/O427,"")</f>
        <v>0.58718597550375307</v>
      </c>
      <c r="AQ399" s="256">
        <f t="shared" ref="AQ399:AQ405" si="456">IFERROR(((P383/11.63)+P420)/P427,"")</f>
        <v>0.64389183397955718</v>
      </c>
    </row>
    <row r="400" spans="1:43">
      <c r="A400" s="10" t="s">
        <v>22</v>
      </c>
      <c r="J400" s="167">
        <f t="shared" si="441"/>
        <v>0</v>
      </c>
      <c r="K400" s="167">
        <f t="shared" si="441"/>
        <v>0</v>
      </c>
      <c r="L400" s="167">
        <f t="shared" si="441"/>
        <v>0</v>
      </c>
      <c r="M400" s="167">
        <f t="shared" si="441"/>
        <v>0</v>
      </c>
      <c r="N400" s="167">
        <f t="shared" si="441"/>
        <v>0</v>
      </c>
      <c r="O400" s="167">
        <f t="shared" si="441"/>
        <v>0</v>
      </c>
      <c r="P400" s="182">
        <f t="shared" si="439"/>
        <v>0</v>
      </c>
      <c r="Q400" s="172"/>
      <c r="R400" s="181">
        <f t="shared" si="442"/>
        <v>0</v>
      </c>
      <c r="S400" s="181">
        <f t="shared" si="443"/>
        <v>0</v>
      </c>
      <c r="T400" s="181">
        <f t="shared" si="444"/>
        <v>0</v>
      </c>
      <c r="U400" s="181">
        <f t="shared" si="445"/>
        <v>0</v>
      </c>
      <c r="V400" s="181">
        <f t="shared" si="446"/>
        <v>0</v>
      </c>
      <c r="W400" s="181">
        <f t="shared" si="447"/>
        <v>0</v>
      </c>
      <c r="X400" s="190">
        <f t="shared" si="448"/>
        <v>0</v>
      </c>
      <c r="Z400" s="169">
        <f t="shared" si="449"/>
        <v>94858.540824196563</v>
      </c>
      <c r="AA400" s="207">
        <v>1063.09862819871</v>
      </c>
      <c r="AB400" s="420">
        <v>89.228354085004042</v>
      </c>
      <c r="AC400" s="187" t="s">
        <v>212</v>
      </c>
      <c r="AF400" s="207"/>
      <c r="AG400" s="207"/>
      <c r="AH400" s="207"/>
      <c r="AJ400" s="10" t="s">
        <v>24</v>
      </c>
      <c r="AK400" s="56" t="str">
        <f t="shared" si="450"/>
        <v/>
      </c>
      <c r="AL400" s="56">
        <f t="shared" si="451"/>
        <v>0.70713197560190011</v>
      </c>
      <c r="AM400" s="56">
        <f t="shared" si="452"/>
        <v>0.64545809385889485</v>
      </c>
      <c r="AN400" s="56">
        <f t="shared" si="453"/>
        <v>0.73574897363544989</v>
      </c>
      <c r="AO400" s="56">
        <f t="shared" si="454"/>
        <v>0.6377265253202542</v>
      </c>
      <c r="AP400" s="56">
        <f t="shared" si="455"/>
        <v>0.58730573855057555</v>
      </c>
      <c r="AQ400" s="256">
        <f t="shared" si="456"/>
        <v>0.66042129920170833</v>
      </c>
    </row>
    <row r="401" spans="1:43">
      <c r="A401" s="10" t="s">
        <v>349</v>
      </c>
      <c r="J401" s="167"/>
      <c r="K401" s="167"/>
      <c r="L401" s="167"/>
      <c r="M401" s="167"/>
      <c r="N401" s="167"/>
      <c r="O401" s="167"/>
      <c r="P401" s="182"/>
      <c r="Q401" s="172"/>
      <c r="R401" s="181">
        <f t="shared" si="442"/>
        <v>0</v>
      </c>
      <c r="S401" s="181">
        <f t="shared" si="443"/>
        <v>0</v>
      </c>
      <c r="T401" s="181">
        <f t="shared" si="444"/>
        <v>0</v>
      </c>
      <c r="U401" s="181">
        <f t="shared" si="445"/>
        <v>0</v>
      </c>
      <c r="V401" s="181">
        <f t="shared" si="446"/>
        <v>0</v>
      </c>
      <c r="W401" s="181">
        <f t="shared" si="447"/>
        <v>0</v>
      </c>
      <c r="X401" s="190">
        <f t="shared" si="448"/>
        <v>0</v>
      </c>
      <c r="Z401" s="169">
        <f t="shared" si="449"/>
        <v>0</v>
      </c>
      <c r="AA401" s="207">
        <v>140.572001787315</v>
      </c>
      <c r="AB401" s="403">
        <v>0</v>
      </c>
      <c r="AC401" s="186" t="s">
        <v>200</v>
      </c>
      <c r="AJ401" s="10" t="s">
        <v>25</v>
      </c>
      <c r="AK401" s="56" t="str">
        <f t="shared" si="450"/>
        <v/>
      </c>
      <c r="AL401" s="56">
        <f t="shared" si="451"/>
        <v>0.74784464817561536</v>
      </c>
      <c r="AM401" s="56" t="str">
        <f t="shared" si="452"/>
        <v/>
      </c>
      <c r="AN401" s="56">
        <f t="shared" si="453"/>
        <v>0.81934425003784417</v>
      </c>
      <c r="AO401" s="56">
        <f t="shared" si="454"/>
        <v>0.72052105450950799</v>
      </c>
      <c r="AP401" s="56">
        <f t="shared" si="455"/>
        <v>0.61845801089137276</v>
      </c>
      <c r="AQ401" s="256">
        <f t="shared" si="456"/>
        <v>0.7545839220549474</v>
      </c>
    </row>
    <row r="402" spans="1:43">
      <c r="A402" s="11" t="s">
        <v>23</v>
      </c>
      <c r="J402" s="179">
        <f t="shared" ref="J402:O402" si="457">SUM(J403:J407)</f>
        <v>329.2604</v>
      </c>
      <c r="K402" s="179">
        <f t="shared" si="457"/>
        <v>477112.36314000003</v>
      </c>
      <c r="L402" s="179">
        <f t="shared" si="457"/>
        <v>14132.881600000001</v>
      </c>
      <c r="M402" s="179">
        <f t="shared" si="457"/>
        <v>12708.544839999999</v>
      </c>
      <c r="N402" s="179">
        <f t="shared" si="457"/>
        <v>108726.36310000002</v>
      </c>
      <c r="O402" s="179">
        <f t="shared" si="457"/>
        <v>40169.282900000006</v>
      </c>
      <c r="P402" s="266">
        <f t="shared" ref="P402:P407" si="458">SUM(J402:O402)</f>
        <v>653178.69598000008</v>
      </c>
      <c r="Q402" s="172"/>
      <c r="R402" s="179">
        <f t="shared" ref="R402:W402" si="459">SUM(R403:R407)</f>
        <v>3.0954868028921965E-2</v>
      </c>
      <c r="S402" s="179">
        <f t="shared" si="459"/>
        <v>27.624898823904886</v>
      </c>
      <c r="T402" s="179">
        <f t="shared" si="459"/>
        <v>2.2737737982146879</v>
      </c>
      <c r="U402" s="179">
        <f t="shared" si="459"/>
        <v>0.85542861855368679</v>
      </c>
      <c r="V402" s="179">
        <f t="shared" si="459"/>
        <v>4.2033535730573401</v>
      </c>
      <c r="W402" s="179">
        <f t="shared" si="459"/>
        <v>4.6232616810815509E-2</v>
      </c>
      <c r="X402" s="190">
        <f t="shared" ref="X402:X408" si="460">SUM(R402:W402)</f>
        <v>35.034642298570333</v>
      </c>
      <c r="Z402" s="169">
        <f t="shared" si="449"/>
        <v>0</v>
      </c>
      <c r="AA402" s="207">
        <v>635.27482792723197</v>
      </c>
      <c r="AB402" s="403">
        <v>0</v>
      </c>
      <c r="AC402" s="186" t="s">
        <v>201</v>
      </c>
      <c r="AJ402" s="10" t="s">
        <v>26</v>
      </c>
      <c r="AK402" s="56" t="str">
        <f t="shared" si="450"/>
        <v/>
      </c>
      <c r="AL402" s="56">
        <f t="shared" si="451"/>
        <v>0.64075455083463773</v>
      </c>
      <c r="AM402" s="56">
        <f t="shared" si="452"/>
        <v>0.53025568220556729</v>
      </c>
      <c r="AN402" s="56">
        <f t="shared" si="453"/>
        <v>0.74325013871699497</v>
      </c>
      <c r="AO402" s="56">
        <f t="shared" si="454"/>
        <v>0.64143723578770362</v>
      </c>
      <c r="AP402" s="56">
        <f t="shared" si="455"/>
        <v>0.56106287964940504</v>
      </c>
      <c r="AQ402" s="256">
        <f t="shared" si="456"/>
        <v>0.64247638845091237</v>
      </c>
    </row>
    <row r="403" spans="1:43">
      <c r="A403" s="10" t="s">
        <v>24</v>
      </c>
      <c r="J403" s="167">
        <f t="shared" ref="J403:O407" si="461">IFERROR(J384*R384,"")</f>
        <v>0</v>
      </c>
      <c r="K403" s="167">
        <f t="shared" si="461"/>
        <v>63222.637499999997</v>
      </c>
      <c r="L403" s="167">
        <f t="shared" si="461"/>
        <v>896.32600000000002</v>
      </c>
      <c r="M403" s="167">
        <f t="shared" si="461"/>
        <v>152.9177</v>
      </c>
      <c r="N403" s="167">
        <f t="shared" si="461"/>
        <v>15723.874</v>
      </c>
      <c r="O403" s="181">
        <f t="shared" si="461"/>
        <v>39902.525099999999</v>
      </c>
      <c r="P403" s="182">
        <f t="shared" si="458"/>
        <v>119898.2803</v>
      </c>
      <c r="Q403" s="172"/>
      <c r="R403" s="181">
        <f t="shared" ref="R403:R408" si="462">J403*J$412/1000000</f>
        <v>0</v>
      </c>
      <c r="S403" s="181">
        <f t="shared" ref="S403:W408" si="463">K403*K$412/1000000</f>
        <v>3.660603034521305</v>
      </c>
      <c r="T403" s="181">
        <f t="shared" si="463"/>
        <v>0.14420573462234187</v>
      </c>
      <c r="U403" s="181">
        <f t="shared" si="463"/>
        <v>1.029308850936919E-2</v>
      </c>
      <c r="V403" s="181">
        <f t="shared" si="463"/>
        <v>0.60788386621021273</v>
      </c>
      <c r="W403" s="181">
        <f t="shared" si="463"/>
        <v>4.5925593377526983E-2</v>
      </c>
      <c r="X403" s="190">
        <f t="shared" si="460"/>
        <v>4.4689113172407557</v>
      </c>
      <c r="Z403" s="169">
        <f t="shared" si="449"/>
        <v>0</v>
      </c>
      <c r="AA403" s="207">
        <v>0.13038940931165</v>
      </c>
      <c r="AB403" s="403">
        <v>0</v>
      </c>
      <c r="AC403" s="186" t="s">
        <v>134</v>
      </c>
      <c r="AJ403" s="10" t="s">
        <v>27</v>
      </c>
      <c r="AK403" s="56" t="str">
        <f t="shared" si="450"/>
        <v/>
      </c>
      <c r="AL403" s="56">
        <f t="shared" si="451"/>
        <v>0.85153725359738275</v>
      </c>
      <c r="AM403" s="56" t="str">
        <f t="shared" si="452"/>
        <v/>
      </c>
      <c r="AN403" s="56">
        <f t="shared" si="453"/>
        <v>0.84771197543544408</v>
      </c>
      <c r="AO403" s="56">
        <f t="shared" si="454"/>
        <v>0.76991767135122324</v>
      </c>
      <c r="AP403" s="56">
        <f t="shared" si="455"/>
        <v>0.18598452278589853</v>
      </c>
      <c r="AQ403" s="256">
        <f t="shared" si="456"/>
        <v>0.81774970158679017</v>
      </c>
    </row>
    <row r="404" spans="1:43">
      <c r="A404" s="10" t="s">
        <v>25</v>
      </c>
      <c r="J404" s="167">
        <f t="shared" si="461"/>
        <v>0</v>
      </c>
      <c r="K404" s="167">
        <f t="shared" si="461"/>
        <v>26462.863000000001</v>
      </c>
      <c r="L404" s="167">
        <f t="shared" si="461"/>
        <v>0</v>
      </c>
      <c r="M404" s="167">
        <f t="shared" si="461"/>
        <v>2315.25794</v>
      </c>
      <c r="N404" s="167">
        <f t="shared" si="461"/>
        <v>204.11600000000001</v>
      </c>
      <c r="O404" s="167">
        <f t="shared" si="461"/>
        <v>49.486699999999999</v>
      </c>
      <c r="P404" s="182">
        <f t="shared" si="458"/>
        <v>29031.723640000004</v>
      </c>
      <c r="Q404" s="172"/>
      <c r="R404" s="181">
        <f t="shared" si="462"/>
        <v>0</v>
      </c>
      <c r="S404" s="181">
        <f t="shared" si="463"/>
        <v>1.5322049258055956</v>
      </c>
      <c r="T404" s="181">
        <f t="shared" si="463"/>
        <v>0</v>
      </c>
      <c r="U404" s="181">
        <f t="shared" si="463"/>
        <v>0.15584301162285191</v>
      </c>
      <c r="V404" s="181">
        <f t="shared" si="463"/>
        <v>7.8911102464547713E-3</v>
      </c>
      <c r="W404" s="181">
        <f t="shared" si="463"/>
        <v>5.6956447144636071E-5</v>
      </c>
      <c r="X404" s="190">
        <f t="shared" si="460"/>
        <v>1.695996004122047</v>
      </c>
      <c r="Z404" s="169">
        <f t="shared" si="449"/>
        <v>0</v>
      </c>
      <c r="AA404" s="207">
        <v>2.1957245053413899</v>
      </c>
      <c r="AB404" s="207">
        <v>0</v>
      </c>
      <c r="AC404" s="186" t="s">
        <v>128</v>
      </c>
      <c r="AJ404" s="10" t="s">
        <v>28</v>
      </c>
      <c r="AK404" s="56">
        <f t="shared" si="450"/>
        <v>0.87988538892267698</v>
      </c>
      <c r="AL404" s="56">
        <f t="shared" si="451"/>
        <v>0.55581433476404962</v>
      </c>
      <c r="AM404" s="56">
        <f t="shared" si="452"/>
        <v>0.47126580017529213</v>
      </c>
      <c r="AN404" s="56">
        <f t="shared" si="453"/>
        <v>0.86982133271259798</v>
      </c>
      <c r="AO404" s="56">
        <f t="shared" si="454"/>
        <v>0.49024760441148574</v>
      </c>
      <c r="AP404" s="56">
        <f t="shared" si="455"/>
        <v>0.48645743766122101</v>
      </c>
      <c r="AQ404" s="256">
        <f t="shared" si="456"/>
        <v>0.51966295686348529</v>
      </c>
    </row>
    <row r="405" spans="1:43">
      <c r="A405" s="10" t="s">
        <v>26</v>
      </c>
      <c r="J405" s="167">
        <f t="shared" si="461"/>
        <v>0</v>
      </c>
      <c r="K405" s="167">
        <f t="shared" si="461"/>
        <v>376210.54239999998</v>
      </c>
      <c r="L405" s="167">
        <f t="shared" si="461"/>
        <v>7457.5619999999999</v>
      </c>
      <c r="M405" s="167">
        <f t="shared" si="461"/>
        <v>8571.1742999999988</v>
      </c>
      <c r="N405" s="167">
        <f t="shared" si="461"/>
        <v>39236.607500000006</v>
      </c>
      <c r="O405" s="167">
        <f t="shared" si="461"/>
        <v>204.39449999999999</v>
      </c>
      <c r="P405" s="182">
        <f t="shared" si="458"/>
        <v>431680.28069999994</v>
      </c>
      <c r="Q405" s="172"/>
      <c r="R405" s="181">
        <f t="shared" si="462"/>
        <v>0</v>
      </c>
      <c r="S405" s="181">
        <f t="shared" si="463"/>
        <v>21.782663735411958</v>
      </c>
      <c r="T405" s="181">
        <f t="shared" si="463"/>
        <v>1.1998125756718661</v>
      </c>
      <c r="U405" s="181">
        <f t="shared" si="463"/>
        <v>0.57693684706957082</v>
      </c>
      <c r="V405" s="181">
        <f t="shared" si="463"/>
        <v>1.5168844945000597</v>
      </c>
      <c r="W405" s="181">
        <f t="shared" si="463"/>
        <v>2.3524673368610795E-4</v>
      </c>
      <c r="X405" s="190">
        <f t="shared" si="460"/>
        <v>25.076532899387146</v>
      </c>
      <c r="Z405" s="169">
        <f t="shared" si="449"/>
        <v>0</v>
      </c>
      <c r="AA405" s="408"/>
      <c r="AB405" s="342"/>
      <c r="AC405" s="186" t="s">
        <v>131</v>
      </c>
      <c r="AJ405" s="10" t="s">
        <v>351</v>
      </c>
      <c r="AK405" s="56" t="str">
        <f t="shared" si="450"/>
        <v/>
      </c>
      <c r="AL405" s="56">
        <f t="shared" si="451"/>
        <v>0.25795356835769556</v>
      </c>
      <c r="AM405" s="56" t="str">
        <f t="shared" si="452"/>
        <v/>
      </c>
      <c r="AN405" s="56" t="str">
        <f t="shared" si="453"/>
        <v/>
      </c>
      <c r="AO405" s="56" t="str">
        <f t="shared" si="454"/>
        <v/>
      </c>
      <c r="AP405" s="56" t="str">
        <f t="shared" si="455"/>
        <v/>
      </c>
      <c r="AQ405" s="256">
        <f t="shared" si="456"/>
        <v>0.34393809114359414</v>
      </c>
    </row>
    <row r="406" spans="1:43">
      <c r="A406" s="10" t="s">
        <v>27</v>
      </c>
      <c r="J406" s="167">
        <f t="shared" si="461"/>
        <v>0</v>
      </c>
      <c r="K406" s="167">
        <f t="shared" si="461"/>
        <v>2708.6969200000003</v>
      </c>
      <c r="L406" s="167">
        <f t="shared" si="461"/>
        <v>0</v>
      </c>
      <c r="M406" s="167">
        <f t="shared" si="461"/>
        <v>843.83749999999998</v>
      </c>
      <c r="N406" s="167">
        <f t="shared" si="461"/>
        <v>3818.8032000000003</v>
      </c>
      <c r="O406" s="167">
        <f t="shared" si="461"/>
        <v>0</v>
      </c>
      <c r="P406" s="182">
        <f t="shared" si="458"/>
        <v>7371.3376200000002</v>
      </c>
      <c r="Q406" s="172"/>
      <c r="R406" s="181">
        <f t="shared" si="462"/>
        <v>0</v>
      </c>
      <c r="S406" s="181">
        <f t="shared" si="463"/>
        <v>0.15683407964355353</v>
      </c>
      <c r="T406" s="181">
        <f t="shared" si="463"/>
        <v>0</v>
      </c>
      <c r="U406" s="181">
        <f t="shared" si="463"/>
        <v>5.6799795412988976E-2</v>
      </c>
      <c r="V406" s="181">
        <f t="shared" si="463"/>
        <v>0.1476346639200958</v>
      </c>
      <c r="W406" s="181">
        <f t="shared" si="463"/>
        <v>0</v>
      </c>
      <c r="X406" s="190">
        <f t="shared" si="460"/>
        <v>0.36126853897663835</v>
      </c>
      <c r="Z406" s="169">
        <f t="shared" si="449"/>
        <v>0</v>
      </c>
      <c r="AA406" s="207">
        <v>12.822034073781699</v>
      </c>
      <c r="AB406" s="207">
        <v>0</v>
      </c>
      <c r="AC406" s="186" t="s">
        <v>129</v>
      </c>
      <c r="AF406" s="185"/>
      <c r="AG406" s="207"/>
      <c r="AH406" s="207"/>
      <c r="AJ406" s="275" t="s">
        <v>266</v>
      </c>
      <c r="AK406" s="274">
        <f t="shared" ref="AK406:AQ406" si="464">IFERROR(((J390/11.63)+J420)/(J427+J395/41.868),"")</f>
        <v>0.36922189671573852</v>
      </c>
      <c r="AL406" s="274">
        <f t="shared" si="464"/>
        <v>0.61095232135927002</v>
      </c>
      <c r="AM406" s="274">
        <f t="shared" si="464"/>
        <v>0.51319552395034929</v>
      </c>
      <c r="AN406" s="274">
        <f t="shared" si="464"/>
        <v>0.66977016056838745</v>
      </c>
      <c r="AO406" s="274">
        <f t="shared" si="464"/>
        <v>0.49029691183370061</v>
      </c>
      <c r="AP406" s="274">
        <f t="shared" si="464"/>
        <v>0.51274731792560246</v>
      </c>
      <c r="AQ406" s="274">
        <f t="shared" si="464"/>
        <v>0.5674396838936645</v>
      </c>
    </row>
    <row r="407" spans="1:43">
      <c r="A407" s="10" t="s">
        <v>28</v>
      </c>
      <c r="J407" s="167">
        <f t="shared" si="461"/>
        <v>329.2604</v>
      </c>
      <c r="K407" s="167">
        <f t="shared" si="461"/>
        <v>8507.6233200000006</v>
      </c>
      <c r="L407" s="167">
        <f t="shared" si="461"/>
        <v>5778.9936000000007</v>
      </c>
      <c r="M407" s="167">
        <f t="shared" si="461"/>
        <v>825.35739999999998</v>
      </c>
      <c r="N407" s="167">
        <f t="shared" si="461"/>
        <v>49742.962400000004</v>
      </c>
      <c r="O407" s="167">
        <f t="shared" si="461"/>
        <v>12.8766</v>
      </c>
      <c r="P407" s="182">
        <f t="shared" si="458"/>
        <v>65197.073720000008</v>
      </c>
      <c r="Q407" s="172"/>
      <c r="R407" s="181">
        <f t="shared" si="462"/>
        <v>3.0954868028921965E-2</v>
      </c>
      <c r="S407" s="181">
        <f t="shared" si="463"/>
        <v>0.49259304852247304</v>
      </c>
      <c r="T407" s="181">
        <f t="shared" si="463"/>
        <v>0.92975548792048002</v>
      </c>
      <c r="U407" s="181">
        <f t="shared" si="463"/>
        <v>5.5555875938905895E-2</v>
      </c>
      <c r="V407" s="181">
        <f t="shared" si="463"/>
        <v>1.9230594381805173</v>
      </c>
      <c r="W407" s="181">
        <f t="shared" si="463"/>
        <v>1.482025245778403E-5</v>
      </c>
      <c r="X407" s="190">
        <f t="shared" si="460"/>
        <v>3.4319335388437557</v>
      </c>
      <c r="Z407" s="169">
        <f t="shared" si="449"/>
        <v>0</v>
      </c>
      <c r="AA407" s="207">
        <v>1186.79385640904</v>
      </c>
      <c r="AB407" s="207">
        <v>0</v>
      </c>
      <c r="AC407" s="186" t="s">
        <v>207</v>
      </c>
      <c r="AF407" s="185"/>
      <c r="AG407" s="207"/>
      <c r="AH407" s="207"/>
    </row>
    <row r="408" spans="1:43">
      <c r="A408" s="10" t="s">
        <v>351</v>
      </c>
      <c r="J408" s="167"/>
      <c r="K408" s="167"/>
      <c r="L408" s="167"/>
      <c r="M408" s="167"/>
      <c r="N408" s="167"/>
      <c r="O408" s="167"/>
      <c r="P408" s="182"/>
      <c r="Q408" s="172"/>
      <c r="R408" s="181">
        <f t="shared" si="462"/>
        <v>0</v>
      </c>
      <c r="S408" s="181">
        <f t="shared" si="463"/>
        <v>0</v>
      </c>
      <c r="T408" s="181">
        <f t="shared" si="463"/>
        <v>0</v>
      </c>
      <c r="U408" s="181">
        <f t="shared" si="463"/>
        <v>0</v>
      </c>
      <c r="V408" s="181">
        <f t="shared" si="463"/>
        <v>0</v>
      </c>
      <c r="W408" s="181">
        <f t="shared" si="463"/>
        <v>0</v>
      </c>
      <c r="X408" s="190">
        <f t="shared" si="460"/>
        <v>0</v>
      </c>
      <c r="Z408" s="169">
        <f t="shared" si="449"/>
        <v>9673.5158950721743</v>
      </c>
      <c r="AA408" s="207">
        <v>198.006515159402</v>
      </c>
      <c r="AB408" s="207">
        <v>48.854533333333322</v>
      </c>
      <c r="AC408" s="189" t="s">
        <v>130</v>
      </c>
      <c r="AF408" s="185"/>
      <c r="AG408" s="207"/>
      <c r="AH408" s="207"/>
    </row>
    <row r="409" spans="1:43">
      <c r="A409" s="11" t="s">
        <v>9</v>
      </c>
      <c r="J409" s="182">
        <f t="shared" ref="J409:P409" si="465">J395+J402</f>
        <v>131951.66820000001</v>
      </c>
      <c r="K409" s="182">
        <f t="shared" si="465"/>
        <v>858136.29545999994</v>
      </c>
      <c r="L409" s="182">
        <f t="shared" si="465"/>
        <v>14396.620200000001</v>
      </c>
      <c r="M409" s="182">
        <f t="shared" si="465"/>
        <v>24022.030839999999</v>
      </c>
      <c r="N409" s="182">
        <f t="shared" si="465"/>
        <v>190418.47326000003</v>
      </c>
      <c r="O409" s="182">
        <f t="shared" si="465"/>
        <v>67551.813540000003</v>
      </c>
      <c r="P409" s="182">
        <f t="shared" si="465"/>
        <v>1286476.9015000002</v>
      </c>
      <c r="Q409" s="172"/>
      <c r="R409" s="199">
        <f t="shared" ref="R409:W409" si="466">R395+R402</f>
        <v>12.405216282696308</v>
      </c>
      <c r="S409" s="199">
        <f t="shared" si="466"/>
        <v>49.686258773904314</v>
      </c>
      <c r="T409" s="199">
        <f t="shared" si="466"/>
        <v>2.3162054788323068</v>
      </c>
      <c r="U409" s="199">
        <f t="shared" si="466"/>
        <v>1.6169540191286966</v>
      </c>
      <c r="V409" s="199">
        <f t="shared" si="466"/>
        <v>7.3615648232194433</v>
      </c>
      <c r="W409" s="199">
        <f t="shared" si="466"/>
        <v>7.77483909295896E-2</v>
      </c>
      <c r="X409" s="199">
        <f>X395+X402</f>
        <v>73.463947768710653</v>
      </c>
      <c r="Z409" s="169">
        <f t="shared" si="449"/>
        <v>0</v>
      </c>
      <c r="AA409" s="207">
        <v>10.9545124173478</v>
      </c>
      <c r="AB409" s="207">
        <v>0</v>
      </c>
      <c r="AC409" s="186" t="s">
        <v>132</v>
      </c>
      <c r="AF409" s="185"/>
      <c r="AG409" s="207"/>
      <c r="AH409" s="207"/>
    </row>
    <row r="410" spans="1:43">
      <c r="E410" s="68" t="s">
        <v>176</v>
      </c>
      <c r="F410" s="68"/>
      <c r="G410" s="68"/>
      <c r="H410" s="68"/>
      <c r="I410" s="68"/>
      <c r="J410" s="321">
        <f>J409/41.868</f>
        <v>3151.6114502722844</v>
      </c>
      <c r="K410" s="321">
        <f t="shared" ref="K410:P410" si="467">K409/41.868</f>
        <v>20496.233291774144</v>
      </c>
      <c r="L410" s="321">
        <f t="shared" si="467"/>
        <v>343.85736600745201</v>
      </c>
      <c r="M410" s="321">
        <f t="shared" si="467"/>
        <v>573.75634947931587</v>
      </c>
      <c r="N410" s="321">
        <f t="shared" si="467"/>
        <v>4548.0670980223567</v>
      </c>
      <c r="O410" s="321">
        <f t="shared" si="467"/>
        <v>1613.4473473774719</v>
      </c>
      <c r="P410" s="321">
        <f t="shared" si="467"/>
        <v>30726.97290293303</v>
      </c>
      <c r="R410" s="197">
        <v>12.405216282696305</v>
      </c>
      <c r="S410" s="197">
        <v>49.686258773904321</v>
      </c>
      <c r="T410" s="197">
        <v>2.3162054788323063</v>
      </c>
      <c r="U410" s="197">
        <v>1.6169540191286966</v>
      </c>
      <c r="V410" s="197">
        <v>7.3615646582837648</v>
      </c>
      <c r="W410" s="197">
        <v>7.7748390929589656E-2</v>
      </c>
      <c r="X410" s="197">
        <v>73.463947603774983</v>
      </c>
      <c r="Z410" s="169">
        <f t="shared" si="449"/>
        <v>3448.5618747878443</v>
      </c>
      <c r="AA410" s="207">
        <v>24.115817306208701</v>
      </c>
      <c r="AB410" s="207">
        <v>143</v>
      </c>
      <c r="AC410" s="186" t="s">
        <v>133</v>
      </c>
      <c r="AF410" s="185"/>
      <c r="AG410" s="207"/>
      <c r="AH410" s="207"/>
    </row>
    <row r="411" spans="1:43">
      <c r="J411" s="321">
        <f>(J395)/41.868+J427</f>
        <v>3176.5472007260919</v>
      </c>
      <c r="K411" s="321">
        <f t="shared" ref="K411:P411" si="468">(K395)/41.868+K427</f>
        <v>24129.980275150472</v>
      </c>
      <c r="L411" s="321">
        <f t="shared" si="468"/>
        <v>422.99928823922806</v>
      </c>
      <c r="M411" s="321">
        <f t="shared" si="468"/>
        <v>1057.5179707652624</v>
      </c>
      <c r="N411" s="321">
        <f t="shared" si="468"/>
        <v>5750.9025298557372</v>
      </c>
      <c r="O411" s="321">
        <f t="shared" si="468"/>
        <v>1920.950508264068</v>
      </c>
      <c r="P411" s="321">
        <f t="shared" si="468"/>
        <v>36458.897773000863</v>
      </c>
      <c r="T411" s="197"/>
      <c r="U411" s="198"/>
      <c r="Z411" s="169">
        <f t="shared" si="449"/>
        <v>0</v>
      </c>
      <c r="AA411" s="207"/>
      <c r="AB411" s="207">
        <v>45.85</v>
      </c>
      <c r="AC411" s="186" t="s">
        <v>208</v>
      </c>
      <c r="AF411" s="185"/>
      <c r="AG411" s="207"/>
      <c r="AH411" s="207"/>
    </row>
    <row r="412" spans="1:43">
      <c r="A412" s="183" t="s">
        <v>193</v>
      </c>
      <c r="J412" s="168">
        <f>95+J413</f>
        <v>94.013334214870554</v>
      </c>
      <c r="K412" s="185">
        <f>56+K413</f>
        <v>57.900194918652439</v>
      </c>
      <c r="L412" s="147">
        <f>177+L413</f>
        <v>160.88536383229078</v>
      </c>
      <c r="M412" s="168">
        <f>68+M413</f>
        <v>67.311295614367666</v>
      </c>
      <c r="N412" s="168">
        <f>36+N413</f>
        <v>38.659929875437356</v>
      </c>
      <c r="O412" s="168">
        <f>1+O413</f>
        <v>1.1509445395355939</v>
      </c>
      <c r="P412" s="317">
        <f>P402/41.868</f>
        <v>15600.905129932169</v>
      </c>
      <c r="Q412" s="90">
        <f>P412-'5-x'!Z82</f>
        <v>0</v>
      </c>
      <c r="Z412" s="169">
        <f t="shared" si="449"/>
        <v>55432.377160488453</v>
      </c>
      <c r="AA412" s="207">
        <v>1208.99404930182</v>
      </c>
      <c r="AB412" s="207">
        <v>45.85</v>
      </c>
      <c r="AC412" s="186" t="s">
        <v>209</v>
      </c>
      <c r="AF412" s="185"/>
      <c r="AG412" s="207"/>
      <c r="AH412" s="207"/>
    </row>
    <row r="413" spans="1:43">
      <c r="A413" s="453" t="s">
        <v>376</v>
      </c>
      <c r="B413" s="452"/>
      <c r="C413" s="452"/>
      <c r="D413" s="452"/>
      <c r="E413" s="452"/>
      <c r="F413" s="452"/>
      <c r="G413" s="452"/>
      <c r="H413" s="452"/>
      <c r="I413" s="452"/>
      <c r="J413" s="506">
        <v>-0.9866657851294498</v>
      </c>
      <c r="K413" s="506">
        <v>1.9001949186524407</v>
      </c>
      <c r="L413" s="506">
        <v>-16.114636167709214</v>
      </c>
      <c r="M413" s="506">
        <v>-0.6887043856323285</v>
      </c>
      <c r="N413" s="506">
        <v>2.6599298754373533</v>
      </c>
      <c r="O413" s="506">
        <v>0.15094453953559395</v>
      </c>
      <c r="P413" s="318">
        <f>P395/41.868</f>
        <v>15126.067773000857</v>
      </c>
      <c r="Q413" s="90">
        <f>P413-'5-x'!Z83</f>
        <v>0</v>
      </c>
      <c r="R413" s="455">
        <f>R409-R410</f>
        <v>0</v>
      </c>
      <c r="S413" s="455">
        <f>S409-S410</f>
        <v>0</v>
      </c>
      <c r="T413" s="455">
        <f>T409-SUM(T410:T411)</f>
        <v>0</v>
      </c>
      <c r="U413" s="455">
        <f>U409-U410</f>
        <v>0</v>
      </c>
      <c r="V413" s="750">
        <f>V409-V410</f>
        <v>1.6493567844833024E-7</v>
      </c>
      <c r="W413" s="455">
        <f>W409-W410</f>
        <v>0</v>
      </c>
      <c r="X413" s="222">
        <f>X409-X410</f>
        <v>1.6493567045472446E-7</v>
      </c>
      <c r="AA413" s="419" t="s">
        <v>216</v>
      </c>
      <c r="AB413" s="342"/>
      <c r="AC413" s="403"/>
    </row>
    <row r="414" spans="1:43">
      <c r="J414" s="168">
        <f t="shared" ref="J414:O414" si="469">J504</f>
        <v>95.27642406519908</v>
      </c>
      <c r="K414" s="168">
        <f t="shared" si="469"/>
        <v>57.748113668589021</v>
      </c>
      <c r="L414" s="168">
        <f t="shared" si="469"/>
        <v>167.3113263452903</v>
      </c>
      <c r="M414" s="168">
        <f t="shared" si="469"/>
        <v>66.910157336666472</v>
      </c>
      <c r="N414" s="168">
        <f t="shared" si="469"/>
        <v>39.623723334337328</v>
      </c>
      <c r="O414" s="168">
        <f t="shared" si="469"/>
        <v>1.0724959934474365</v>
      </c>
      <c r="P414" s="319">
        <f>P427-P412</f>
        <v>5731.9248700678327</v>
      </c>
      <c r="Q414" s="90">
        <f>P414-'5-x'!Z84</f>
        <v>0</v>
      </c>
      <c r="Z414" s="169">
        <f>AA414*AB414</f>
        <v>1787.01468046592</v>
      </c>
      <c r="AA414" s="207">
        <v>20.047243317394699</v>
      </c>
      <c r="AB414" s="184">
        <v>89.140170155731766</v>
      </c>
      <c r="AC414" s="187" t="s">
        <v>197</v>
      </c>
    </row>
    <row r="415" spans="1:43">
      <c r="J415" s="168">
        <f t="shared" ref="J415:O415" si="470">J402/41.868</f>
        <v>7.8642495461927959</v>
      </c>
      <c r="K415" s="168">
        <f t="shared" si="470"/>
        <v>11395.633016623675</v>
      </c>
      <c r="L415" s="168">
        <f t="shared" si="470"/>
        <v>337.55807776822394</v>
      </c>
      <c r="M415" s="168">
        <f t="shared" si="470"/>
        <v>303.53837871405364</v>
      </c>
      <c r="N415" s="168">
        <f t="shared" si="470"/>
        <v>2596.8845681666194</v>
      </c>
      <c r="O415" s="168">
        <f t="shared" si="470"/>
        <v>959.42683911340407</v>
      </c>
      <c r="P415" s="320">
        <f>SUM(P412:P414)</f>
        <v>36458.897773000863</v>
      </c>
      <c r="Q415" s="320"/>
      <c r="Z415" s="169">
        <f>AA415*AB415</f>
        <v>0</v>
      </c>
      <c r="AA415" s="207">
        <v>1023.1642011512999</v>
      </c>
      <c r="AB415" s="207">
        <v>0</v>
      </c>
      <c r="AC415" s="186" t="s">
        <v>202</v>
      </c>
    </row>
    <row r="416" spans="1:43">
      <c r="J416" s="168">
        <f t="shared" ref="J416:O416" si="471">J427-(J420/J417)</f>
        <v>7.864249546192795</v>
      </c>
      <c r="K416" s="168">
        <f t="shared" si="471"/>
        <v>11395.633016623675</v>
      </c>
      <c r="L416" s="168">
        <f t="shared" si="471"/>
        <v>337.55807776822394</v>
      </c>
      <c r="M416" s="168">
        <f t="shared" si="471"/>
        <v>303.53837871405364</v>
      </c>
      <c r="N416" s="168">
        <f t="shared" si="471"/>
        <v>2596.8845681666194</v>
      </c>
      <c r="O416" s="168">
        <f t="shared" si="471"/>
        <v>959.42683911340407</v>
      </c>
      <c r="P416" s="168"/>
      <c r="Z416" s="169"/>
      <c r="AA416" s="207"/>
      <c r="AB416" s="207">
        <v>0</v>
      </c>
      <c r="AC416" s="186" t="s">
        <v>203</v>
      </c>
    </row>
    <row r="417" spans="1:34">
      <c r="A417" s="241" t="s">
        <v>374</v>
      </c>
      <c r="J417" s="500">
        <f>J420/(J427-J402/41.868)</f>
        <v>0.89911069817338929</v>
      </c>
      <c r="K417" s="500">
        <f t="shared" ref="K417:P417" si="472">K420/(K427-K402/41.868)</f>
        <v>0.89373861605037974</v>
      </c>
      <c r="L417" s="500">
        <f t="shared" si="472"/>
        <v>0.89964961669092103</v>
      </c>
      <c r="M417" s="500">
        <f t="shared" si="472"/>
        <v>0.89982334448705414</v>
      </c>
      <c r="N417" s="500">
        <f t="shared" si="472"/>
        <v>0.87112498706734653</v>
      </c>
      <c r="O417" s="500">
        <f t="shared" si="472"/>
        <v>0.89202660294330882</v>
      </c>
      <c r="P417" s="500">
        <f t="shared" si="472"/>
        <v>0.88951985861246341</v>
      </c>
      <c r="Z417" s="169">
        <f>AA417*AB417</f>
        <v>0</v>
      </c>
      <c r="AA417" s="207">
        <v>230.80747822259599</v>
      </c>
      <c r="AB417" s="207">
        <v>0</v>
      </c>
      <c r="AC417" s="186" t="s">
        <v>136</v>
      </c>
    </row>
    <row r="418" spans="1:34">
      <c r="A418" s="68" t="s">
        <v>252</v>
      </c>
      <c r="J418" s="168"/>
      <c r="K418" s="168"/>
      <c r="L418" s="500">
        <f>IFERROR(SUM(K420:M420)/(SUM(K427:M427)-SUM(K402:M402)/41.868),"")</f>
        <v>0.89455149432669889</v>
      </c>
      <c r="P418" s="168"/>
      <c r="R418" s="191" t="s">
        <v>397</v>
      </c>
      <c r="S418" s="165"/>
      <c r="T418" s="165"/>
      <c r="U418" s="165"/>
      <c r="V418" s="165"/>
      <c r="W418" s="165"/>
      <c r="X418" s="165"/>
      <c r="Z418" s="169">
        <f>AA418*AB418</f>
        <v>0</v>
      </c>
      <c r="AA418" s="207">
        <v>22.646333322059601</v>
      </c>
      <c r="AB418" s="207">
        <v>0</v>
      </c>
      <c r="AC418" s="186" t="s">
        <v>137</v>
      </c>
    </row>
    <row r="419" spans="1:34">
      <c r="A419" s="68" t="str">
        <f>$A$374</f>
        <v>Dati 2020 lorda</v>
      </c>
      <c r="J419" s="180" t="s">
        <v>5</v>
      </c>
      <c r="K419" s="180" t="s">
        <v>186</v>
      </c>
      <c r="L419" s="180" t="s">
        <v>187</v>
      </c>
      <c r="M419" s="180" t="s">
        <v>190</v>
      </c>
      <c r="N419" s="180" t="s">
        <v>192</v>
      </c>
      <c r="O419" s="180" t="s">
        <v>191</v>
      </c>
      <c r="P419" s="180" t="s">
        <v>189</v>
      </c>
      <c r="R419" s="191" t="s">
        <v>5</v>
      </c>
      <c r="S419" s="191" t="s">
        <v>186</v>
      </c>
      <c r="T419" s="191" t="s">
        <v>187</v>
      </c>
      <c r="U419" s="191" t="s">
        <v>190</v>
      </c>
      <c r="V419" s="191" t="s">
        <v>192</v>
      </c>
      <c r="W419" s="191" t="s">
        <v>191</v>
      </c>
      <c r="X419" s="191" t="s">
        <v>189</v>
      </c>
      <c r="Z419" s="169">
        <f>AA419*AB419</f>
        <v>0</v>
      </c>
      <c r="AA419" s="207">
        <v>5.2445582966387096</v>
      </c>
      <c r="AB419" s="207">
        <v>0</v>
      </c>
      <c r="AC419" s="188" t="s">
        <v>139</v>
      </c>
    </row>
    <row r="420" spans="1:34">
      <c r="A420" s="193" t="s">
        <v>251</v>
      </c>
      <c r="J420" s="179">
        <f t="shared" ref="J420:O420" si="473">SUM(J421:J426)</f>
        <v>22.42</v>
      </c>
      <c r="K420" s="179">
        <f t="shared" si="473"/>
        <v>3247.62</v>
      </c>
      <c r="L420" s="179">
        <f t="shared" si="473"/>
        <v>71.2</v>
      </c>
      <c r="M420" s="179">
        <f t="shared" si="473"/>
        <v>435.3</v>
      </c>
      <c r="N420" s="179">
        <f t="shared" si="473"/>
        <v>1047.8200000000002</v>
      </c>
      <c r="O420" s="179">
        <f t="shared" si="473"/>
        <v>274.30099999999999</v>
      </c>
      <c r="P420" s="266">
        <f>SUM(J420:O420)</f>
        <v>5098.661000000001</v>
      </c>
      <c r="Q420" s="193" t="s">
        <v>16</v>
      </c>
      <c r="R420" s="282">
        <f t="shared" ref="R420:R433" si="474">IFERROR(R395/J376*1000000,0)</f>
        <v>930.07391538771458</v>
      </c>
      <c r="S420" s="282">
        <f t="shared" ref="S420:S433" si="475">IFERROR(S395/K376*1000000,0)</f>
        <v>394.7209409094703</v>
      </c>
      <c r="T420" s="282">
        <f t="shared" ref="T420:T433" si="476">IFERROR(T395/L376*1000000,0)</f>
        <v>1526.3194466769428</v>
      </c>
      <c r="U420" s="282">
        <f t="shared" ref="U420:U433" si="477">IFERROR(U395/M376*1000000,0)</f>
        <v>724.43436127759696</v>
      </c>
      <c r="V420" s="282">
        <f t="shared" ref="V420:V433" si="478">IFERROR(V395/N376*1000000,0)</f>
        <v>434.14344885369371</v>
      </c>
      <c r="W420" s="282">
        <f t="shared" ref="W420:W433" si="479">IFERROR(W395/O376*1000000,0)</f>
        <v>11.242463870456785</v>
      </c>
      <c r="X420" s="282">
        <f t="shared" ref="X420:X433" si="480">IFERROR(X395/P376*1000000,0)</f>
        <v>478.25904922349412</v>
      </c>
      <c r="Z420" s="169">
        <f>AA420*AB420</f>
        <v>0</v>
      </c>
      <c r="AA420" s="207">
        <v>87.266962067966304</v>
      </c>
      <c r="AB420" s="207">
        <v>0</v>
      </c>
      <c r="AC420" s="186" t="s">
        <v>204</v>
      </c>
    </row>
    <row r="421" spans="1:34">
      <c r="A421" s="186" t="s">
        <v>24</v>
      </c>
      <c r="K421">
        <v>674.1</v>
      </c>
      <c r="L421">
        <v>8.1</v>
      </c>
      <c r="M421" s="147">
        <v>3.1</v>
      </c>
      <c r="N421" s="147">
        <v>203.7</v>
      </c>
      <c r="O421" s="147">
        <v>272.7</v>
      </c>
      <c r="P421" s="266">
        <f t="shared" ref="P421:P426" si="481">SUM(J421:O421)</f>
        <v>1161.7</v>
      </c>
      <c r="Q421" s="186" t="s">
        <v>17</v>
      </c>
      <c r="R421" s="283">
        <f t="shared" si="474"/>
        <v>0</v>
      </c>
      <c r="S421" s="283">
        <f t="shared" si="475"/>
        <v>595.15610356882848</v>
      </c>
      <c r="T421" s="283">
        <f t="shared" si="476"/>
        <v>1526.3194466769428</v>
      </c>
      <c r="U421" s="283">
        <f t="shared" si="477"/>
        <v>639.45730833649282</v>
      </c>
      <c r="V421" s="283">
        <f t="shared" si="478"/>
        <v>335.45221152916992</v>
      </c>
      <c r="W421" s="283">
        <f t="shared" si="479"/>
        <v>11.24818098488136</v>
      </c>
      <c r="X421" s="282">
        <f t="shared" si="480"/>
        <v>172.41543715554377</v>
      </c>
      <c r="Z421" s="169">
        <f>AA421*AB421</f>
        <v>0</v>
      </c>
      <c r="AA421" s="207">
        <v>11.270355073468</v>
      </c>
      <c r="AB421" s="207">
        <v>0</v>
      </c>
      <c r="AC421" s="186" t="s">
        <v>138</v>
      </c>
    </row>
    <row r="422" spans="1:34">
      <c r="A422" s="186" t="s">
        <v>25</v>
      </c>
      <c r="K422">
        <v>547.6</v>
      </c>
      <c r="M422">
        <v>76.5</v>
      </c>
      <c r="N422">
        <v>8.6999999999999993</v>
      </c>
      <c r="O422">
        <v>0.3</v>
      </c>
      <c r="P422" s="266">
        <f t="shared" si="481"/>
        <v>633.1</v>
      </c>
      <c r="Q422" s="186" t="s">
        <v>18</v>
      </c>
      <c r="R422" s="283">
        <f t="shared" si="474"/>
        <v>0</v>
      </c>
      <c r="S422" s="283">
        <f t="shared" si="475"/>
        <v>426.3770353809565</v>
      </c>
      <c r="T422" s="283">
        <f t="shared" si="476"/>
        <v>0</v>
      </c>
      <c r="U422" s="283">
        <f t="shared" si="477"/>
        <v>1039.4883381726797</v>
      </c>
      <c r="V422" s="283">
        <f t="shared" si="478"/>
        <v>517.57914117235543</v>
      </c>
      <c r="W422" s="283">
        <f t="shared" si="479"/>
        <v>12.953880792473111</v>
      </c>
      <c r="X422" s="282">
        <f t="shared" si="480"/>
        <v>430.27254856156128</v>
      </c>
      <c r="Z422" s="169"/>
      <c r="AA422" s="207"/>
      <c r="AB422" s="207">
        <v>0</v>
      </c>
      <c r="AC422" s="186" t="s">
        <v>205</v>
      </c>
    </row>
    <row r="423" spans="1:34">
      <c r="A423" s="186" t="s">
        <v>26</v>
      </c>
      <c r="K423">
        <v>1800.3</v>
      </c>
      <c r="L423">
        <v>38.299999999999997</v>
      </c>
      <c r="M423">
        <v>221.6</v>
      </c>
      <c r="N423">
        <v>204.2</v>
      </c>
      <c r="O423">
        <v>1.2</v>
      </c>
      <c r="P423" s="266">
        <f t="shared" si="481"/>
        <v>2265.5999999999995</v>
      </c>
      <c r="Q423" s="186" t="s">
        <v>19</v>
      </c>
      <c r="R423" s="283">
        <f t="shared" si="474"/>
        <v>930.07391538771458</v>
      </c>
      <c r="S423" s="283">
        <f t="shared" si="475"/>
        <v>573.6172310590897</v>
      </c>
      <c r="T423" s="283">
        <f t="shared" si="476"/>
        <v>0</v>
      </c>
      <c r="U423" s="283">
        <f t="shared" si="477"/>
        <v>741.29929860103107</v>
      </c>
      <c r="V423" s="283">
        <f t="shared" si="478"/>
        <v>521.5224540196499</v>
      </c>
      <c r="W423" s="283">
        <f t="shared" si="479"/>
        <v>10.409142415559913</v>
      </c>
      <c r="X423" s="282">
        <f t="shared" si="480"/>
        <v>821.59369581552357</v>
      </c>
      <c r="Z423" s="169">
        <f>AA423*AB423</f>
        <v>0</v>
      </c>
      <c r="AA423" s="207">
        <v>205.27592056082699</v>
      </c>
      <c r="AB423" s="207">
        <v>0</v>
      </c>
      <c r="AC423" s="186" t="s">
        <v>206</v>
      </c>
    </row>
    <row r="424" spans="1:34">
      <c r="A424" s="186" t="s">
        <v>27</v>
      </c>
      <c r="J424" s="147"/>
      <c r="K424">
        <v>146.1</v>
      </c>
      <c r="M424">
        <v>54.1</v>
      </c>
      <c r="N424" s="147">
        <v>106.9</v>
      </c>
      <c r="O424" s="147">
        <v>1E-3</v>
      </c>
      <c r="P424" s="266">
        <f t="shared" si="481"/>
        <v>307.101</v>
      </c>
      <c r="Q424" s="186" t="s">
        <v>20</v>
      </c>
      <c r="R424" s="283">
        <f t="shared" si="474"/>
        <v>0</v>
      </c>
      <c r="S424" s="283">
        <f t="shared" si="475"/>
        <v>391.69481862468371</v>
      </c>
      <c r="T424" s="283">
        <f t="shared" si="476"/>
        <v>0</v>
      </c>
      <c r="U424" s="283">
        <f t="shared" si="477"/>
        <v>550.53908682991323</v>
      </c>
      <c r="V424" s="283">
        <f t="shared" si="478"/>
        <v>296.25104263547649</v>
      </c>
      <c r="W424" s="283">
        <f t="shared" si="479"/>
        <v>10.353897077662204</v>
      </c>
      <c r="X424" s="282">
        <f t="shared" si="480"/>
        <v>388.7875253803503</v>
      </c>
    </row>
    <row r="425" spans="1:34">
      <c r="A425" s="186" t="s">
        <v>28</v>
      </c>
      <c r="J425">
        <v>22.42</v>
      </c>
      <c r="K425">
        <v>79.52</v>
      </c>
      <c r="L425">
        <v>24.8</v>
      </c>
      <c r="M425" s="147">
        <v>80</v>
      </c>
      <c r="N425" s="147">
        <v>524.32000000000005</v>
      </c>
      <c r="O425" s="147">
        <v>0.1</v>
      </c>
      <c r="P425" s="266">
        <f t="shared" si="481"/>
        <v>731.16000000000008</v>
      </c>
      <c r="Q425" s="186" t="s">
        <v>22</v>
      </c>
      <c r="R425" s="283">
        <f t="shared" si="474"/>
        <v>0</v>
      </c>
      <c r="S425" s="283">
        <f t="shared" si="475"/>
        <v>0</v>
      </c>
      <c r="T425" s="283">
        <f t="shared" si="476"/>
        <v>0</v>
      </c>
      <c r="U425" s="283">
        <f t="shared" si="477"/>
        <v>0</v>
      </c>
      <c r="V425" s="283">
        <f t="shared" si="478"/>
        <v>0</v>
      </c>
      <c r="W425" s="283">
        <f t="shared" si="479"/>
        <v>0</v>
      </c>
      <c r="X425" s="282">
        <f t="shared" si="480"/>
        <v>0</v>
      </c>
    </row>
    <row r="426" spans="1:34">
      <c r="A426" s="186" t="s">
        <v>350</v>
      </c>
      <c r="K426" s="342"/>
      <c r="O426" s="342"/>
      <c r="P426" s="190">
        <f t="shared" si="481"/>
        <v>0</v>
      </c>
      <c r="Q426" s="186" t="str">
        <f>A426</f>
        <v>a celle combustibile (CEC)</v>
      </c>
      <c r="R426" s="283">
        <f t="shared" si="474"/>
        <v>0</v>
      </c>
      <c r="S426" s="283">
        <f t="shared" si="475"/>
        <v>0</v>
      </c>
      <c r="T426" s="283">
        <f t="shared" si="476"/>
        <v>0</v>
      </c>
      <c r="U426" s="283">
        <f t="shared" si="477"/>
        <v>0</v>
      </c>
      <c r="V426" s="283">
        <f t="shared" si="478"/>
        <v>0</v>
      </c>
      <c r="W426" s="283">
        <f t="shared" si="479"/>
        <v>0</v>
      </c>
      <c r="X426" s="282">
        <f t="shared" si="480"/>
        <v>0</v>
      </c>
      <c r="AF426" s="207"/>
      <c r="AG426" s="207"/>
      <c r="AH426" s="207"/>
    </row>
    <row r="427" spans="1:34">
      <c r="A427" s="193" t="s">
        <v>253</v>
      </c>
      <c r="J427" s="179">
        <f t="shared" ref="J427:O427" si="482">SUM(J428:J433)</f>
        <v>32.799999999999997</v>
      </c>
      <c r="K427" s="179">
        <f t="shared" si="482"/>
        <v>15029.380000000001</v>
      </c>
      <c r="L427" s="179">
        <f t="shared" si="482"/>
        <v>416.7</v>
      </c>
      <c r="M427" s="179">
        <f t="shared" si="482"/>
        <v>787.30000000000007</v>
      </c>
      <c r="N427" s="179">
        <f t="shared" si="482"/>
        <v>3799.7200000000003</v>
      </c>
      <c r="O427" s="179">
        <f t="shared" si="482"/>
        <v>1266.93</v>
      </c>
      <c r="P427" s="266">
        <f>SUM(J427:O427)</f>
        <v>21332.83</v>
      </c>
      <c r="Q427" s="193" t="s">
        <v>23</v>
      </c>
      <c r="R427" s="282">
        <f t="shared" si="474"/>
        <v>413.22744665494542</v>
      </c>
      <c r="S427" s="282">
        <f t="shared" si="475"/>
        <v>355.11361394123804</v>
      </c>
      <c r="T427" s="282">
        <f t="shared" si="476"/>
        <v>1362.5202530049664</v>
      </c>
      <c r="U427" s="282">
        <f t="shared" si="477"/>
        <v>402.79727014563446</v>
      </c>
      <c r="V427" s="282">
        <f t="shared" si="478"/>
        <v>315.28777607354897</v>
      </c>
      <c r="W427" s="282">
        <f t="shared" si="479"/>
        <v>8.464861153524355</v>
      </c>
      <c r="X427" s="282">
        <f t="shared" si="480"/>
        <v>348.76769115492147</v>
      </c>
      <c r="AF427" s="207"/>
      <c r="AG427" s="207"/>
      <c r="AH427" s="207"/>
    </row>
    <row r="428" spans="1:34">
      <c r="A428" s="186" t="s">
        <v>24</v>
      </c>
      <c r="K428" s="147">
        <v>2261.8200000000002</v>
      </c>
      <c r="L428">
        <v>30.4</v>
      </c>
      <c r="M428" s="147">
        <v>7.1</v>
      </c>
      <c r="N428" s="147">
        <v>603.29999999999995</v>
      </c>
      <c r="O428" s="147">
        <v>1258.82</v>
      </c>
      <c r="P428" s="266">
        <f t="shared" ref="P428:P433" si="483">SUM(J428:O428)</f>
        <v>4161.4399999999996</v>
      </c>
      <c r="Q428" s="186" t="s">
        <v>24</v>
      </c>
      <c r="R428" s="283">
        <f t="shared" si="474"/>
        <v>0</v>
      </c>
      <c r="S428" s="283">
        <f t="shared" si="475"/>
        <v>340.16364514708312</v>
      </c>
      <c r="T428" s="283">
        <f t="shared" si="476"/>
        <v>1076.1621986741932</v>
      </c>
      <c r="U428" s="283">
        <f t="shared" si="477"/>
        <v>416.72423114855019</v>
      </c>
      <c r="V428" s="283">
        <f t="shared" si="478"/>
        <v>288.71235630976622</v>
      </c>
      <c r="W428" s="283">
        <f t="shared" si="479"/>
        <v>8.4628951992052226</v>
      </c>
      <c r="X428" s="282">
        <f t="shared" si="480"/>
        <v>242.1885367186978</v>
      </c>
    </row>
    <row r="429" spans="1:34">
      <c r="A429" s="186" t="s">
        <v>25</v>
      </c>
      <c r="K429" s="147">
        <v>1243.5999999999999</v>
      </c>
      <c r="M429">
        <v>140.30000000000001</v>
      </c>
      <c r="N429" s="147">
        <v>14.7</v>
      </c>
      <c r="O429">
        <v>1.5</v>
      </c>
      <c r="P429" s="266">
        <f t="shared" si="483"/>
        <v>1400.1</v>
      </c>
      <c r="Q429" s="186" t="s">
        <v>25</v>
      </c>
      <c r="R429" s="283">
        <f t="shared" si="474"/>
        <v>0</v>
      </c>
      <c r="S429" s="283">
        <f t="shared" si="475"/>
        <v>344.50615976598203</v>
      </c>
      <c r="T429" s="283">
        <f t="shared" si="476"/>
        <v>0</v>
      </c>
      <c r="U429" s="283">
        <f t="shared" si="477"/>
        <v>348.47057739558136</v>
      </c>
      <c r="V429" s="283">
        <f t="shared" si="478"/>
        <v>358.68682938430783</v>
      </c>
      <c r="W429" s="283">
        <f t="shared" si="479"/>
        <v>7.802253033511791</v>
      </c>
      <c r="X429" s="282">
        <f t="shared" si="480"/>
        <v>344.43040988981591</v>
      </c>
      <c r="AF429" s="210"/>
      <c r="AG429" s="210"/>
      <c r="AH429" s="210"/>
    </row>
    <row r="430" spans="1:34">
      <c r="A430" s="186" t="s">
        <v>26</v>
      </c>
      <c r="K430" s="147">
        <v>11005.22</v>
      </c>
      <c r="L430">
        <v>220.7</v>
      </c>
      <c r="M430">
        <v>451.1</v>
      </c>
      <c r="N430" s="147">
        <v>1191.32</v>
      </c>
      <c r="O430">
        <v>6.2</v>
      </c>
      <c r="P430" s="266">
        <f t="shared" si="483"/>
        <v>12874.54</v>
      </c>
      <c r="Q430" s="186" t="s">
        <v>26</v>
      </c>
      <c r="R430" s="283">
        <f t="shared" si="474"/>
        <v>0</v>
      </c>
      <c r="S430" s="283">
        <f t="shared" si="475"/>
        <v>356.66520069889907</v>
      </c>
      <c r="T430" s="283">
        <f t="shared" si="476"/>
        <v>1310.4112884140084</v>
      </c>
      <c r="U430" s="283">
        <f t="shared" si="477"/>
        <v>436.37912946794557</v>
      </c>
      <c r="V430" s="283">
        <f t="shared" si="478"/>
        <v>232.92607749951009</v>
      </c>
      <c r="W430" s="283">
        <f t="shared" si="479"/>
        <v>8.8772352334380358</v>
      </c>
      <c r="X430" s="282">
        <f t="shared" si="480"/>
        <v>359.0073320261514</v>
      </c>
      <c r="AF430" s="185"/>
      <c r="AG430" s="207"/>
      <c r="AH430" s="207"/>
    </row>
    <row r="431" spans="1:34">
      <c r="A431" s="186" t="s">
        <v>27</v>
      </c>
      <c r="J431" s="147"/>
      <c r="K431" s="147">
        <v>227.04</v>
      </c>
      <c r="M431">
        <v>80.2</v>
      </c>
      <c r="N431" s="147">
        <v>210.5</v>
      </c>
      <c r="O431" s="147">
        <v>0.01</v>
      </c>
      <c r="P431" s="266">
        <f t="shared" si="483"/>
        <v>517.75</v>
      </c>
      <c r="Q431" s="186" t="s">
        <v>27</v>
      </c>
      <c r="R431" s="283">
        <f t="shared" si="474"/>
        <v>0</v>
      </c>
      <c r="S431" s="283">
        <f t="shared" si="475"/>
        <v>285.50586114387522</v>
      </c>
      <c r="T431" s="283">
        <f t="shared" si="476"/>
        <v>0</v>
      </c>
      <c r="U431" s="283">
        <f t="shared" si="477"/>
        <v>351.70151958507103</v>
      </c>
      <c r="V431" s="283">
        <f t="shared" si="478"/>
        <v>230.10390261860317</v>
      </c>
      <c r="W431" s="283">
        <f t="shared" si="479"/>
        <v>0</v>
      </c>
      <c r="X431" s="282">
        <f t="shared" si="480"/>
        <v>267.1235241316719</v>
      </c>
      <c r="AA431" s="186"/>
      <c r="AB431" s="207"/>
      <c r="AC431" s="207"/>
      <c r="AE431" s="209"/>
      <c r="AF431" s="185"/>
      <c r="AG431" s="207"/>
      <c r="AH431" s="207"/>
    </row>
    <row r="432" spans="1:34">
      <c r="A432" s="186" t="s">
        <v>28</v>
      </c>
      <c r="J432">
        <v>32.799999999999997</v>
      </c>
      <c r="K432">
        <v>291.60000000000002</v>
      </c>
      <c r="L432">
        <v>165.6</v>
      </c>
      <c r="M432">
        <v>108.6</v>
      </c>
      <c r="N432" s="147">
        <v>1779.9</v>
      </c>
      <c r="O432" s="147">
        <v>0.4</v>
      </c>
      <c r="P432" s="266">
        <f t="shared" si="483"/>
        <v>2378.9</v>
      </c>
      <c r="Q432" s="186" t="s">
        <v>28</v>
      </c>
      <c r="R432" s="283">
        <f t="shared" si="474"/>
        <v>413.28261720857091</v>
      </c>
      <c r="S432" s="283">
        <f t="shared" si="475"/>
        <v>513.05362717417927</v>
      </c>
      <c r="T432" s="283">
        <f t="shared" si="476"/>
        <v>1501.54310064677</v>
      </c>
      <c r="U432" s="283">
        <f t="shared" si="477"/>
        <v>330.29652757970217</v>
      </c>
      <c r="V432" s="283">
        <f t="shared" si="478"/>
        <v>474.78259880024621</v>
      </c>
      <c r="W432" s="283">
        <f t="shared" si="479"/>
        <v>13.472956779803662</v>
      </c>
      <c r="X432" s="282">
        <f t="shared" si="480"/>
        <v>584.26630577940387</v>
      </c>
      <c r="AA432" s="186"/>
      <c r="AB432" s="207"/>
      <c r="AC432" s="207"/>
      <c r="AE432" s="209"/>
      <c r="AF432" s="185"/>
      <c r="AG432" s="207"/>
      <c r="AH432" s="207"/>
    </row>
    <row r="433" spans="1:34">
      <c r="A433" s="186" t="s">
        <v>350</v>
      </c>
      <c r="K433">
        <v>0.1</v>
      </c>
      <c r="M433" s="147"/>
      <c r="P433" s="266">
        <f t="shared" si="483"/>
        <v>0.1</v>
      </c>
      <c r="Q433" s="186" t="str">
        <f>A433</f>
        <v>a celle combustibile (CEC)</v>
      </c>
      <c r="R433" s="283">
        <f t="shared" si="474"/>
        <v>0</v>
      </c>
      <c r="S433" s="283">
        <f t="shared" si="475"/>
        <v>0</v>
      </c>
      <c r="T433" s="283">
        <f t="shared" si="476"/>
        <v>0</v>
      </c>
      <c r="U433" s="283">
        <f t="shared" si="477"/>
        <v>0</v>
      </c>
      <c r="V433" s="283">
        <f t="shared" si="478"/>
        <v>0</v>
      </c>
      <c r="W433" s="283">
        <f t="shared" si="479"/>
        <v>0</v>
      </c>
      <c r="X433" s="282">
        <f t="shared" si="480"/>
        <v>0</v>
      </c>
      <c r="AA433" s="186"/>
      <c r="AB433" s="207"/>
      <c r="AC433" s="207"/>
      <c r="AE433" s="186"/>
      <c r="AF433" s="185"/>
      <c r="AG433" s="408"/>
      <c r="AH433" s="408"/>
    </row>
    <row r="434" spans="1:34">
      <c r="Q434" s="193" t="s">
        <v>9</v>
      </c>
      <c r="R434" s="282">
        <f>R409/J390*1000000</f>
        <v>927.18016449752702</v>
      </c>
      <c r="S434" s="282">
        <f t="shared" ref="S434:X434" si="484">S409/K390*1000000</f>
        <v>371.67292544404057</v>
      </c>
      <c r="T434" s="282">
        <f t="shared" si="484"/>
        <v>1365.2042195168613</v>
      </c>
      <c r="U434" s="282">
        <f t="shared" si="484"/>
        <v>509.28968891458578</v>
      </c>
      <c r="V434" s="282">
        <f t="shared" si="484"/>
        <v>357.2468732120559</v>
      </c>
      <c r="W434" s="282">
        <f t="shared" si="484"/>
        <v>9.4069552328060375</v>
      </c>
      <c r="X434" s="195">
        <f t="shared" si="484"/>
        <v>405.19172426326242</v>
      </c>
      <c r="AA434" s="186"/>
      <c r="AB434" s="207"/>
      <c r="AC434" s="207"/>
      <c r="AE434" s="186"/>
      <c r="AF434" s="185"/>
      <c r="AG434" s="408"/>
      <c r="AH434" s="408"/>
    </row>
    <row r="435" spans="1:34">
      <c r="J435" s="90">
        <f t="shared" ref="J435:O435" si="485">IFERROR((J383/11.63+J420)/J427,"")</f>
        <v>0.87991160371620925</v>
      </c>
      <c r="K435" s="90">
        <f t="shared" si="485"/>
        <v>0.66113864450125281</v>
      </c>
      <c r="L435" s="90">
        <f t="shared" si="485"/>
        <v>0.51521711453109542</v>
      </c>
      <c r="M435" s="90">
        <f t="shared" si="485"/>
        <v>0.78484319920089973</v>
      </c>
      <c r="N435" s="90">
        <f t="shared" si="485"/>
        <v>0.57745003865470146</v>
      </c>
      <c r="O435" s="90">
        <f t="shared" si="485"/>
        <v>0.58718597550375307</v>
      </c>
      <c r="P435" s="269">
        <f>P427-('5-x'!$Z$82+'5-x'!$Z$84)</f>
        <v>0</v>
      </c>
      <c r="R435" s="315">
        <f>'7'!AF6</f>
        <v>927.18176589332518</v>
      </c>
      <c r="S435" s="315">
        <f>'7'!AF7</f>
        <v>371.67283210895351</v>
      </c>
      <c r="T435" s="204"/>
      <c r="U435" s="204"/>
      <c r="V435" s="204"/>
      <c r="W435" s="204"/>
      <c r="X435" s="196">
        <f>'7'!AF12</f>
        <v>405.19183200859817</v>
      </c>
      <c r="AE435" s="193"/>
      <c r="AF435" s="210"/>
      <c r="AG435" s="210"/>
      <c r="AH435" s="210"/>
    </row>
    <row r="436" spans="1:34">
      <c r="J436" s="90" t="str">
        <f t="shared" ref="J436:O436" si="486">IFERROR((J384/11.63+J421)/J428,"")</f>
        <v/>
      </c>
      <c r="K436" s="90">
        <f t="shared" si="486"/>
        <v>0.70713197560190011</v>
      </c>
      <c r="L436" s="90">
        <f t="shared" si="486"/>
        <v>0.64545809385889485</v>
      </c>
      <c r="M436" s="90">
        <f t="shared" si="486"/>
        <v>0.73574897363544989</v>
      </c>
      <c r="N436" s="90">
        <f t="shared" si="486"/>
        <v>0.6377265253202542</v>
      </c>
      <c r="O436" s="90">
        <f t="shared" si="486"/>
        <v>0.58730573855057555</v>
      </c>
      <c r="P436" s="272">
        <f>(P402/41.868)-'5-x'!$Z$82</f>
        <v>0</v>
      </c>
      <c r="R436" s="172">
        <f>R434-R435</f>
        <v>-1.6013957981613203E-3</v>
      </c>
      <c r="S436" s="172">
        <f>S434-S435</f>
        <v>9.3335087058221688E-5</v>
      </c>
      <c r="T436" s="172"/>
      <c r="U436" s="172"/>
      <c r="V436" s="172"/>
      <c r="W436" s="172"/>
      <c r="X436" s="197">
        <f>X434-X435</f>
        <v>-1.0774533575386158E-4</v>
      </c>
      <c r="AE436" s="186"/>
      <c r="AF436" s="185"/>
      <c r="AG436" s="207"/>
      <c r="AH436" s="207"/>
    </row>
    <row r="437" spans="1:34">
      <c r="J437" s="90" t="str">
        <f t="shared" ref="J437:O437" si="487">IFERROR((J385/11.63+J422)/J429,"")</f>
        <v/>
      </c>
      <c r="K437" s="90">
        <f t="shared" si="487"/>
        <v>0.74784464817561536</v>
      </c>
      <c r="L437" s="90" t="str">
        <f t="shared" si="487"/>
        <v/>
      </c>
      <c r="M437" s="90">
        <f t="shared" si="487"/>
        <v>0.81934425003784417</v>
      </c>
      <c r="N437" s="90">
        <f t="shared" si="487"/>
        <v>0.72052105450950799</v>
      </c>
      <c r="O437" s="90">
        <f t="shared" si="487"/>
        <v>0.61845801089137276</v>
      </c>
      <c r="P437" s="272">
        <f>(P395/41.868)-'5-x'!$Z$83</f>
        <v>0</v>
      </c>
      <c r="AE437" s="186"/>
      <c r="AF437" s="185"/>
      <c r="AG437" s="207"/>
      <c r="AH437" s="207"/>
    </row>
    <row r="438" spans="1:34">
      <c r="J438" s="90" t="str">
        <f t="shared" ref="J438:O438" si="488">IFERROR((J386/11.63+J423)/J430,"")</f>
        <v/>
      </c>
      <c r="K438" s="90">
        <f t="shared" si="488"/>
        <v>0.64075455083463773</v>
      </c>
      <c r="L438" s="90">
        <f t="shared" si="488"/>
        <v>0.53025568220556729</v>
      </c>
      <c r="M438" s="90">
        <f t="shared" si="488"/>
        <v>0.74325013871699497</v>
      </c>
      <c r="N438" s="90">
        <f t="shared" si="488"/>
        <v>0.64143723578770362</v>
      </c>
      <c r="O438" s="90">
        <f t="shared" si="488"/>
        <v>0.56106287964940504</v>
      </c>
      <c r="AE438" s="186"/>
      <c r="AF438" s="185"/>
      <c r="AG438" s="207"/>
      <c r="AH438" s="207"/>
    </row>
    <row r="439" spans="1:34">
      <c r="J439" s="90" t="str">
        <f t="shared" ref="J439:O439" si="489">IFERROR((J387/11.63+J424)/J431,"")</f>
        <v/>
      </c>
      <c r="K439" s="90">
        <f t="shared" si="489"/>
        <v>0.85153725359738275</v>
      </c>
      <c r="L439" s="90" t="str">
        <f t="shared" si="489"/>
        <v/>
      </c>
      <c r="M439" s="90">
        <f t="shared" si="489"/>
        <v>0.84771197543544408</v>
      </c>
      <c r="N439" s="90">
        <f t="shared" si="489"/>
        <v>0.76991767135122324</v>
      </c>
      <c r="O439" s="90">
        <f t="shared" si="489"/>
        <v>0.18598452278589853</v>
      </c>
      <c r="AE439" s="186"/>
      <c r="AF439" s="185"/>
      <c r="AG439" s="207"/>
      <c r="AH439" s="207"/>
    </row>
    <row r="440" spans="1:34">
      <c r="J440" s="90">
        <f t="shared" ref="J440:O440" si="490">IFERROR((J388/11.63+J425)/J432,"")</f>
        <v>0.87988538892267698</v>
      </c>
      <c r="K440" s="90">
        <f t="shared" si="490"/>
        <v>0.55581433476404962</v>
      </c>
      <c r="L440" s="90">
        <f t="shared" si="490"/>
        <v>0.47126580017529213</v>
      </c>
      <c r="M440" s="90">
        <f t="shared" si="490"/>
        <v>0.86982133271259798</v>
      </c>
      <c r="N440" s="90">
        <f t="shared" si="490"/>
        <v>0.49024760441148574</v>
      </c>
      <c r="O440" s="90">
        <f t="shared" si="490"/>
        <v>0.48645743766122101</v>
      </c>
    </row>
    <row r="441" spans="1:34">
      <c r="J441" s="90" t="str">
        <f t="shared" ref="J441:O441" si="491">IFERROR((J389/11.63+J426)/J433,"")</f>
        <v/>
      </c>
      <c r="K441" s="90">
        <f t="shared" si="491"/>
        <v>0.25795356835769556</v>
      </c>
      <c r="L441" s="90" t="str">
        <f t="shared" si="491"/>
        <v/>
      </c>
      <c r="M441" s="90" t="str">
        <f t="shared" si="491"/>
        <v/>
      </c>
      <c r="N441" s="90" t="str">
        <f t="shared" si="491"/>
        <v/>
      </c>
      <c r="O441" s="90" t="str">
        <f t="shared" si="491"/>
        <v/>
      </c>
    </row>
    <row r="442" spans="1:34">
      <c r="A442" s="68" t="str">
        <f>$A$374</f>
        <v>Dati 2020 lorda</v>
      </c>
    </row>
    <row r="443" spans="1:34">
      <c r="A443" s="68" t="s">
        <v>257</v>
      </c>
      <c r="B443" s="68"/>
      <c r="C443" s="68"/>
      <c r="D443" s="68"/>
      <c r="E443" s="68"/>
      <c r="J443" s="428">
        <v>9.8183259295941738E-2</v>
      </c>
      <c r="K443" s="428">
        <v>8.8179422126046205</v>
      </c>
      <c r="L443" s="428">
        <v>0.57735988758421186</v>
      </c>
      <c r="M443" s="588">
        <v>1.2164388082448383</v>
      </c>
      <c r="N443" s="587">
        <v>2.0398775971623619</v>
      </c>
      <c r="O443" s="587">
        <v>9.6322673039324347E-4</v>
      </c>
      <c r="P443" s="566">
        <f>SUM(J443:O443)</f>
        <v>12.750764991622367</v>
      </c>
      <c r="Q443" t="s">
        <v>363</v>
      </c>
    </row>
    <row r="444" spans="1:34">
      <c r="A444" t="s">
        <v>258</v>
      </c>
      <c r="J444" s="181">
        <f>J443/(J420*11.63)*1000000</f>
        <v>376.54954041595386</v>
      </c>
      <c r="K444" s="181">
        <f t="shared" ref="K444:P444" si="492">K443/(K420*11.63)*1000000</f>
        <v>233.46529246169149</v>
      </c>
      <c r="L444" s="181">
        <f t="shared" si="492"/>
        <v>697.24739339393932</v>
      </c>
      <c r="M444" s="181">
        <f t="shared" si="492"/>
        <v>240.28235797192636</v>
      </c>
      <c r="N444" s="181">
        <f t="shared" si="492"/>
        <v>167.39316078491635</v>
      </c>
      <c r="O444" s="181">
        <f t="shared" si="492"/>
        <v>0.30194053520579361</v>
      </c>
      <c r="P444" s="181">
        <f t="shared" si="492"/>
        <v>215.0306605910435</v>
      </c>
    </row>
    <row r="446" spans="1:34">
      <c r="A446" s="68" t="s">
        <v>259</v>
      </c>
      <c r="J446" s="271">
        <f t="shared" ref="J446:P446" si="493">J443+R402</f>
        <v>0.12913812732486371</v>
      </c>
      <c r="K446" s="271">
        <f t="shared" si="493"/>
        <v>36.442841036509506</v>
      </c>
      <c r="L446" s="271">
        <f t="shared" si="493"/>
        <v>2.8511336857988998</v>
      </c>
      <c r="M446" s="271">
        <f t="shared" si="493"/>
        <v>2.0718674267985251</v>
      </c>
      <c r="N446" s="271">
        <f t="shared" si="493"/>
        <v>6.2432311702197021</v>
      </c>
      <c r="O446" s="271">
        <f t="shared" si="493"/>
        <v>4.7195843541208753E-2</v>
      </c>
      <c r="P446" s="271">
        <f t="shared" si="493"/>
        <v>47.785407290192701</v>
      </c>
    </row>
    <row r="447" spans="1:34">
      <c r="A447" t="s">
        <v>260</v>
      </c>
      <c r="J447" s="181">
        <f>J446/((J420*11.63)+J383)*1000000</f>
        <v>384.73516324478697</v>
      </c>
      <c r="K447" s="181">
        <f t="shared" ref="K447:P447" si="494">K446/((K420*11.63)+K383)*1000000</f>
        <v>315.35440638206154</v>
      </c>
      <c r="L447" s="181">
        <f t="shared" si="494"/>
        <v>1141.8895145730871</v>
      </c>
      <c r="M447" s="181">
        <f t="shared" si="494"/>
        <v>288.30959568789893</v>
      </c>
      <c r="N447" s="181">
        <f t="shared" si="494"/>
        <v>244.66040579533549</v>
      </c>
      <c r="O447" s="181">
        <f t="shared" si="494"/>
        <v>5.4550124198638814</v>
      </c>
      <c r="P447" s="181">
        <f t="shared" si="494"/>
        <v>299.12601651082991</v>
      </c>
    </row>
    <row r="448" spans="1:34">
      <c r="J448" s="181" t="str">
        <f>IFERROR((J$628*J419*11.63/1000000+R401)/(J419*11.63+J382)*1000000,"")</f>
        <v/>
      </c>
      <c r="K448" s="168"/>
      <c r="L448" s="168"/>
      <c r="M448" s="168"/>
      <c r="N448" s="168"/>
      <c r="O448" s="168"/>
      <c r="P448" s="168"/>
    </row>
    <row r="449" spans="1:34">
      <c r="A449" t="s">
        <v>261</v>
      </c>
      <c r="J449" s="266">
        <f t="shared" ref="J449:P449" si="495">IFERROR((J444*J420*11.63/1000000+R402)/(J420*11.63+J383)*1000000,"")</f>
        <v>384.73516324478692</v>
      </c>
      <c r="K449" s="266">
        <f t="shared" si="495"/>
        <v>315.35440638206154</v>
      </c>
      <c r="L449" s="266">
        <f t="shared" si="495"/>
        <v>1141.8895145730871</v>
      </c>
      <c r="M449" s="266">
        <f t="shared" si="495"/>
        <v>288.30959568789888</v>
      </c>
      <c r="N449" s="266">
        <f t="shared" si="495"/>
        <v>244.66040579533549</v>
      </c>
      <c r="O449" s="266">
        <f t="shared" si="495"/>
        <v>5.4550124198638814</v>
      </c>
      <c r="P449" s="266">
        <f t="shared" si="495"/>
        <v>299.12601651082991</v>
      </c>
      <c r="R449" s="255">
        <f t="shared" ref="R449:R455" si="496">IFERROR(J449/R427-1,"")</f>
        <v>-6.8950607324857138E-2</v>
      </c>
      <c r="S449" s="255">
        <f t="shared" ref="S449:S455" si="497">IFERROR(K449/S427-1,"")</f>
        <v>-0.11196193555608258</v>
      </c>
      <c r="T449" s="255">
        <f t="shared" ref="T449:T455" si="498">IFERROR(L449/T427-1,"")</f>
        <v>-0.16192841019815296</v>
      </c>
      <c r="U449" s="255">
        <f t="shared" ref="U449:U455" si="499">IFERROR(M449/U427-1,"")</f>
        <v>-0.28423150538319608</v>
      </c>
      <c r="V449" s="255">
        <f t="shared" ref="V449:V455" si="500">IFERROR(N449/V427-1,"")</f>
        <v>-0.22400922470821649</v>
      </c>
      <c r="W449" s="255">
        <f t="shared" ref="W449:W455" si="501">IFERROR(O449/W427-1,"")</f>
        <v>-0.35556977002597612</v>
      </c>
      <c r="X449" s="255">
        <f t="shared" ref="X449:X455" si="502">IFERROR(P449/X427-1,"")</f>
        <v>-0.14233449916105012</v>
      </c>
      <c r="AE449" s="186"/>
      <c r="AF449" s="185"/>
      <c r="AG449" s="207"/>
      <c r="AH449" s="207"/>
    </row>
    <row r="450" spans="1:34">
      <c r="A450" s="186" t="s">
        <v>24</v>
      </c>
      <c r="J450" s="181" t="str">
        <f t="shared" ref="J450:P450" si="503">IFERROR((J444*J421*11.63/1000000+R403)/(J421*11.63+J384)*1000000,"")</f>
        <v/>
      </c>
      <c r="K450" s="181">
        <f t="shared" si="503"/>
        <v>295.19357907561096</v>
      </c>
      <c r="L450" s="181">
        <f t="shared" si="503"/>
        <v>919.74483605487717</v>
      </c>
      <c r="M450" s="181">
        <f t="shared" si="503"/>
        <v>312.01732196485858</v>
      </c>
      <c r="N450" s="181">
        <f t="shared" si="503"/>
        <v>224.48016413288093</v>
      </c>
      <c r="O450" s="181">
        <f t="shared" si="503"/>
        <v>5.4526752848500157</v>
      </c>
      <c r="P450" s="181">
        <f t="shared" si="503"/>
        <v>230.70898090572157</v>
      </c>
      <c r="R450" s="254" t="str">
        <f t="shared" si="496"/>
        <v/>
      </c>
      <c r="S450" s="254">
        <f t="shared" si="497"/>
        <v>-0.1322012705150416</v>
      </c>
      <c r="T450" s="254">
        <f t="shared" si="498"/>
        <v>-0.14534738612080833</v>
      </c>
      <c r="U450" s="254">
        <f t="shared" si="499"/>
        <v>-0.25126186901852277</v>
      </c>
      <c r="V450" s="254">
        <f t="shared" si="500"/>
        <v>-0.22247815437441509</v>
      </c>
      <c r="W450" s="254">
        <f t="shared" si="501"/>
        <v>-0.3556962296588414</v>
      </c>
      <c r="X450" s="254">
        <f t="shared" si="502"/>
        <v>-4.7399253360656535E-2</v>
      </c>
    </row>
    <row r="451" spans="1:34">
      <c r="A451" s="186" t="s">
        <v>25</v>
      </c>
      <c r="J451" s="181" t="str">
        <f t="shared" ref="J451:P451" si="504">IFERROR((J444*J422*11.63/1000000+R404)/(J422*11.63+J385)*1000000,"")</f>
        <v/>
      </c>
      <c r="K451" s="181">
        <f t="shared" si="504"/>
        <v>279.12476496151066</v>
      </c>
      <c r="L451" s="181" t="str">
        <f t="shared" si="504"/>
        <v/>
      </c>
      <c r="M451" s="181">
        <f t="shared" si="504"/>
        <v>276.47309223001082</v>
      </c>
      <c r="N451" s="181">
        <f t="shared" si="504"/>
        <v>201.55801339357038</v>
      </c>
      <c r="O451" s="181">
        <f t="shared" si="504"/>
        <v>5.3767650080609037</v>
      </c>
      <c r="P451" s="181">
        <f t="shared" si="504"/>
        <v>266.88802653768272</v>
      </c>
      <c r="R451" s="254" t="str">
        <f t="shared" si="496"/>
        <v/>
      </c>
      <c r="S451" s="254">
        <f t="shared" si="497"/>
        <v>-0.18978294858032141</v>
      </c>
      <c r="T451" s="254" t="str">
        <f t="shared" si="498"/>
        <v/>
      </c>
      <c r="U451" s="254">
        <f t="shared" si="499"/>
        <v>-0.20660994022413404</v>
      </c>
      <c r="V451" s="254">
        <f t="shared" si="500"/>
        <v>-0.43806686813801277</v>
      </c>
      <c r="W451" s="254">
        <f t="shared" si="501"/>
        <v>-0.31087020826331446</v>
      </c>
      <c r="X451" s="254">
        <f t="shared" si="502"/>
        <v>-0.22513222156237356</v>
      </c>
    </row>
    <row r="452" spans="1:34">
      <c r="A452" s="186" t="s">
        <v>26</v>
      </c>
      <c r="J452" s="181" t="str">
        <f t="shared" ref="J452:P452" si="505">IFERROR((J444*J423*11.63/1000000+R405)/(J423*11.63+J386)*1000000,"")</f>
        <v/>
      </c>
      <c r="K452" s="181">
        <f t="shared" si="505"/>
        <v>325.21200060799936</v>
      </c>
      <c r="L452" s="181">
        <f t="shared" si="505"/>
        <v>1109.7388702694323</v>
      </c>
      <c r="M452" s="181">
        <f t="shared" si="505"/>
        <v>306.77096097401977</v>
      </c>
      <c r="N452" s="181">
        <f t="shared" si="505"/>
        <v>215.41420303182542</v>
      </c>
      <c r="O452" s="181">
        <f t="shared" si="505"/>
        <v>5.9190383576092547</v>
      </c>
      <c r="P452" s="181">
        <f t="shared" si="505"/>
        <v>319.57191185104733</v>
      </c>
      <c r="R452" s="254" t="str">
        <f t="shared" si="496"/>
        <v/>
      </c>
      <c r="S452" s="254">
        <f t="shared" si="497"/>
        <v>-8.8186904775868102E-2</v>
      </c>
      <c r="T452" s="254">
        <f t="shared" si="498"/>
        <v>-0.15313697303954854</v>
      </c>
      <c r="U452" s="254">
        <f t="shared" si="499"/>
        <v>-0.29700817418090164</v>
      </c>
      <c r="V452" s="254">
        <f t="shared" si="500"/>
        <v>-7.5182112091856657E-2</v>
      </c>
      <c r="W452" s="254">
        <f t="shared" si="501"/>
        <v>-0.33323403042042754</v>
      </c>
      <c r="X452" s="254">
        <f t="shared" si="502"/>
        <v>-0.10984572363060108</v>
      </c>
    </row>
    <row r="453" spans="1:34">
      <c r="A453" s="186" t="s">
        <v>27</v>
      </c>
      <c r="J453" s="181"/>
      <c r="K453" s="181">
        <f t="shared" ref="K453:P453" si="506">IFERROR((K444*K424*11.63/1000000+S406)/(K424*11.63+K387)*1000000,"")</f>
        <v>246.17927760998933</v>
      </c>
      <c r="L453" s="181" t="str">
        <f t="shared" si="506"/>
        <v/>
      </c>
      <c r="M453" s="181">
        <f t="shared" si="506"/>
        <v>263.04014408914765</v>
      </c>
      <c r="N453" s="181">
        <f t="shared" si="506"/>
        <v>188.7398334647113</v>
      </c>
      <c r="O453" s="181">
        <f t="shared" si="506"/>
        <v>0.16234713011758573</v>
      </c>
      <c r="P453" s="181">
        <f t="shared" si="506"/>
        <v>229.33856472654486</v>
      </c>
      <c r="R453" s="254" t="str">
        <f t="shared" si="496"/>
        <v/>
      </c>
      <c r="S453" s="254">
        <f t="shared" si="497"/>
        <v>-0.13774352434070702</v>
      </c>
      <c r="T453" s="254" t="str">
        <f t="shared" si="498"/>
        <v/>
      </c>
      <c r="U453" s="254">
        <f t="shared" si="499"/>
        <v>-0.252092671082354</v>
      </c>
      <c r="V453" s="254">
        <f t="shared" si="500"/>
        <v>-0.17976257109577476</v>
      </c>
      <c r="W453" s="254" t="str">
        <f t="shared" si="501"/>
        <v/>
      </c>
      <c r="X453" s="254">
        <f t="shared" si="502"/>
        <v>-0.14145126127679375</v>
      </c>
    </row>
    <row r="454" spans="1:34">
      <c r="A454" s="186" t="s">
        <v>28</v>
      </c>
      <c r="J454" s="181">
        <f>IFERROR((J444*J425*11.63/1000000+R407)/(J425*11.63+J388)*1000000,"")</f>
        <v>384.74662582047694</v>
      </c>
      <c r="K454" s="181">
        <f t="shared" ref="K454:P454" si="507">IFERROR((K444*K425*11.63/1000000+S407)/(K425*11.63+K388)*1000000,"")</f>
        <v>375.87762055369507</v>
      </c>
      <c r="L454" s="181">
        <f t="shared" si="507"/>
        <v>1245.9546795950014</v>
      </c>
      <c r="M454" s="181">
        <f t="shared" si="507"/>
        <v>254.06388293827249</v>
      </c>
      <c r="N454" s="181">
        <f t="shared" si="507"/>
        <v>290.07945746682543</v>
      </c>
      <c r="O454" s="181">
        <f t="shared" si="507"/>
        <v>6.7041136987310512</v>
      </c>
      <c r="P454" s="181">
        <f t="shared" si="507"/>
        <v>365.88367275412577</v>
      </c>
      <c r="R454" s="254">
        <f t="shared" si="496"/>
        <v>-6.9047160949652908E-2</v>
      </c>
      <c r="S454" s="254">
        <f t="shared" si="497"/>
        <v>-0.26737167296921494</v>
      </c>
      <c r="T454" s="254">
        <f t="shared" si="498"/>
        <v>-0.17021717254847846</v>
      </c>
      <c r="U454" s="254">
        <f t="shared" si="499"/>
        <v>-0.2308006239122038</v>
      </c>
      <c r="V454" s="254">
        <f t="shared" si="500"/>
        <v>-0.38902677098983218</v>
      </c>
      <c r="W454" s="254">
        <f t="shared" si="501"/>
        <v>-0.50240219661502183</v>
      </c>
      <c r="X454" s="254">
        <f t="shared" si="502"/>
        <v>-0.37377242340538264</v>
      </c>
    </row>
    <row r="455" spans="1:34">
      <c r="A455" s="186" t="s">
        <v>350</v>
      </c>
      <c r="J455" s="181" t="str">
        <f t="shared" ref="J455:P455" si="508">IFERROR((J444*J426*11.63/1000000+R408)/(J426*11.63+J389)*1000000,"")</f>
        <v/>
      </c>
      <c r="K455" s="181">
        <f t="shared" si="508"/>
        <v>0</v>
      </c>
      <c r="L455" s="181" t="str">
        <f t="shared" si="508"/>
        <v/>
      </c>
      <c r="M455" s="181" t="str">
        <f t="shared" si="508"/>
        <v/>
      </c>
      <c r="N455" s="181" t="str">
        <f t="shared" si="508"/>
        <v/>
      </c>
      <c r="O455" s="181">
        <f t="shared" si="508"/>
        <v>0</v>
      </c>
      <c r="P455" s="181">
        <f t="shared" si="508"/>
        <v>0</v>
      </c>
      <c r="R455" s="254" t="str">
        <f t="shared" si="496"/>
        <v/>
      </c>
      <c r="S455" s="254" t="str">
        <f t="shared" si="497"/>
        <v/>
      </c>
      <c r="T455" s="254" t="str">
        <f t="shared" si="498"/>
        <v/>
      </c>
      <c r="U455" s="254" t="str">
        <f t="shared" si="499"/>
        <v/>
      </c>
      <c r="V455" s="254" t="str">
        <f t="shared" si="500"/>
        <v/>
      </c>
      <c r="W455" s="254" t="str">
        <f t="shared" si="501"/>
        <v/>
      </c>
      <c r="X455" s="254" t="str">
        <f t="shared" si="502"/>
        <v/>
      </c>
    </row>
    <row r="456" spans="1:34">
      <c r="J456" s="181"/>
      <c r="K456" s="181"/>
      <c r="L456" s="181"/>
      <c r="M456" s="181"/>
      <c r="N456" s="181"/>
      <c r="O456" s="181"/>
      <c r="P456" s="181"/>
    </row>
    <row r="457" spans="1:34">
      <c r="J457" s="181"/>
      <c r="K457" s="181"/>
      <c r="L457" s="181"/>
      <c r="M457" s="181"/>
      <c r="N457" s="181"/>
      <c r="O457" s="181"/>
      <c r="P457" s="181"/>
    </row>
    <row r="458" spans="1:34">
      <c r="J458" s="181"/>
      <c r="K458" s="181"/>
      <c r="L458" s="181"/>
      <c r="M458" s="181"/>
      <c r="N458" s="181"/>
      <c r="O458" s="181"/>
      <c r="P458" s="181"/>
    </row>
    <row r="459" spans="1:34">
      <c r="J459" s="181"/>
      <c r="K459" s="181"/>
      <c r="L459" s="181"/>
      <c r="M459" s="181"/>
      <c r="N459" s="181"/>
      <c r="O459" s="181"/>
      <c r="P459" s="181"/>
    </row>
    <row r="460" spans="1:34">
      <c r="J460" s="181"/>
      <c r="K460" s="181"/>
      <c r="L460" s="181"/>
      <c r="M460" s="181"/>
      <c r="N460" s="181"/>
      <c r="O460" s="181"/>
      <c r="P460" s="181"/>
    </row>
    <row r="461" spans="1:34">
      <c r="J461" s="181"/>
      <c r="K461" s="181"/>
      <c r="L461" s="181"/>
      <c r="M461" s="181"/>
      <c r="N461" s="181"/>
      <c r="O461" s="181"/>
      <c r="P461" s="181"/>
    </row>
    <row r="464" spans="1:34" ht="15.5">
      <c r="A464" s="108"/>
      <c r="B464" s="108"/>
      <c r="J464" s="254">
        <f t="shared" ref="J464:O464" si="509">J475/J482</f>
        <v>7.3250740469441699E-3</v>
      </c>
      <c r="K464" s="254">
        <f t="shared" si="509"/>
        <v>0.59307810151295315</v>
      </c>
      <c r="L464" s="254">
        <f t="shared" si="509"/>
        <v>0.98805008360863</v>
      </c>
      <c r="M464" s="254">
        <f t="shared" si="509"/>
        <v>0.64560818246052987</v>
      </c>
      <c r="N464" s="254">
        <f t="shared" si="509"/>
        <v>0.64139287686361124</v>
      </c>
      <c r="O464" s="254">
        <f t="shared" si="509"/>
        <v>0.64877866344211021</v>
      </c>
      <c r="P464" s="254">
        <f>SUM(K475:O475)/SUM(K482:O482)</f>
        <v>0.60780747936716817</v>
      </c>
    </row>
    <row r="465" spans="1:43">
      <c r="J465" s="166">
        <f>J519*((J475/11.63)/((J475/11.63)+J512))*41.868</f>
        <v>569.9688721655491</v>
      </c>
      <c r="K465" s="166">
        <f t="shared" ref="K465:P465" si="510">K519*((K475/11.63)/((K475/11.63)+K512))*41.868</f>
        <v>460336.25683565962</v>
      </c>
      <c r="L465" s="166">
        <f t="shared" si="510"/>
        <v>16569.722262301559</v>
      </c>
      <c r="M465" s="166">
        <f t="shared" si="510"/>
        <v>10461.141356861701</v>
      </c>
      <c r="N465" s="166">
        <f t="shared" si="510"/>
        <v>81844.846878523851</v>
      </c>
      <c r="O465" s="166">
        <f t="shared" si="510"/>
        <v>33251.130807155518</v>
      </c>
      <c r="P465" s="166">
        <f t="shared" si="510"/>
        <v>603102.31871083693</v>
      </c>
    </row>
    <row r="466" spans="1:43">
      <c r="A466" s="402" t="s">
        <v>375</v>
      </c>
      <c r="J466" s="68" t="s">
        <v>175</v>
      </c>
      <c r="R466" s="68" t="s">
        <v>122</v>
      </c>
      <c r="S466" s="68"/>
      <c r="AJ466" s="68" t="s">
        <v>264</v>
      </c>
    </row>
    <row r="467" spans="1:43" ht="15.5">
      <c r="A467" s="68"/>
      <c r="J467" s="180" t="s">
        <v>5</v>
      </c>
      <c r="K467" s="180" t="s">
        <v>186</v>
      </c>
      <c r="L467" s="180" t="s">
        <v>187</v>
      </c>
      <c r="M467" s="180" t="s">
        <v>190</v>
      </c>
      <c r="N467" s="180" t="s">
        <v>192</v>
      </c>
      <c r="O467" s="180" t="s">
        <v>191</v>
      </c>
      <c r="P467" s="180" t="s">
        <v>189</v>
      </c>
      <c r="Q467" s="2"/>
      <c r="R467" s="180" t="s">
        <v>5</v>
      </c>
      <c r="S467" s="180" t="s">
        <v>186</v>
      </c>
      <c r="T467" s="180" t="s">
        <v>187</v>
      </c>
      <c r="U467" s="180" t="s">
        <v>190</v>
      </c>
      <c r="V467" s="180" t="s">
        <v>192</v>
      </c>
      <c r="W467" s="180" t="s">
        <v>191</v>
      </c>
      <c r="X467" s="180" t="s">
        <v>189</v>
      </c>
      <c r="AA467" s="68" t="s">
        <v>194</v>
      </c>
      <c r="AB467" s="183" t="s">
        <v>193</v>
      </c>
      <c r="AJ467" s="68"/>
      <c r="AK467" s="180" t="s">
        <v>5</v>
      </c>
      <c r="AL467" s="180" t="s">
        <v>186</v>
      </c>
      <c r="AM467" s="180" t="s">
        <v>187</v>
      </c>
      <c r="AN467" s="180" t="s">
        <v>190</v>
      </c>
      <c r="AO467" s="180" t="s">
        <v>192</v>
      </c>
      <c r="AP467" s="180" t="s">
        <v>191</v>
      </c>
      <c r="AQ467" s="180" t="s">
        <v>189</v>
      </c>
    </row>
    <row r="468" spans="1:43" ht="15.5">
      <c r="A468" s="11" t="s">
        <v>16</v>
      </c>
      <c r="J468" s="179">
        <f t="shared" ref="J468:P468" si="511">SUM(J469:J474)</f>
        <v>18701.400000000001</v>
      </c>
      <c r="K468" s="179">
        <f t="shared" si="511"/>
        <v>57655.6</v>
      </c>
      <c r="L468" s="179">
        <f t="shared" si="511"/>
        <v>29.3</v>
      </c>
      <c r="M468" s="179">
        <f t="shared" si="511"/>
        <v>1223.8</v>
      </c>
      <c r="N468" s="179">
        <f t="shared" si="511"/>
        <v>7273.7000000000007</v>
      </c>
      <c r="O468" s="179">
        <f t="shared" si="511"/>
        <v>2939.41</v>
      </c>
      <c r="P468" s="179">
        <f t="shared" si="511"/>
        <v>87823.210000000021</v>
      </c>
      <c r="Q468" s="2"/>
      <c r="R468" s="206">
        <v>9.577</v>
      </c>
      <c r="S468" s="206">
        <v>6.774</v>
      </c>
      <c r="T468" s="206">
        <v>8.9870000000000001</v>
      </c>
      <c r="U468" s="206">
        <v>10.696</v>
      </c>
      <c r="V468" s="206">
        <v>11.404</v>
      </c>
      <c r="W468" s="206">
        <v>9.9060000000000006</v>
      </c>
      <c r="X468" s="451">
        <v>7.9139999999999997</v>
      </c>
      <c r="AA468" s="68" t="s">
        <v>5</v>
      </c>
      <c r="AC468" s="403"/>
      <c r="AJ468" s="11" t="s">
        <v>16</v>
      </c>
      <c r="AK468" s="256">
        <f t="shared" ref="AK468:AK482" si="512">IFERROR(J468*3.6/J487,"")</f>
        <v>0.37590059517594238</v>
      </c>
      <c r="AL468" s="256">
        <f t="shared" ref="AL468:AL482" si="513">IFERROR(K468*3.6/K487,"")</f>
        <v>0.53150074367206124</v>
      </c>
      <c r="AM468" s="256">
        <f t="shared" ref="AM468:AM482" si="514">IFERROR(L468*3.6/L487,"")</f>
        <v>0.4005786135529098</v>
      </c>
      <c r="AN468" s="256">
        <f t="shared" ref="AN468:AN482" si="515">IFERROR(M468*3.6/M487,"")</f>
        <v>0.33656086253415235</v>
      </c>
      <c r="AO468" s="256">
        <f t="shared" ref="AO468:AO482" si="516">IFERROR(N468*3.6/N487,"")</f>
        <v>0.31567771404166367</v>
      </c>
      <c r="AP468" s="256">
        <f t="shared" ref="AP468:AP482" si="517">IFERROR(O468*3.6/O487,"")</f>
        <v>0.36341288029775237</v>
      </c>
      <c r="AQ468" s="256">
        <f t="shared" ref="AQ468:AQ482" si="518">IFERROR(P468*3.6/P487,"")</f>
        <v>0.4548843193502361</v>
      </c>
    </row>
    <row r="469" spans="1:43" ht="15.5">
      <c r="A469" s="10" t="s">
        <v>17</v>
      </c>
      <c r="J469" s="181">
        <v>0</v>
      </c>
      <c r="K469" s="181">
        <v>237.7</v>
      </c>
      <c r="L469" s="181">
        <v>29.3</v>
      </c>
      <c r="M469" s="181">
        <v>198.6</v>
      </c>
      <c r="N469" s="181">
        <v>1405.4</v>
      </c>
      <c r="O469" s="181">
        <v>2880.9</v>
      </c>
      <c r="P469" s="179">
        <f t="shared" ref="P469:P474" si="519">SUM(J469:O469)</f>
        <v>4751.8999999999996</v>
      </c>
      <c r="Q469" s="2"/>
      <c r="R469" s="178">
        <v>0</v>
      </c>
      <c r="S469" s="178">
        <v>10.122</v>
      </c>
      <c r="T469" s="178">
        <v>8.9870000000000001</v>
      </c>
      <c r="U469" s="178">
        <v>9.4760000000000009</v>
      </c>
      <c r="V469" s="178">
        <v>8.66</v>
      </c>
      <c r="W469" s="178">
        <v>9.8930000000000007</v>
      </c>
      <c r="X469" s="206">
        <v>9.5169999999999995</v>
      </c>
      <c r="Y469" s="147"/>
      <c r="Z469" s="169">
        <f>AA469*AB469</f>
        <v>601258.01217640855</v>
      </c>
      <c r="AA469" s="207">
        <v>6374.10778838853</v>
      </c>
      <c r="AB469" s="207">
        <v>94.328183980775705</v>
      </c>
      <c r="AC469" s="186" t="s">
        <v>58</v>
      </c>
      <c r="AD469" s="342"/>
      <c r="AE469" s="186"/>
      <c r="AF469" s="185"/>
      <c r="AG469" s="207"/>
      <c r="AH469" s="207"/>
      <c r="AJ469" s="10" t="s">
        <v>17</v>
      </c>
      <c r="AK469" s="56" t="str">
        <f t="shared" si="512"/>
        <v/>
      </c>
      <c r="AL469" s="56">
        <f t="shared" si="513"/>
        <v>0.35566093657379971</v>
      </c>
      <c r="AM469" s="56">
        <f t="shared" si="514"/>
        <v>0.4005786135529098</v>
      </c>
      <c r="AN469" s="56">
        <f t="shared" si="515"/>
        <v>0.37990713381173491</v>
      </c>
      <c r="AO469" s="56">
        <f t="shared" si="516"/>
        <v>0.41570438799076215</v>
      </c>
      <c r="AP469" s="56">
        <f t="shared" si="517"/>
        <v>0.36389366218538355</v>
      </c>
      <c r="AQ469" s="256">
        <f t="shared" si="518"/>
        <v>0.37827943441877249</v>
      </c>
    </row>
    <row r="470" spans="1:43" ht="15.5">
      <c r="A470" s="10" t="s">
        <v>18</v>
      </c>
      <c r="J470" s="181">
        <v>0</v>
      </c>
      <c r="K470" s="181">
        <v>1208.5999999999999</v>
      </c>
      <c r="L470" s="181">
        <v>0</v>
      </c>
      <c r="M470" s="181">
        <v>10.4</v>
      </c>
      <c r="N470" s="181">
        <v>8.4</v>
      </c>
      <c r="O470" s="181">
        <v>39</v>
      </c>
      <c r="P470" s="179">
        <f t="shared" si="519"/>
        <v>1266.4000000000001</v>
      </c>
      <c r="Q470" s="2"/>
      <c r="R470" s="178">
        <v>0</v>
      </c>
      <c r="S470" s="178">
        <v>7.3520000000000003</v>
      </c>
      <c r="T470" s="178">
        <v>0</v>
      </c>
      <c r="U470" s="178">
        <v>15.808999999999999</v>
      </c>
      <c r="V470" s="178">
        <v>13.114000000000001</v>
      </c>
      <c r="W470" s="178">
        <v>11.315</v>
      </c>
      <c r="X470" s="206">
        <v>7.5819999999999999</v>
      </c>
      <c r="Y470" s="147"/>
      <c r="Z470" s="169">
        <f>AA470*AB470</f>
        <v>90.212499946757305</v>
      </c>
      <c r="AA470" s="207">
        <v>0.956368458923611</v>
      </c>
      <c r="AB470" s="207">
        <v>94.328183980775705</v>
      </c>
      <c r="AC470" s="186" t="s">
        <v>59</v>
      </c>
      <c r="AD470" s="342"/>
      <c r="AE470" s="186"/>
      <c r="AF470" s="185"/>
      <c r="AG470" s="207"/>
      <c r="AH470" s="207"/>
      <c r="AJ470" s="10" t="s">
        <v>18</v>
      </c>
      <c r="AK470" s="56" t="str">
        <f t="shared" si="512"/>
        <v/>
      </c>
      <c r="AL470" s="56">
        <f t="shared" si="513"/>
        <v>0.48966267682263337</v>
      </c>
      <c r="AM470" s="56" t="str">
        <f t="shared" si="514"/>
        <v/>
      </c>
      <c r="AN470" s="56">
        <f t="shared" si="515"/>
        <v>0.22771838825985202</v>
      </c>
      <c r="AO470" s="56">
        <f t="shared" si="516"/>
        <v>0.27451578465761778</v>
      </c>
      <c r="AP470" s="56">
        <f t="shared" si="517"/>
        <v>0.31816173221387545</v>
      </c>
      <c r="AQ470" s="256">
        <f t="shared" si="518"/>
        <v>0.47482662939353737</v>
      </c>
    </row>
    <row r="471" spans="1:43" ht="15.5">
      <c r="A471" s="10" t="s">
        <v>19</v>
      </c>
      <c r="J471" s="181">
        <v>18701.400000000001</v>
      </c>
      <c r="K471" s="181">
        <v>260.89999999999998</v>
      </c>
      <c r="L471" s="181">
        <v>0</v>
      </c>
      <c r="M471" s="181">
        <v>1012.5</v>
      </c>
      <c r="N471" s="181">
        <v>4182.6000000000004</v>
      </c>
      <c r="O471" s="181">
        <v>8.6</v>
      </c>
      <c r="P471" s="179">
        <f t="shared" si="519"/>
        <v>24166</v>
      </c>
      <c r="Q471" s="2"/>
      <c r="R471" s="178">
        <v>9.577</v>
      </c>
      <c r="S471" s="178">
        <v>9.4659999999999993</v>
      </c>
      <c r="T471" s="178">
        <v>0</v>
      </c>
      <c r="U471" s="178">
        <v>10.888999999999999</v>
      </c>
      <c r="V471" s="178">
        <v>13.802</v>
      </c>
      <c r="W471" s="178">
        <v>9.0570000000000004</v>
      </c>
      <c r="X471" s="206">
        <v>10.362</v>
      </c>
      <c r="Y471" s="147"/>
      <c r="Z471" s="169">
        <f>AA471*AB471</f>
        <v>0</v>
      </c>
      <c r="AA471" s="207"/>
      <c r="AB471" s="207">
        <v>101</v>
      </c>
      <c r="AC471" s="186" t="s">
        <v>60</v>
      </c>
      <c r="AD471" s="342"/>
      <c r="AE471" s="186"/>
      <c r="AF471" s="185"/>
      <c r="AG471" s="207"/>
      <c r="AH471" s="207"/>
      <c r="AJ471" s="10" t="s">
        <v>19</v>
      </c>
      <c r="AK471" s="56">
        <f t="shared" si="512"/>
        <v>0.37590059517594238</v>
      </c>
      <c r="AL471" s="56">
        <f t="shared" si="513"/>
        <v>0.38030847242763577</v>
      </c>
      <c r="AM471" s="56" t="str">
        <f t="shared" si="514"/>
        <v/>
      </c>
      <c r="AN471" s="56">
        <f t="shared" si="515"/>
        <v>0.33060887133804762</v>
      </c>
      <c r="AO471" s="56">
        <f t="shared" si="516"/>
        <v>0.26083176351253445</v>
      </c>
      <c r="AP471" s="56">
        <f t="shared" si="517"/>
        <v>0.3974826101358066</v>
      </c>
      <c r="AQ471" s="256">
        <f t="shared" si="518"/>
        <v>0.34742862861427704</v>
      </c>
    </row>
    <row r="472" spans="1:43" ht="15.5">
      <c r="A472" s="10" t="s">
        <v>20</v>
      </c>
      <c r="J472" s="181">
        <v>0</v>
      </c>
      <c r="K472" s="181">
        <v>55948.3</v>
      </c>
      <c r="L472" s="181">
        <v>0</v>
      </c>
      <c r="M472" s="181">
        <v>2.2999999999999998</v>
      </c>
      <c r="N472" s="181">
        <v>1677.3</v>
      </c>
      <c r="O472" s="181">
        <v>10.91</v>
      </c>
      <c r="P472" s="179">
        <f t="shared" si="519"/>
        <v>57638.810000000012</v>
      </c>
      <c r="Q472" s="2"/>
      <c r="R472" s="178">
        <v>0</v>
      </c>
      <c r="S472" s="178">
        <v>6.734</v>
      </c>
      <c r="T472" s="178">
        <v>0</v>
      </c>
      <c r="U472" s="178">
        <v>8.1880000000000006</v>
      </c>
      <c r="V472" s="178">
        <v>7.7149999999999999</v>
      </c>
      <c r="W472" s="178">
        <v>8.9949999999999992</v>
      </c>
      <c r="X472" s="206">
        <v>6.7629999999999999</v>
      </c>
      <c r="Y472" s="147"/>
      <c r="Z472" s="169">
        <f>AA472*AB472</f>
        <v>0</v>
      </c>
      <c r="AA472" s="207">
        <v>0</v>
      </c>
      <c r="AB472" s="207">
        <v>96.1</v>
      </c>
      <c r="AC472" s="186" t="s">
        <v>61</v>
      </c>
      <c r="AD472" s="342"/>
      <c r="AE472" s="186"/>
      <c r="AF472" s="185"/>
      <c r="AG472" s="207"/>
      <c r="AH472" s="207"/>
      <c r="AJ472" s="10" t="s">
        <v>20</v>
      </c>
      <c r="AK472" s="56" t="str">
        <f t="shared" si="512"/>
        <v/>
      </c>
      <c r="AL472" s="56">
        <f t="shared" si="513"/>
        <v>0.53460053460053458</v>
      </c>
      <c r="AM472" s="56" t="str">
        <f t="shared" si="514"/>
        <v/>
      </c>
      <c r="AN472" s="56">
        <f t="shared" si="515"/>
        <v>0.43966780654616511</v>
      </c>
      <c r="AO472" s="56">
        <f t="shared" si="516"/>
        <v>0.46662346079066758</v>
      </c>
      <c r="AP472" s="56">
        <f t="shared" si="517"/>
        <v>0.40022234574763765</v>
      </c>
      <c r="AQ472" s="256">
        <f t="shared" si="518"/>
        <v>0.53230552880865201</v>
      </c>
    </row>
    <row r="473" spans="1:43" ht="15.5">
      <c r="A473" s="10" t="s">
        <v>22</v>
      </c>
      <c r="J473" s="181">
        <v>0</v>
      </c>
      <c r="K473" s="181">
        <v>0</v>
      </c>
      <c r="L473" s="181">
        <v>0</v>
      </c>
      <c r="M473" s="181">
        <v>0</v>
      </c>
      <c r="N473" s="181">
        <v>0</v>
      </c>
      <c r="O473" s="181">
        <v>0</v>
      </c>
      <c r="P473" s="179">
        <f t="shared" si="519"/>
        <v>0</v>
      </c>
      <c r="Q473" s="2"/>
      <c r="R473" s="178">
        <v>0</v>
      </c>
      <c r="S473" s="178">
        <v>0</v>
      </c>
      <c r="T473" s="178">
        <v>0</v>
      </c>
      <c r="U473" s="178">
        <v>0</v>
      </c>
      <c r="V473" s="178">
        <v>0</v>
      </c>
      <c r="W473" s="178">
        <v>0</v>
      </c>
      <c r="X473" s="206">
        <v>0</v>
      </c>
      <c r="Y473" s="147"/>
      <c r="AA473" t="s">
        <v>186</v>
      </c>
      <c r="AC473" s="403"/>
      <c r="AD473" s="342"/>
      <c r="AE473" s="193"/>
      <c r="AF473" s="210"/>
      <c r="AG473" s="210"/>
      <c r="AH473" s="210"/>
      <c r="AJ473" s="10" t="s">
        <v>22</v>
      </c>
      <c r="AK473" s="56" t="str">
        <f t="shared" si="512"/>
        <v/>
      </c>
      <c r="AL473" s="56" t="str">
        <f t="shared" si="513"/>
        <v/>
      </c>
      <c r="AM473" s="56" t="str">
        <f t="shared" si="514"/>
        <v/>
      </c>
      <c r="AN473" s="56" t="str">
        <f t="shared" si="515"/>
        <v/>
      </c>
      <c r="AO473" s="56" t="str">
        <f t="shared" si="516"/>
        <v/>
      </c>
      <c r="AP473" s="56" t="str">
        <f t="shared" si="517"/>
        <v/>
      </c>
      <c r="AQ473" s="256" t="str">
        <f t="shared" si="518"/>
        <v/>
      </c>
    </row>
    <row r="474" spans="1:43" ht="15.5">
      <c r="A474" s="10" t="s">
        <v>349</v>
      </c>
      <c r="J474" s="181">
        <v>0</v>
      </c>
      <c r="K474" s="181">
        <v>0.1</v>
      </c>
      <c r="L474" s="181">
        <v>0</v>
      </c>
      <c r="M474" s="181">
        <v>0</v>
      </c>
      <c r="N474" s="181">
        <v>0</v>
      </c>
      <c r="O474" s="181">
        <v>0</v>
      </c>
      <c r="P474" s="179">
        <f t="shared" si="519"/>
        <v>0.1</v>
      </c>
      <c r="Q474" s="2"/>
      <c r="R474" s="178">
        <v>0</v>
      </c>
      <c r="S474" s="178">
        <v>5.8140000000000001</v>
      </c>
      <c r="T474" s="178">
        <v>0</v>
      </c>
      <c r="U474" s="178">
        <v>0</v>
      </c>
      <c r="V474" s="178">
        <v>0</v>
      </c>
      <c r="W474" s="178">
        <v>0</v>
      </c>
      <c r="X474" s="206">
        <v>5.8140000000000001</v>
      </c>
      <c r="Y474" s="147"/>
      <c r="Z474" s="169"/>
      <c r="AA474" s="207">
        <v>19609.000150509321</v>
      </c>
      <c r="AB474" s="207">
        <v>57.514354246521499</v>
      </c>
      <c r="AC474" s="403"/>
      <c r="AD474" s="342"/>
      <c r="AE474" s="186"/>
      <c r="AF474" s="185"/>
      <c r="AG474" s="207"/>
      <c r="AH474" s="207"/>
      <c r="AJ474" s="10" t="s">
        <v>349</v>
      </c>
      <c r="AK474" s="56" t="str">
        <f t="shared" si="512"/>
        <v/>
      </c>
      <c r="AL474" s="56" t="str">
        <f t="shared" si="513"/>
        <v/>
      </c>
      <c r="AM474" s="56" t="str">
        <f t="shared" si="514"/>
        <v/>
      </c>
      <c r="AN474" s="56" t="str">
        <f t="shared" si="515"/>
        <v/>
      </c>
      <c r="AO474" s="56" t="str">
        <f t="shared" si="516"/>
        <v/>
      </c>
      <c r="AP474" s="56" t="str">
        <f t="shared" si="517"/>
        <v/>
      </c>
      <c r="AQ474" s="256" t="str">
        <f t="shared" si="518"/>
        <v/>
      </c>
    </row>
    <row r="475" spans="1:43" ht="15.5">
      <c r="A475" s="11" t="s">
        <v>23</v>
      </c>
      <c r="J475" s="179">
        <f t="shared" ref="J475:P475" si="520">SUM(J476:J481)</f>
        <v>138</v>
      </c>
      <c r="K475" s="179">
        <f t="shared" si="520"/>
        <v>84031.54</v>
      </c>
      <c r="L475" s="179">
        <f t="shared" si="520"/>
        <v>2422.6</v>
      </c>
      <c r="M475" s="179">
        <f t="shared" si="520"/>
        <v>2229.44</v>
      </c>
      <c r="N475" s="179">
        <f t="shared" si="520"/>
        <v>13009.5</v>
      </c>
      <c r="O475" s="179">
        <f t="shared" si="520"/>
        <v>5429.7</v>
      </c>
      <c r="P475" s="179">
        <f t="shared" si="520"/>
        <v>107260.77999999998</v>
      </c>
      <c r="Q475" s="2"/>
      <c r="R475" s="206">
        <v>4.4429999999999996</v>
      </c>
      <c r="S475" s="206">
        <v>6.141</v>
      </c>
      <c r="T475" s="206">
        <v>8.3569999999999993</v>
      </c>
      <c r="U475" s="206">
        <v>6.23</v>
      </c>
      <c r="V475" s="206">
        <v>8.2460000000000004</v>
      </c>
      <c r="W475" s="206">
        <v>7.3490000000000002</v>
      </c>
      <c r="X475" s="451">
        <v>6.5069999999999997</v>
      </c>
      <c r="Y475" s="147"/>
      <c r="Z475" s="169"/>
      <c r="AA475" s="419" t="s">
        <v>213</v>
      </c>
      <c r="AB475" s="342"/>
      <c r="AC475" s="403"/>
      <c r="AD475" s="342"/>
      <c r="AE475" s="193"/>
      <c r="AF475" s="210"/>
      <c r="AG475" s="210"/>
      <c r="AH475" s="210"/>
      <c r="AJ475" s="11" t="s">
        <v>23</v>
      </c>
      <c r="AK475" s="256">
        <f t="shared" si="512"/>
        <v>0.81020360768923683</v>
      </c>
      <c r="AL475" s="256">
        <f t="shared" si="513"/>
        <v>0.58627504174390355</v>
      </c>
      <c r="AM475" s="256">
        <f t="shared" si="514"/>
        <v>0.43075032690925946</v>
      </c>
      <c r="AN475" s="256">
        <f t="shared" si="515"/>
        <v>0.57784829675368732</v>
      </c>
      <c r="AO475" s="256">
        <f t="shared" si="516"/>
        <v>0.43654604525157109</v>
      </c>
      <c r="AP475" s="256">
        <f t="shared" si="517"/>
        <v>0.48988695579779284</v>
      </c>
      <c r="AQ475" s="256">
        <f t="shared" si="518"/>
        <v>0.55326575775783293</v>
      </c>
    </row>
    <row r="476" spans="1:43" ht="15.5">
      <c r="A476" s="10" t="s">
        <v>24</v>
      </c>
      <c r="J476" s="181">
        <v>0</v>
      </c>
      <c r="K476" s="181">
        <v>10426.200000000001</v>
      </c>
      <c r="L476" s="181">
        <v>153.80000000000001</v>
      </c>
      <c r="M476" s="181">
        <v>30.8</v>
      </c>
      <c r="N476" s="181">
        <v>2113.4</v>
      </c>
      <c r="O476" s="181">
        <v>5394.6</v>
      </c>
      <c r="P476" s="179">
        <f t="shared" ref="P476:P481" si="521">SUM(J476:O476)</f>
        <v>18118.8</v>
      </c>
      <c r="Q476" s="2"/>
      <c r="R476" s="178">
        <v>0</v>
      </c>
      <c r="S476" s="178">
        <v>5.7190000000000003</v>
      </c>
      <c r="T476" s="178">
        <v>6.6340000000000003</v>
      </c>
      <c r="U476" s="178">
        <v>6.7050000000000001</v>
      </c>
      <c r="V476" s="178">
        <v>7.4749999999999996</v>
      </c>
      <c r="W476" s="178">
        <v>7.3470000000000004</v>
      </c>
      <c r="X476" s="206">
        <v>6.4180000000000001</v>
      </c>
      <c r="Y476" s="147"/>
      <c r="Z476" s="169">
        <f>AA476*AB476</f>
        <v>417.6754858848069</v>
      </c>
      <c r="AA476" s="207">
        <v>2.1656654145074601</v>
      </c>
      <c r="AB476" s="207">
        <v>192.86242606399998</v>
      </c>
      <c r="AC476" s="186" t="s">
        <v>140</v>
      </c>
      <c r="AD476" s="342"/>
      <c r="AE476" s="186"/>
      <c r="AF476" s="185"/>
      <c r="AG476" s="207"/>
      <c r="AH476" s="207"/>
      <c r="AJ476" s="10" t="s">
        <v>24</v>
      </c>
      <c r="AK476" s="56" t="str">
        <f t="shared" si="512"/>
        <v/>
      </c>
      <c r="AL476" s="56">
        <f t="shared" si="513"/>
        <v>0.62948067844028677</v>
      </c>
      <c r="AM476" s="56">
        <f t="shared" si="514"/>
        <v>0.54265902924329212</v>
      </c>
      <c r="AN476" s="56">
        <f t="shared" si="515"/>
        <v>0.53691275167785235</v>
      </c>
      <c r="AO476" s="56">
        <f t="shared" si="516"/>
        <v>0.48160535117056863</v>
      </c>
      <c r="AP476" s="56">
        <f t="shared" si="517"/>
        <v>0.48999591670069415</v>
      </c>
      <c r="AQ476" s="256">
        <f t="shared" si="518"/>
        <v>0.56092436509767418</v>
      </c>
    </row>
    <row r="477" spans="1:43" ht="15.5">
      <c r="A477" s="10" t="s">
        <v>25</v>
      </c>
      <c r="J477" s="181">
        <v>0</v>
      </c>
      <c r="K477" s="181">
        <v>4826.24</v>
      </c>
      <c r="L477" s="181">
        <v>0</v>
      </c>
      <c r="M477" s="181">
        <v>415.34</v>
      </c>
      <c r="N477" s="181">
        <v>20.6</v>
      </c>
      <c r="O477" s="181">
        <v>4.9000000000000004</v>
      </c>
      <c r="P477" s="179">
        <f t="shared" si="521"/>
        <v>5267.08</v>
      </c>
      <c r="Q477" s="2"/>
      <c r="R477" s="178">
        <v>0</v>
      </c>
      <c r="S477" s="178">
        <v>5.89</v>
      </c>
      <c r="T477" s="178">
        <v>4.8730000000000002</v>
      </c>
      <c r="U477" s="178">
        <v>5.5380000000000003</v>
      </c>
      <c r="V477" s="178">
        <v>9.2560000000000002</v>
      </c>
      <c r="W477" s="178">
        <v>6.3689999999999998</v>
      </c>
      <c r="X477" s="206">
        <v>5.8760000000000003</v>
      </c>
      <c r="Y477" s="147"/>
      <c r="Z477" s="169">
        <f>AA477*AB477</f>
        <v>89241.464153553708</v>
      </c>
      <c r="AA477" s="207">
        <v>356.56331656417501</v>
      </c>
      <c r="AB477" s="207">
        <v>250.28223602326699</v>
      </c>
      <c r="AC477" s="186" t="s">
        <v>141</v>
      </c>
      <c r="AD477" s="342"/>
      <c r="AE477" s="186"/>
      <c r="AF477" s="185"/>
      <c r="AG477" s="207"/>
      <c r="AH477" s="207"/>
      <c r="AJ477" s="10" t="s">
        <v>25</v>
      </c>
      <c r="AK477" s="56" t="str">
        <f t="shared" si="512"/>
        <v/>
      </c>
      <c r="AL477" s="56">
        <f t="shared" si="513"/>
        <v>0.61120543293718177</v>
      </c>
      <c r="AM477" s="56" t="str">
        <f t="shared" si="514"/>
        <v/>
      </c>
      <c r="AN477" s="56">
        <f t="shared" si="515"/>
        <v>0.65005417118093167</v>
      </c>
      <c r="AO477" s="56">
        <f t="shared" si="516"/>
        <v>0.38893690579083839</v>
      </c>
      <c r="AP477" s="56">
        <f t="shared" si="517"/>
        <v>0.56523787093735278</v>
      </c>
      <c r="AQ477" s="256">
        <f t="shared" si="518"/>
        <v>0.61267699402670861</v>
      </c>
    </row>
    <row r="478" spans="1:43" ht="15.5">
      <c r="A478" s="10" t="s">
        <v>26</v>
      </c>
      <c r="J478" s="181">
        <v>0</v>
      </c>
      <c r="K478" s="181">
        <v>67335.199999999997</v>
      </c>
      <c r="L478" s="181">
        <v>1508.6</v>
      </c>
      <c r="M478" s="181">
        <v>1441.3</v>
      </c>
      <c r="N478" s="181">
        <v>6343.7</v>
      </c>
      <c r="O478" s="181">
        <v>26.4</v>
      </c>
      <c r="P478" s="179">
        <f t="shared" si="521"/>
        <v>76655.199999999997</v>
      </c>
      <c r="Q478" s="2"/>
      <c r="R478" s="178">
        <v>0</v>
      </c>
      <c r="S478" s="178">
        <v>6.2</v>
      </c>
      <c r="T478" s="178">
        <v>8.15</v>
      </c>
      <c r="U478" s="178">
        <v>6.4880000000000004</v>
      </c>
      <c r="V478" s="178">
        <v>6.2919999999999998</v>
      </c>
      <c r="W478" s="178">
        <v>7.5389999999999997</v>
      </c>
      <c r="X478" s="206">
        <v>6.2519999999999998</v>
      </c>
      <c r="Y478" s="147"/>
      <c r="Z478" s="169">
        <f>AA478*AB478</f>
        <v>8377.042320016224</v>
      </c>
      <c r="AA478" s="207">
        <v>190.35219265860999</v>
      </c>
      <c r="AB478" s="207">
        <v>44.008120962599875</v>
      </c>
      <c r="AC478" s="186" t="s">
        <v>142</v>
      </c>
      <c r="AD478" s="342"/>
      <c r="AE478" s="186"/>
      <c r="AF478" s="185"/>
      <c r="AG478" s="207"/>
      <c r="AH478" s="207"/>
      <c r="AJ478" s="10" t="s">
        <v>26</v>
      </c>
      <c r="AK478" s="56" t="str">
        <f t="shared" si="512"/>
        <v/>
      </c>
      <c r="AL478" s="56">
        <f t="shared" si="513"/>
        <v>0.58064516129032262</v>
      </c>
      <c r="AM478" s="56">
        <f t="shared" si="514"/>
        <v>0.44171779141104295</v>
      </c>
      <c r="AN478" s="56">
        <f t="shared" si="515"/>
        <v>0.55487053020961785</v>
      </c>
      <c r="AO478" s="56">
        <f t="shared" si="516"/>
        <v>0.57215511760966309</v>
      </c>
      <c r="AP478" s="56">
        <f t="shared" si="517"/>
        <v>0.47751691205730201</v>
      </c>
      <c r="AQ478" s="256">
        <f t="shared" si="518"/>
        <v>0.57582803775659264</v>
      </c>
    </row>
    <row r="479" spans="1:43" ht="15.5">
      <c r="A479" s="10" t="s">
        <v>27</v>
      </c>
      <c r="J479" s="181">
        <v>10.4</v>
      </c>
      <c r="K479" s="181">
        <v>642.79999999999995</v>
      </c>
      <c r="L479" s="181">
        <v>0</v>
      </c>
      <c r="M479" s="181">
        <v>178.8</v>
      </c>
      <c r="N479" s="181">
        <v>633.5</v>
      </c>
      <c r="O479" s="181">
        <v>0</v>
      </c>
      <c r="P479" s="179">
        <f t="shared" si="521"/>
        <v>1465.5</v>
      </c>
      <c r="Q479" s="2"/>
      <c r="R479" s="178">
        <v>5.024</v>
      </c>
      <c r="S479" s="178">
        <v>4.9610000000000003</v>
      </c>
      <c r="T479" s="178">
        <v>0</v>
      </c>
      <c r="U479" s="178">
        <v>4.8079999999999998</v>
      </c>
      <c r="V479" s="178">
        <v>6.0259999999999998</v>
      </c>
      <c r="W479" s="178">
        <v>0</v>
      </c>
      <c r="X479" s="206">
        <v>5.4029999999999996</v>
      </c>
      <c r="Y479" s="147"/>
      <c r="Z479" s="169">
        <f>AA479*AB479</f>
        <v>396.2407439638323</v>
      </c>
      <c r="AA479" s="207">
        <v>7.0631148656654599</v>
      </c>
      <c r="AB479" s="207">
        <v>56.1</v>
      </c>
      <c r="AC479" s="187" t="s">
        <v>196</v>
      </c>
      <c r="AD479" s="342"/>
      <c r="AE479" s="193"/>
      <c r="AF479" s="210"/>
      <c r="AG479" s="210"/>
      <c r="AH479" s="210"/>
      <c r="AJ479" s="10" t="s">
        <v>27</v>
      </c>
      <c r="AK479" s="56">
        <f t="shared" si="512"/>
        <v>0.71656050955414019</v>
      </c>
      <c r="AL479" s="56">
        <f t="shared" si="513"/>
        <v>0.7256601491634751</v>
      </c>
      <c r="AM479" s="56" t="str">
        <f t="shared" si="514"/>
        <v/>
      </c>
      <c r="AN479" s="56">
        <f t="shared" si="515"/>
        <v>0.74875207986688863</v>
      </c>
      <c r="AO479" s="56">
        <f t="shared" si="516"/>
        <v>0.59741121805509456</v>
      </c>
      <c r="AP479" s="56" t="str">
        <f t="shared" si="517"/>
        <v/>
      </c>
      <c r="AQ479" s="256">
        <f t="shared" si="518"/>
        <v>0.66627754380985127</v>
      </c>
    </row>
    <row r="480" spans="1:43" ht="15.5">
      <c r="A480" s="10" t="s">
        <v>28</v>
      </c>
      <c r="J480" s="181">
        <v>127.6</v>
      </c>
      <c r="K480" s="181">
        <v>800.9</v>
      </c>
      <c r="L480" s="181">
        <v>760.2</v>
      </c>
      <c r="M480" s="181">
        <v>163.19999999999999</v>
      </c>
      <c r="N480" s="181">
        <v>3898.3</v>
      </c>
      <c r="O480" s="181">
        <v>3.6</v>
      </c>
      <c r="P480" s="179">
        <f t="shared" si="521"/>
        <v>5753.8000000000011</v>
      </c>
      <c r="Q480" s="2"/>
      <c r="R480" s="178">
        <v>4.3959999999999999</v>
      </c>
      <c r="S480" s="178">
        <v>9.0790000000000006</v>
      </c>
      <c r="T480" s="178">
        <v>9.1180000000000003</v>
      </c>
      <c r="U480" s="178">
        <v>7.181</v>
      </c>
      <c r="V480" s="178">
        <v>12.201000000000001</v>
      </c>
      <c r="W480" s="178">
        <v>10.143000000000001</v>
      </c>
      <c r="X480" s="206">
        <v>11.042</v>
      </c>
      <c r="Y480" s="147"/>
      <c r="AA480" s="419" t="s">
        <v>214</v>
      </c>
      <c r="AB480" s="342"/>
      <c r="AC480" s="403"/>
      <c r="AD480" s="342"/>
      <c r="AJ480" s="10" t="s">
        <v>28</v>
      </c>
      <c r="AK480" s="56">
        <f t="shared" si="512"/>
        <v>0.81892629663330307</v>
      </c>
      <c r="AL480" s="56">
        <f t="shared" si="513"/>
        <v>0.39651944046701176</v>
      </c>
      <c r="AM480" s="56">
        <f t="shared" si="514"/>
        <v>0.39482342618995392</v>
      </c>
      <c r="AN480" s="56">
        <f t="shared" si="515"/>
        <v>0.50132293552430018</v>
      </c>
      <c r="AO480" s="56">
        <f t="shared" si="516"/>
        <v>0.29505778214900419</v>
      </c>
      <c r="AP480" s="56">
        <f t="shared" si="517"/>
        <v>0.35492457852706299</v>
      </c>
      <c r="AQ480" s="256">
        <f t="shared" si="518"/>
        <v>0.32601785127824284</v>
      </c>
    </row>
    <row r="481" spans="1:43" ht="15.5">
      <c r="A481" s="10" t="s">
        <v>351</v>
      </c>
      <c r="J481" s="181">
        <v>0</v>
      </c>
      <c r="K481" s="181">
        <v>0.2</v>
      </c>
      <c r="L481" s="181">
        <v>0</v>
      </c>
      <c r="M481" s="181">
        <v>0</v>
      </c>
      <c r="N481" s="181">
        <v>0</v>
      </c>
      <c r="O481" s="181">
        <v>0.2</v>
      </c>
      <c r="P481" s="179">
        <f t="shared" si="521"/>
        <v>0.4</v>
      </c>
      <c r="Q481" s="2"/>
      <c r="R481" s="178">
        <v>0</v>
      </c>
      <c r="S481" s="178">
        <v>8.2040000000000006</v>
      </c>
      <c r="T481" s="178">
        <v>0</v>
      </c>
      <c r="U481" s="178">
        <v>0</v>
      </c>
      <c r="V481" s="178">
        <v>0</v>
      </c>
      <c r="W481" s="178">
        <v>9.98</v>
      </c>
      <c r="X481" s="206">
        <v>9.077</v>
      </c>
      <c r="Y481" s="147"/>
      <c r="Z481" s="169">
        <f t="shared" ref="Z481:Z487" si="522">AA481*AB481</f>
        <v>1.7716096276989897</v>
      </c>
      <c r="AA481" s="207">
        <v>2.4777757030755101E-2</v>
      </c>
      <c r="AB481" s="207">
        <v>71.5</v>
      </c>
      <c r="AC481" s="186" t="s">
        <v>65</v>
      </c>
      <c r="AD481" s="342"/>
      <c r="AE481" s="186"/>
      <c r="AF481" s="207"/>
      <c r="AG481" s="207"/>
      <c r="AH481" s="207"/>
      <c r="AJ481" s="10" t="s">
        <v>351</v>
      </c>
      <c r="AK481" s="56" t="str">
        <f t="shared" si="512"/>
        <v/>
      </c>
      <c r="AL481" s="56" t="str">
        <f t="shared" si="513"/>
        <v/>
      </c>
      <c r="AM481" s="56" t="str">
        <f t="shared" si="514"/>
        <v/>
      </c>
      <c r="AN481" s="56" t="str">
        <f t="shared" si="515"/>
        <v/>
      </c>
      <c r="AO481" s="56" t="str">
        <f t="shared" si="516"/>
        <v/>
      </c>
      <c r="AP481" s="56" t="str">
        <f t="shared" si="517"/>
        <v/>
      </c>
      <c r="AQ481" s="256" t="str">
        <f t="shared" si="518"/>
        <v/>
      </c>
    </row>
    <row r="482" spans="1:43" ht="15.5">
      <c r="A482" s="11" t="s">
        <v>9</v>
      </c>
      <c r="J482" s="456">
        <f t="shared" ref="J482:O482" si="523">J468+J475</f>
        <v>18839.400000000001</v>
      </c>
      <c r="K482" s="456">
        <f t="shared" si="523"/>
        <v>141687.13999999998</v>
      </c>
      <c r="L482" s="456">
        <f t="shared" si="523"/>
        <v>2451.9</v>
      </c>
      <c r="M482" s="456">
        <f t="shared" si="523"/>
        <v>3453.24</v>
      </c>
      <c r="N482" s="456">
        <f t="shared" si="523"/>
        <v>20283.2</v>
      </c>
      <c r="O482" s="456">
        <f t="shared" si="523"/>
        <v>8369.11</v>
      </c>
      <c r="P482" s="785">
        <f>P468+P475+'3'!$AE$27*1000</f>
        <v>195733.84721116995</v>
      </c>
      <c r="Q482" s="2"/>
      <c r="R482" s="206">
        <v>9.5389999999999997</v>
      </c>
      <c r="S482" s="206">
        <v>6.3979999999999997</v>
      </c>
      <c r="T482" s="206">
        <v>8.3650000000000002</v>
      </c>
      <c r="U482" s="206">
        <v>7.8129999999999997</v>
      </c>
      <c r="V482" s="206">
        <v>9.3789999999999996</v>
      </c>
      <c r="W482" s="206">
        <v>8.2469999999999999</v>
      </c>
      <c r="X482" s="206">
        <v>7.141</v>
      </c>
      <c r="Y482" s="147"/>
      <c r="Z482" s="169">
        <f t="shared" si="522"/>
        <v>0</v>
      </c>
      <c r="AA482" s="207">
        <v>0</v>
      </c>
      <c r="AB482" s="207">
        <v>97.286951941375108</v>
      </c>
      <c r="AC482" s="186" t="s">
        <v>66</v>
      </c>
      <c r="AD482" s="342"/>
      <c r="AE482" s="186"/>
      <c r="AF482" s="207"/>
      <c r="AG482" s="207"/>
      <c r="AH482" s="207"/>
      <c r="AJ482" s="11" t="s">
        <v>9</v>
      </c>
      <c r="AK482" s="256">
        <f t="shared" si="512"/>
        <v>0.3773824045425504</v>
      </c>
      <c r="AL482" s="256">
        <f t="shared" si="513"/>
        <v>0.56267871020328741</v>
      </c>
      <c r="AM482" s="256">
        <f t="shared" si="514"/>
        <v>0.43036296940307606</v>
      </c>
      <c r="AN482" s="256">
        <f t="shared" si="515"/>
        <v>0.46077804396970418</v>
      </c>
      <c r="AO482" s="256">
        <f t="shared" si="516"/>
        <v>0.38384242063038293</v>
      </c>
      <c r="AP482" s="256">
        <f t="shared" si="517"/>
        <v>0.43652943719332088</v>
      </c>
      <c r="AQ482" s="256">
        <f t="shared" si="518"/>
        <v>0.50585640784007724</v>
      </c>
    </row>
    <row r="483" spans="1:43">
      <c r="J483" s="147">
        <f t="shared" ref="J483:P483" si="524">J475/11.63</f>
        <v>11.865864144453997</v>
      </c>
      <c r="K483" s="147">
        <f t="shared" si="524"/>
        <v>7225.4118658641437</v>
      </c>
      <c r="L483" s="147">
        <f t="shared" si="524"/>
        <v>208.30610490111778</v>
      </c>
      <c r="M483" s="147">
        <f t="shared" si="524"/>
        <v>191.69733447979362</v>
      </c>
      <c r="N483" s="147">
        <f t="shared" si="524"/>
        <v>1118.6156491831471</v>
      </c>
      <c r="O483" s="147">
        <f t="shared" si="524"/>
        <v>466.87016337059322</v>
      </c>
      <c r="P483" s="147">
        <f t="shared" si="524"/>
        <v>9222.7669819432485</v>
      </c>
      <c r="Y483" s="147"/>
      <c r="Z483" s="169">
        <f t="shared" si="522"/>
        <v>170.62171803501212</v>
      </c>
      <c r="AA483" s="207">
        <v>2.7039891923139798</v>
      </c>
      <c r="AB483" s="207">
        <v>63.1</v>
      </c>
      <c r="AC483" s="186" t="s">
        <v>68</v>
      </c>
      <c r="AD483" s="342"/>
      <c r="AE483" s="186"/>
      <c r="AF483" s="207"/>
      <c r="AG483" s="207"/>
      <c r="AH483" s="207"/>
    </row>
    <row r="484" spans="1:43">
      <c r="J484" s="56"/>
      <c r="K484" s="56">
        <f>SUM(K475:M475)/SUM(K482:M482)</f>
        <v>0.60086869042201951</v>
      </c>
      <c r="L484" s="56"/>
      <c r="M484" s="56"/>
      <c r="N484" s="56">
        <f>N475/N482</f>
        <v>0.64139287686361124</v>
      </c>
      <c r="O484" s="56">
        <f>O475/O482</f>
        <v>0.64877866344211021</v>
      </c>
      <c r="Y484" s="147"/>
      <c r="Z484" s="169">
        <f t="shared" si="522"/>
        <v>16441.770558888795</v>
      </c>
      <c r="AA484" s="207">
        <v>281.899110375107</v>
      </c>
      <c r="AB484" s="207">
        <v>58.325017546208898</v>
      </c>
      <c r="AC484" s="186" t="s">
        <v>69</v>
      </c>
      <c r="AD484" s="342"/>
      <c r="AE484" s="186"/>
      <c r="AF484" s="207"/>
      <c r="AG484" s="207"/>
      <c r="AH484" s="207"/>
      <c r="AJ484" s="68"/>
    </row>
    <row r="485" spans="1:43">
      <c r="J485" s="68" t="s">
        <v>165</v>
      </c>
      <c r="K485" s="56">
        <f>(SUM(K494:M494)/41.868)/SUM(K519:M519)</f>
        <v>0.75306564022008271</v>
      </c>
      <c r="L485" s="56"/>
      <c r="M485" s="56"/>
      <c r="N485" s="56">
        <f>(N494/41.868)/N519</f>
        <v>0.68878636928592096</v>
      </c>
      <c r="O485" s="56">
        <f>(O494/41.868)/O519</f>
        <v>0.75537281728898309</v>
      </c>
      <c r="Y485" s="147"/>
      <c r="Z485" s="169">
        <f t="shared" si="522"/>
        <v>6649.5689826941643</v>
      </c>
      <c r="AA485" s="207">
        <v>89.737773045805199</v>
      </c>
      <c r="AB485" s="207">
        <v>74.099999999999994</v>
      </c>
      <c r="AC485" s="186" t="s">
        <v>70</v>
      </c>
      <c r="AD485" s="342"/>
      <c r="AE485" s="186"/>
      <c r="AF485" s="207"/>
      <c r="AG485" s="207"/>
      <c r="AH485" s="207"/>
      <c r="AJ485" s="68"/>
    </row>
    <row r="486" spans="1:43">
      <c r="A486" s="68" t="str">
        <f>$A$466</f>
        <v>Dati 2019 lorda</v>
      </c>
      <c r="J486" s="180" t="s">
        <v>5</v>
      </c>
      <c r="K486" s="180" t="s">
        <v>186</v>
      </c>
      <c r="L486" s="180" t="s">
        <v>187</v>
      </c>
      <c r="M486" s="180" t="s">
        <v>190</v>
      </c>
      <c r="N486" s="180" t="s">
        <v>192</v>
      </c>
      <c r="O486" s="180" t="s">
        <v>191</v>
      </c>
      <c r="P486" s="180" t="s">
        <v>189</v>
      </c>
      <c r="R486" s="68" t="s">
        <v>210</v>
      </c>
      <c r="Y486" s="147"/>
      <c r="Z486" s="169">
        <f t="shared" si="522"/>
        <v>0</v>
      </c>
      <c r="AA486" s="207">
        <v>0</v>
      </c>
      <c r="AB486" s="207">
        <v>74.099999999999994</v>
      </c>
      <c r="AC486" s="186" t="s">
        <v>71</v>
      </c>
      <c r="AD486" s="342"/>
      <c r="AE486" s="186"/>
      <c r="AF486" s="207"/>
      <c r="AG486" s="207"/>
      <c r="AH486" s="207"/>
      <c r="AJ486" s="68"/>
    </row>
    <row r="487" spans="1:43">
      <c r="A487" s="11" t="s">
        <v>16</v>
      </c>
      <c r="J487" s="179">
        <f t="shared" ref="J487:O487" si="525">SUM(J488:J492)</f>
        <v>179103.30780000001</v>
      </c>
      <c r="K487" s="179">
        <f t="shared" si="525"/>
        <v>390517.15820000001</v>
      </c>
      <c r="L487" s="179">
        <f t="shared" si="525"/>
        <v>263.31909999999999</v>
      </c>
      <c r="M487" s="179">
        <f t="shared" si="525"/>
        <v>13090.292099999999</v>
      </c>
      <c r="N487" s="179">
        <f t="shared" si="525"/>
        <v>82949.536300000007</v>
      </c>
      <c r="O487" s="179">
        <f t="shared" si="525"/>
        <v>29118.054350000006</v>
      </c>
      <c r="P487" s="182">
        <f t="shared" ref="P487:P492" si="526">SUM(J487:O487)</f>
        <v>695041.66784999997</v>
      </c>
      <c r="Q487" s="172"/>
      <c r="R487" s="179">
        <f t="shared" ref="R487:W487" si="527">SUM(R488:R492)</f>
        <v>17.06432270543268</v>
      </c>
      <c r="S487" s="179">
        <f t="shared" si="527"/>
        <v>22.55162924126796</v>
      </c>
      <c r="T487" s="179">
        <f t="shared" si="527"/>
        <v>4.405626787304813E-2</v>
      </c>
      <c r="U487" s="179">
        <f t="shared" si="527"/>
        <v>0.87587350399392216</v>
      </c>
      <c r="V487" s="179">
        <f t="shared" si="527"/>
        <v>3.2867694770627711</v>
      </c>
      <c r="W487" s="179">
        <f t="shared" si="527"/>
        <v>3.1228996627359704E-2</v>
      </c>
      <c r="X487" s="190">
        <f>SUM(R487:W487)</f>
        <v>43.853880192257741</v>
      </c>
      <c r="Y487" s="147"/>
      <c r="Z487" s="169">
        <f t="shared" si="522"/>
        <v>18158.4906260272</v>
      </c>
      <c r="AA487" s="205">
        <v>236.77682838602072</v>
      </c>
      <c r="AB487" s="184">
        <v>76.690319529169244</v>
      </c>
      <c r="AC487" s="203" t="s">
        <v>72</v>
      </c>
      <c r="AD487" s="342"/>
      <c r="AJ487" s="68"/>
    </row>
    <row r="488" spans="1:43">
      <c r="A488" s="10" t="s">
        <v>17</v>
      </c>
      <c r="J488" s="167">
        <f t="shared" ref="J488:O492" si="528">IFERROR(J469*R469,"")</f>
        <v>0</v>
      </c>
      <c r="K488" s="167">
        <f t="shared" si="528"/>
        <v>2405.9993999999997</v>
      </c>
      <c r="L488" s="167">
        <f t="shared" si="528"/>
        <v>263.31909999999999</v>
      </c>
      <c r="M488" s="167">
        <f t="shared" si="528"/>
        <v>1881.9336000000001</v>
      </c>
      <c r="N488" s="167">
        <f t="shared" si="528"/>
        <v>12170.764000000001</v>
      </c>
      <c r="O488" s="167">
        <f t="shared" si="528"/>
        <v>28500.743700000003</v>
      </c>
      <c r="P488" s="182">
        <f t="shared" si="526"/>
        <v>45222.7598</v>
      </c>
      <c r="Q488" s="172"/>
      <c r="R488" s="181">
        <f t="shared" ref="R488:R493" si="529">J488*J$504/1000000</f>
        <v>0</v>
      </c>
      <c r="S488" s="181">
        <f t="shared" ref="S488:W493" si="530">K488*K$504/1000000</f>
        <v>0.13894192683775697</v>
      </c>
      <c r="T488" s="181">
        <f t="shared" si="530"/>
        <v>4.405626787304813E-2</v>
      </c>
      <c r="U488" s="181">
        <f t="shared" si="530"/>
        <v>0.12592047327315914</v>
      </c>
      <c r="V488" s="181">
        <f t="shared" si="530"/>
        <v>0.48225098550351275</v>
      </c>
      <c r="W488" s="181">
        <f t="shared" si="530"/>
        <v>3.0566933428522271E-2</v>
      </c>
      <c r="X488" s="190">
        <f t="shared" ref="X488:X493" si="531">SUM(R488:W488)</f>
        <v>0.82173658691599927</v>
      </c>
      <c r="Y488" s="147"/>
      <c r="Z488" s="169"/>
      <c r="AA488" s="419" t="s">
        <v>215</v>
      </c>
      <c r="AB488" s="342"/>
      <c r="AC488" s="403"/>
      <c r="AD488" s="342"/>
      <c r="AJ488" s="68"/>
      <c r="AQ488" s="252"/>
    </row>
    <row r="489" spans="1:43">
      <c r="A489" s="10" t="s">
        <v>18</v>
      </c>
      <c r="J489" s="167">
        <f t="shared" si="528"/>
        <v>0</v>
      </c>
      <c r="K489" s="167">
        <f t="shared" si="528"/>
        <v>8885.627199999999</v>
      </c>
      <c r="L489" s="167">
        <f t="shared" si="528"/>
        <v>0</v>
      </c>
      <c r="M489" s="167">
        <f t="shared" si="528"/>
        <v>164.4136</v>
      </c>
      <c r="N489" s="167">
        <f t="shared" si="528"/>
        <v>110.15760000000002</v>
      </c>
      <c r="O489" s="167">
        <f t="shared" si="528"/>
        <v>441.28499999999997</v>
      </c>
      <c r="P489" s="182">
        <f t="shared" si="526"/>
        <v>9601.4833999999992</v>
      </c>
      <c r="Q489" s="172"/>
      <c r="R489" s="181">
        <f t="shared" si="529"/>
        <v>0</v>
      </c>
      <c r="S489" s="181">
        <f t="shared" si="530"/>
        <v>0.51312820956230631</v>
      </c>
      <c r="T489" s="181">
        <f t="shared" si="530"/>
        <v>0</v>
      </c>
      <c r="U489" s="181">
        <f t="shared" si="530"/>
        <v>1.1000939844287747E-2</v>
      </c>
      <c r="V489" s="181">
        <f t="shared" si="530"/>
        <v>4.3648542655745984E-3</v>
      </c>
      <c r="W489" s="181">
        <f t="shared" si="530"/>
        <v>4.73276394468452E-4</v>
      </c>
      <c r="X489" s="190">
        <f t="shared" si="531"/>
        <v>0.52896728006663718</v>
      </c>
      <c r="Y489" s="147"/>
      <c r="Z489" s="169">
        <f t="shared" ref="Z489:Z504" si="532">AA489*AB489</f>
        <v>0</v>
      </c>
      <c r="AA489" s="207">
        <v>0</v>
      </c>
      <c r="AB489" s="207">
        <v>63.1</v>
      </c>
      <c r="AC489" s="187" t="s">
        <v>195</v>
      </c>
      <c r="AD489" s="342"/>
      <c r="AE489" s="186"/>
      <c r="AF489" s="207"/>
      <c r="AG489" s="207"/>
      <c r="AH489" s="207"/>
      <c r="AJ489" s="68" t="s">
        <v>265</v>
      </c>
    </row>
    <row r="490" spans="1:43">
      <c r="A490" s="10" t="s">
        <v>19</v>
      </c>
      <c r="J490" s="167">
        <f t="shared" si="528"/>
        <v>179103.30780000001</v>
      </c>
      <c r="K490" s="167">
        <f t="shared" si="528"/>
        <v>2469.6793999999995</v>
      </c>
      <c r="L490" s="167">
        <f t="shared" si="528"/>
        <v>0</v>
      </c>
      <c r="M490" s="167">
        <f t="shared" si="528"/>
        <v>11025.112499999999</v>
      </c>
      <c r="N490" s="167">
        <f t="shared" si="528"/>
        <v>57728.245200000005</v>
      </c>
      <c r="O490" s="167">
        <f t="shared" si="528"/>
        <v>77.890199999999993</v>
      </c>
      <c r="P490" s="182">
        <f t="shared" si="526"/>
        <v>250404.23509999999</v>
      </c>
      <c r="Q490" s="172"/>
      <c r="R490" s="181">
        <f t="shared" si="529"/>
        <v>17.06432270543268</v>
      </c>
      <c r="S490" s="181">
        <f t="shared" si="530"/>
        <v>0.14261932671617272</v>
      </c>
      <c r="T490" s="181">
        <f t="shared" si="530"/>
        <v>0</v>
      </c>
      <c r="U490" s="181">
        <f t="shared" si="530"/>
        <v>0.73769201202944823</v>
      </c>
      <c r="V490" s="181">
        <f t="shared" si="530"/>
        <v>2.2874080163815869</v>
      </c>
      <c r="W490" s="181">
        <f t="shared" si="530"/>
        <v>8.3536927428819513E-5</v>
      </c>
      <c r="X490" s="190">
        <f t="shared" si="531"/>
        <v>20.232125597487318</v>
      </c>
      <c r="Y490" s="147"/>
      <c r="Z490" s="169">
        <f t="shared" si="532"/>
        <v>462.470332162349</v>
      </c>
      <c r="AA490" s="207">
        <v>6.040207941297</v>
      </c>
      <c r="AB490" s="207">
        <v>76.565299846787028</v>
      </c>
      <c r="AC490" s="187" t="s">
        <v>198</v>
      </c>
      <c r="AD490" s="342"/>
      <c r="AE490" s="186"/>
      <c r="AF490" s="207"/>
      <c r="AG490" s="207"/>
      <c r="AH490" s="207"/>
    </row>
    <row r="491" spans="1:43">
      <c r="A491" s="10" t="s">
        <v>20</v>
      </c>
      <c r="J491" s="167">
        <f t="shared" si="528"/>
        <v>0</v>
      </c>
      <c r="K491" s="167">
        <f t="shared" si="528"/>
        <v>376755.85220000002</v>
      </c>
      <c r="L491" s="167">
        <f t="shared" si="528"/>
        <v>0</v>
      </c>
      <c r="M491" s="167">
        <f t="shared" si="528"/>
        <v>18.8324</v>
      </c>
      <c r="N491" s="167">
        <f t="shared" si="528"/>
        <v>12940.369499999999</v>
      </c>
      <c r="O491" s="167">
        <f t="shared" si="528"/>
        <v>98.135449999999992</v>
      </c>
      <c r="P491" s="182">
        <f t="shared" si="526"/>
        <v>389813.18955000001</v>
      </c>
      <c r="Q491" s="172"/>
      <c r="R491" s="181">
        <f t="shared" si="529"/>
        <v>0</v>
      </c>
      <c r="S491" s="181">
        <f t="shared" si="530"/>
        <v>21.756939778151725</v>
      </c>
      <c r="T491" s="181">
        <f t="shared" si="530"/>
        <v>0</v>
      </c>
      <c r="U491" s="181">
        <f t="shared" si="530"/>
        <v>1.2600788470270377E-3</v>
      </c>
      <c r="V491" s="181">
        <f t="shared" si="530"/>
        <v>0.51274562091209697</v>
      </c>
      <c r="W491" s="181">
        <f t="shared" si="530"/>
        <v>1.0524987694016123E-4</v>
      </c>
      <c r="X491" s="190">
        <f t="shared" si="531"/>
        <v>22.271050727787792</v>
      </c>
      <c r="Y491" s="147"/>
      <c r="Z491" s="169">
        <f t="shared" si="532"/>
        <v>4813.707257496706</v>
      </c>
      <c r="AA491" s="207">
        <v>94.771300162874496</v>
      </c>
      <c r="AB491" s="207">
        <v>50.792879798249487</v>
      </c>
      <c r="AC491" s="187" t="s">
        <v>199</v>
      </c>
      <c r="AD491" s="342"/>
      <c r="AE491" s="186"/>
      <c r="AF491" s="207"/>
      <c r="AG491" s="207"/>
      <c r="AH491" s="207"/>
      <c r="AJ491" s="11" t="s">
        <v>23</v>
      </c>
      <c r="AK491" s="256">
        <f t="shared" ref="AK491:AK497" si="533">IFERROR(((J475/11.63)+J512)/J519,"")</f>
        <v>0.8716265470997564</v>
      </c>
      <c r="AL491" s="256">
        <f t="shared" ref="AL491:AL497" si="534">IFERROR(((K475/11.63)+K512)/K519,"")</f>
        <v>0.65715776132749315</v>
      </c>
      <c r="AM491" s="256">
        <f t="shared" ref="AM491:AM497" si="535">IFERROR(((L475/11.63)+L512)/L519,"")</f>
        <v>0.5263431614567442</v>
      </c>
      <c r="AN491" s="256">
        <f t="shared" ref="AN491:AN497" si="536">IFERROR(((M475/11.63)+M512)/M519,"")</f>
        <v>0.76721876955955426</v>
      </c>
      <c r="AO491" s="256">
        <f t="shared" ref="AO491:AO497" si="537">IFERROR(((N475/11.63)+N512)/N519,"")</f>
        <v>0.57223150615105289</v>
      </c>
      <c r="AP491" s="256">
        <f t="shared" ref="AP491:AP497" si="538">IFERROR(((O475/11.63)+O512)/O519,"")</f>
        <v>0.58785730065437569</v>
      </c>
      <c r="AQ491" s="256">
        <f t="shared" ref="AQ491:AQ497" si="539">IFERROR(((P475/11.63)+P512)/P519,"")</f>
        <v>0.64025422556058487</v>
      </c>
    </row>
    <row r="492" spans="1:43">
      <c r="A492" s="10" t="s">
        <v>22</v>
      </c>
      <c r="J492" s="167">
        <f t="shared" si="528"/>
        <v>0</v>
      </c>
      <c r="K492" s="167">
        <f t="shared" si="528"/>
        <v>0</v>
      </c>
      <c r="L492" s="167">
        <f t="shared" si="528"/>
        <v>0</v>
      </c>
      <c r="M492" s="167">
        <f t="shared" si="528"/>
        <v>0</v>
      </c>
      <c r="N492" s="167">
        <f t="shared" si="528"/>
        <v>0</v>
      </c>
      <c r="O492" s="167">
        <f t="shared" si="528"/>
        <v>0</v>
      </c>
      <c r="P492" s="182">
        <f t="shared" si="526"/>
        <v>0</v>
      </c>
      <c r="Q492" s="172"/>
      <c r="R492" s="181">
        <f t="shared" si="529"/>
        <v>0</v>
      </c>
      <c r="S492" s="181">
        <f t="shared" si="530"/>
        <v>0</v>
      </c>
      <c r="T492" s="181">
        <f t="shared" si="530"/>
        <v>0</v>
      </c>
      <c r="U492" s="181">
        <f t="shared" si="530"/>
        <v>0</v>
      </c>
      <c r="V492" s="181">
        <f t="shared" si="530"/>
        <v>0</v>
      </c>
      <c r="W492" s="181">
        <f t="shared" si="530"/>
        <v>0</v>
      </c>
      <c r="X492" s="190">
        <f t="shared" si="531"/>
        <v>0</v>
      </c>
      <c r="Y492" s="147"/>
      <c r="Z492" s="169">
        <f t="shared" si="532"/>
        <v>94858.540824196563</v>
      </c>
      <c r="AA492" s="207">
        <v>1063.09862819871</v>
      </c>
      <c r="AB492" s="420">
        <v>89.228354085004042</v>
      </c>
      <c r="AC492" s="187" t="s">
        <v>212</v>
      </c>
      <c r="AD492" s="342"/>
      <c r="AE492" s="186"/>
      <c r="AF492" s="207"/>
      <c r="AG492" s="207"/>
      <c r="AH492" s="207"/>
      <c r="AJ492" s="10" t="s">
        <v>24</v>
      </c>
      <c r="AK492" s="56" t="str">
        <f t="shared" si="533"/>
        <v/>
      </c>
      <c r="AL492" s="56">
        <f t="shared" si="534"/>
        <v>0.7239432786266955</v>
      </c>
      <c r="AM492" s="56">
        <f t="shared" si="535"/>
        <v>0.65126192058156807</v>
      </c>
      <c r="AN492" s="56">
        <f t="shared" si="536"/>
        <v>0.65469342278953169</v>
      </c>
      <c r="AO492" s="56">
        <f t="shared" si="537"/>
        <v>0.63558088115567779</v>
      </c>
      <c r="AP492" s="56">
        <f t="shared" si="538"/>
        <v>0.58779312250144378</v>
      </c>
      <c r="AQ492" s="256">
        <f t="shared" si="539"/>
        <v>0.66863493535284724</v>
      </c>
    </row>
    <row r="493" spans="1:43">
      <c r="A493" s="10" t="s">
        <v>349</v>
      </c>
      <c r="J493" s="167"/>
      <c r="K493" s="167"/>
      <c r="L493" s="167"/>
      <c r="M493" s="167"/>
      <c r="N493" s="167"/>
      <c r="O493" s="167"/>
      <c r="P493" s="182"/>
      <c r="Q493" s="172"/>
      <c r="R493" s="181">
        <f t="shared" si="529"/>
        <v>0</v>
      </c>
      <c r="S493" s="181">
        <f t="shared" si="530"/>
        <v>0</v>
      </c>
      <c r="T493" s="181">
        <f t="shared" si="530"/>
        <v>0</v>
      </c>
      <c r="U493" s="181">
        <f t="shared" si="530"/>
        <v>0</v>
      </c>
      <c r="V493" s="181">
        <f t="shared" si="530"/>
        <v>0</v>
      </c>
      <c r="W493" s="181">
        <f t="shared" si="530"/>
        <v>0</v>
      </c>
      <c r="X493" s="190">
        <f t="shared" si="531"/>
        <v>0</v>
      </c>
      <c r="Y493" s="147"/>
      <c r="Z493" s="169">
        <f t="shared" si="532"/>
        <v>0</v>
      </c>
      <c r="AA493" s="207">
        <v>140.572001787315</v>
      </c>
      <c r="AB493" s="403">
        <v>0</v>
      </c>
      <c r="AC493" s="186" t="s">
        <v>200</v>
      </c>
      <c r="AD493" s="342"/>
      <c r="AJ493" s="10" t="s">
        <v>25</v>
      </c>
      <c r="AK493" s="56" t="str">
        <f t="shared" si="533"/>
        <v/>
      </c>
      <c r="AL493" s="56">
        <f t="shared" si="534"/>
        <v>0.74475185462858717</v>
      </c>
      <c r="AM493" s="56" t="str">
        <f t="shared" si="535"/>
        <v/>
      </c>
      <c r="AN493" s="56">
        <f t="shared" si="536"/>
        <v>0.78564265747211215</v>
      </c>
      <c r="AO493" s="56">
        <f t="shared" si="537"/>
        <v>0.73595042547513867</v>
      </c>
      <c r="AP493" s="56">
        <f t="shared" si="538"/>
        <v>0.68443680137575236</v>
      </c>
      <c r="AQ493" s="256">
        <f t="shared" si="539"/>
        <v>0.74802928000218782</v>
      </c>
    </row>
    <row r="494" spans="1:43">
      <c r="A494" s="11" t="s">
        <v>23</v>
      </c>
      <c r="J494" s="179">
        <f t="shared" ref="J494:O494" si="540">SUM(J495:J499)</f>
        <v>613.17919999999992</v>
      </c>
      <c r="K494" s="179">
        <f t="shared" si="540"/>
        <v>515992.53329999995</v>
      </c>
      <c r="L494" s="179">
        <f t="shared" si="540"/>
        <v>20246.9028</v>
      </c>
      <c r="M494" s="179">
        <f t="shared" si="540"/>
        <v>13889.430919999999</v>
      </c>
      <c r="N494" s="179">
        <f t="shared" si="540"/>
        <v>107283.52829999999</v>
      </c>
      <c r="O494" s="179">
        <f t="shared" si="540"/>
        <v>39900.878700000008</v>
      </c>
      <c r="P494" s="266">
        <f t="shared" ref="P494:P499" si="541">SUM(J494:O494)</f>
        <v>697926.45321999991</v>
      </c>
      <c r="Q494" s="172"/>
      <c r="R494" s="179">
        <f t="shared" ref="R494:W494" si="542">SUM(R495:R499)</f>
        <v>5.8421521487159518E-2</v>
      </c>
      <c r="S494" s="179">
        <f t="shared" si="542"/>
        <v>29.797595465151609</v>
      </c>
      <c r="T494" s="179">
        <f t="shared" si="542"/>
        <v>3.3875361618521715</v>
      </c>
      <c r="U494" s="179">
        <f t="shared" si="542"/>
        <v>0.92934400817396012</v>
      </c>
      <c r="V494" s="179">
        <f t="shared" si="542"/>
        <v>4.2509728436907483</v>
      </c>
      <c r="W494" s="179">
        <f t="shared" si="542"/>
        <v>4.2793532540782164E-2</v>
      </c>
      <c r="X494" s="190">
        <f t="shared" ref="X494:X500" si="543">SUM(R494:W494)</f>
        <v>38.466663532896433</v>
      </c>
      <c r="Y494" s="147"/>
      <c r="Z494" s="169">
        <f t="shared" si="532"/>
        <v>0</v>
      </c>
      <c r="AA494" s="207">
        <v>635.27482792723197</v>
      </c>
      <c r="AB494" s="403">
        <v>0</v>
      </c>
      <c r="AC494" s="186" t="s">
        <v>201</v>
      </c>
      <c r="AD494" s="342"/>
      <c r="AJ494" s="10" t="s">
        <v>26</v>
      </c>
      <c r="AK494" s="56" t="str">
        <f t="shared" si="533"/>
        <v/>
      </c>
      <c r="AL494" s="56">
        <f t="shared" si="534"/>
        <v>0.6333856353423033</v>
      </c>
      <c r="AM494" s="56">
        <f t="shared" si="535"/>
        <v>0.54347524119387314</v>
      </c>
      <c r="AN494" s="56">
        <f t="shared" si="536"/>
        <v>0.73921012665132635</v>
      </c>
      <c r="AO494" s="56">
        <f t="shared" si="537"/>
        <v>0.60439620645804426</v>
      </c>
      <c r="AP494" s="56">
        <f t="shared" si="538"/>
        <v>0.57580506476576143</v>
      </c>
      <c r="AQ494" s="256">
        <f t="shared" si="539"/>
        <v>0.63223061146043902</v>
      </c>
    </row>
    <row r="495" spans="1:43">
      <c r="A495" s="10" t="s">
        <v>24</v>
      </c>
      <c r="J495" s="167">
        <f t="shared" ref="J495:O499" si="544">IFERROR(J476*R476,"")</f>
        <v>0</v>
      </c>
      <c r="K495" s="167">
        <f t="shared" si="544"/>
        <v>59627.437800000007</v>
      </c>
      <c r="L495" s="167">
        <f t="shared" si="544"/>
        <v>1020.3092000000001</v>
      </c>
      <c r="M495" s="167">
        <f t="shared" si="544"/>
        <v>206.51400000000001</v>
      </c>
      <c r="N495" s="167">
        <f t="shared" si="544"/>
        <v>15797.664999999999</v>
      </c>
      <c r="O495" s="181">
        <f t="shared" si="544"/>
        <v>39634.126200000006</v>
      </c>
      <c r="P495" s="182">
        <f t="shared" si="541"/>
        <v>116286.05220000001</v>
      </c>
      <c r="Q495" s="172"/>
      <c r="R495" s="181">
        <f t="shared" ref="R495:R500" si="545">J495*J$504/1000000</f>
        <v>0</v>
      </c>
      <c r="S495" s="181">
        <f t="shared" ref="S495:W500" si="546">K495*K$504/1000000</f>
        <v>3.4433720558411216</v>
      </c>
      <c r="T495" s="181">
        <f t="shared" si="546"/>
        <v>0.17070928553430209</v>
      </c>
      <c r="U495" s="181">
        <f t="shared" si="546"/>
        <v>1.3817884232224339E-2</v>
      </c>
      <c r="V495" s="181">
        <f t="shared" si="546"/>
        <v>0.62596230728854407</v>
      </c>
      <c r="W495" s="181">
        <f t="shared" si="546"/>
        <v>4.2507441553290073E-2</v>
      </c>
      <c r="X495" s="190">
        <f t="shared" si="543"/>
        <v>4.2963689744494822</v>
      </c>
      <c r="Y495" s="147"/>
      <c r="Z495" s="169">
        <f t="shared" si="532"/>
        <v>0</v>
      </c>
      <c r="AA495" s="207">
        <v>0.13038940931165</v>
      </c>
      <c r="AB495" s="403">
        <v>0</v>
      </c>
      <c r="AC495" s="186" t="s">
        <v>134</v>
      </c>
      <c r="AD495" s="342"/>
      <c r="AJ495" s="10" t="s">
        <v>27</v>
      </c>
      <c r="AK495" s="56">
        <f t="shared" si="533"/>
        <v>0.82964519216729671</v>
      </c>
      <c r="AL495" s="56">
        <f t="shared" si="534"/>
        <v>0.85122977388054022</v>
      </c>
      <c r="AM495" s="56" t="str">
        <f t="shared" si="535"/>
        <v/>
      </c>
      <c r="AN495" s="56">
        <f t="shared" si="536"/>
        <v>0.8695663971806572</v>
      </c>
      <c r="AO495" s="56">
        <f t="shared" si="537"/>
        <v>0.76972272402362818</v>
      </c>
      <c r="AP495" s="56" t="str">
        <f t="shared" si="538"/>
        <v/>
      </c>
      <c r="AQ495" s="256">
        <f t="shared" si="539"/>
        <v>0.82403012852423407</v>
      </c>
    </row>
    <row r="496" spans="1:43">
      <c r="A496" s="10" t="s">
        <v>25</v>
      </c>
      <c r="J496" s="167">
        <f t="shared" si="544"/>
        <v>0</v>
      </c>
      <c r="K496" s="167">
        <f t="shared" si="544"/>
        <v>28426.553599999996</v>
      </c>
      <c r="L496" s="167">
        <f t="shared" si="544"/>
        <v>0</v>
      </c>
      <c r="M496" s="167">
        <f t="shared" si="544"/>
        <v>2300.15292</v>
      </c>
      <c r="N496" s="167">
        <f t="shared" si="544"/>
        <v>190.67360000000002</v>
      </c>
      <c r="O496" s="167">
        <f t="shared" si="544"/>
        <v>31.208100000000002</v>
      </c>
      <c r="P496" s="182">
        <f t="shared" si="541"/>
        <v>30948.588219999994</v>
      </c>
      <c r="Q496" s="172"/>
      <c r="R496" s="181">
        <f t="shared" si="545"/>
        <v>0</v>
      </c>
      <c r="S496" s="181">
        <f t="shared" si="546"/>
        <v>1.6415798484990383</v>
      </c>
      <c r="T496" s="181">
        <f t="shared" si="546"/>
        <v>0</v>
      </c>
      <c r="U496" s="181">
        <f t="shared" si="546"/>
        <v>0.15390359377559279</v>
      </c>
      <c r="V496" s="181">
        <f t="shared" si="546"/>
        <v>7.5551979735621029E-3</v>
      </c>
      <c r="W496" s="181">
        <f t="shared" si="546"/>
        <v>3.3470562213106944E-5</v>
      </c>
      <c r="X496" s="190">
        <f t="shared" si="543"/>
        <v>1.8030721108104064</v>
      </c>
      <c r="Y496" s="147"/>
      <c r="Z496" s="169">
        <f t="shared" si="532"/>
        <v>0</v>
      </c>
      <c r="AA496" s="207">
        <v>2.1957245053413899</v>
      </c>
      <c r="AB496" s="207">
        <v>0</v>
      </c>
      <c r="AC496" s="186" t="s">
        <v>128</v>
      </c>
      <c r="AD496" s="342"/>
      <c r="AJ496" s="10" t="s">
        <v>28</v>
      </c>
      <c r="AK496" s="56">
        <f t="shared" si="533"/>
        <v>0.87970281501779757</v>
      </c>
      <c r="AL496" s="56">
        <f t="shared" si="534"/>
        <v>0.53831680851623709</v>
      </c>
      <c r="AM496" s="56">
        <f t="shared" si="535"/>
        <v>0.47056177731950743</v>
      </c>
      <c r="AN496" s="56">
        <f t="shared" si="536"/>
        <v>0.78412343158688813</v>
      </c>
      <c r="AO496" s="56">
        <f t="shared" si="537"/>
        <v>0.5035532782290526</v>
      </c>
      <c r="AP496" s="56">
        <f t="shared" si="538"/>
        <v>0.61641349001624146</v>
      </c>
      <c r="AQ496" s="256">
        <f t="shared" si="539"/>
        <v>0.52481581183121828</v>
      </c>
    </row>
    <row r="497" spans="1:43">
      <c r="A497" s="10" t="s">
        <v>26</v>
      </c>
      <c r="J497" s="167">
        <f t="shared" si="544"/>
        <v>0</v>
      </c>
      <c r="K497" s="167">
        <f t="shared" si="544"/>
        <v>417478.24</v>
      </c>
      <c r="L497" s="167">
        <f t="shared" si="544"/>
        <v>12295.09</v>
      </c>
      <c r="M497" s="167">
        <f t="shared" si="544"/>
        <v>9351.1543999999994</v>
      </c>
      <c r="N497" s="167">
        <f t="shared" si="544"/>
        <v>39914.560399999995</v>
      </c>
      <c r="O497" s="167">
        <f t="shared" si="544"/>
        <v>199.02959999999999</v>
      </c>
      <c r="P497" s="182">
        <f t="shared" si="541"/>
        <v>479238.07440000004</v>
      </c>
      <c r="Q497" s="172"/>
      <c r="R497" s="181">
        <f t="shared" si="545"/>
        <v>0</v>
      </c>
      <c r="S497" s="181">
        <f t="shared" si="546"/>
        <v>24.10858085768249</v>
      </c>
      <c r="T497" s="181">
        <f t="shared" si="546"/>
        <v>2.0571078154347151</v>
      </c>
      <c r="U497" s="181">
        <f t="shared" si="546"/>
        <v>0.62568721218346091</v>
      </c>
      <c r="V497" s="181">
        <f t="shared" si="546"/>
        <v>1.5815634983012965</v>
      </c>
      <c r="W497" s="181">
        <f t="shared" si="546"/>
        <v>2.1345844857744589E-4</v>
      </c>
      <c r="X497" s="190">
        <f t="shared" si="543"/>
        <v>28.373152842050541</v>
      </c>
      <c r="Y497" s="147"/>
      <c r="Z497" s="169">
        <f t="shared" si="532"/>
        <v>0</v>
      </c>
      <c r="AA497" s="408"/>
      <c r="AB497" s="342"/>
      <c r="AC497" s="186" t="s">
        <v>131</v>
      </c>
      <c r="AD497" s="342"/>
      <c r="AJ497" s="10" t="s">
        <v>351</v>
      </c>
      <c r="AK497" s="56" t="str">
        <f t="shared" si="533"/>
        <v/>
      </c>
      <c r="AL497" s="56">
        <f t="shared" si="534"/>
        <v>0.34393809114359414</v>
      </c>
      <c r="AM497" s="56" t="str">
        <f t="shared" si="535"/>
        <v/>
      </c>
      <c r="AN497" s="56" t="str">
        <f t="shared" si="536"/>
        <v/>
      </c>
      <c r="AO497" s="56" t="str">
        <f t="shared" si="537"/>
        <v/>
      </c>
      <c r="AP497" s="56">
        <f t="shared" si="538"/>
        <v>0.34393809114359414</v>
      </c>
      <c r="AQ497" s="256">
        <f t="shared" si="539"/>
        <v>0.34393809114359414</v>
      </c>
    </row>
    <row r="498" spans="1:43">
      <c r="A498" s="10" t="s">
        <v>27</v>
      </c>
      <c r="J498" s="167">
        <f t="shared" si="544"/>
        <v>52.249600000000001</v>
      </c>
      <c r="K498" s="167">
        <f t="shared" si="544"/>
        <v>3188.9308000000001</v>
      </c>
      <c r="L498" s="167">
        <f t="shared" si="544"/>
        <v>0</v>
      </c>
      <c r="M498" s="167">
        <f t="shared" si="544"/>
        <v>859.67039999999997</v>
      </c>
      <c r="N498" s="167">
        <f t="shared" si="544"/>
        <v>3817.471</v>
      </c>
      <c r="O498" s="167">
        <f t="shared" si="544"/>
        <v>0</v>
      </c>
      <c r="P498" s="182">
        <f t="shared" si="541"/>
        <v>7918.3217999999997</v>
      </c>
      <c r="Q498" s="172"/>
      <c r="R498" s="181">
        <f t="shared" si="545"/>
        <v>4.9781550468370262E-3</v>
      </c>
      <c r="S498" s="181">
        <f t="shared" si="546"/>
        <v>0.18415473831966453</v>
      </c>
      <c r="T498" s="181">
        <f t="shared" si="546"/>
        <v>0</v>
      </c>
      <c r="U498" s="181">
        <f t="shared" si="546"/>
        <v>5.7520681721675002E-2</v>
      </c>
      <c r="V498" s="181">
        <f t="shared" si="546"/>
        <v>0.15126241474085603</v>
      </c>
      <c r="W498" s="181">
        <f t="shared" si="546"/>
        <v>0</v>
      </c>
      <c r="X498" s="190">
        <f t="shared" si="543"/>
        <v>0.39791598982903253</v>
      </c>
      <c r="Y498" s="147"/>
      <c r="Z498" s="169">
        <f t="shared" si="532"/>
        <v>0</v>
      </c>
      <c r="AA498" s="207">
        <v>12.822034073781699</v>
      </c>
      <c r="AB498" s="207">
        <v>0</v>
      </c>
      <c r="AC498" s="186" t="s">
        <v>129</v>
      </c>
      <c r="AD498" s="342"/>
      <c r="AE498" s="186"/>
      <c r="AF498" s="185"/>
      <c r="AG498" s="207"/>
      <c r="AH498" s="207"/>
      <c r="AJ498" s="275" t="s">
        <v>266</v>
      </c>
      <c r="AK498" s="274">
        <f t="shared" ref="AK498:AQ498" si="547">IFERROR(((J482/11.63)+J512)/(J519+J487/41.868),"")</f>
        <v>0.38339895535801788</v>
      </c>
      <c r="AL498" s="274">
        <f t="shared" si="547"/>
        <v>0.61094816436827581</v>
      </c>
      <c r="AM498" s="274">
        <f t="shared" si="547"/>
        <v>0.52505470917505914</v>
      </c>
      <c r="AN498" s="274">
        <f t="shared" si="547"/>
        <v>0.64665903959440574</v>
      </c>
      <c r="AO498" s="274">
        <f t="shared" si="547"/>
        <v>0.48308024669884042</v>
      </c>
      <c r="AP498" s="274">
        <f t="shared" si="547"/>
        <v>0.50809992080802613</v>
      </c>
      <c r="AQ498" s="274">
        <f t="shared" si="547"/>
        <v>0.56297340862571754</v>
      </c>
    </row>
    <row r="499" spans="1:43">
      <c r="A499" s="10" t="s">
        <v>28</v>
      </c>
      <c r="J499" s="167">
        <f t="shared" si="544"/>
        <v>560.92959999999994</v>
      </c>
      <c r="K499" s="167">
        <f t="shared" si="544"/>
        <v>7271.3711000000003</v>
      </c>
      <c r="L499" s="167">
        <f t="shared" si="544"/>
        <v>6931.5036000000009</v>
      </c>
      <c r="M499" s="167">
        <f t="shared" si="544"/>
        <v>1171.9392</v>
      </c>
      <c r="N499" s="167">
        <f t="shared" si="544"/>
        <v>47563.158300000003</v>
      </c>
      <c r="O499" s="167">
        <f t="shared" si="544"/>
        <v>36.514800000000001</v>
      </c>
      <c r="P499" s="182">
        <f t="shared" si="541"/>
        <v>63535.416600000004</v>
      </c>
      <c r="Q499" s="172"/>
      <c r="R499" s="181">
        <f t="shared" si="545"/>
        <v>5.3443366440322493E-2</v>
      </c>
      <c r="S499" s="181">
        <f t="shared" si="546"/>
        <v>0.41990796480929321</v>
      </c>
      <c r="T499" s="181">
        <f t="shared" si="546"/>
        <v>1.1597190608831547</v>
      </c>
      <c r="U499" s="181">
        <f t="shared" si="546"/>
        <v>7.8414636261007031E-2</v>
      </c>
      <c r="V499" s="181">
        <f t="shared" si="546"/>
        <v>1.8846294253864904</v>
      </c>
      <c r="W499" s="181">
        <f t="shared" si="546"/>
        <v>3.9161976701534455E-5</v>
      </c>
      <c r="X499" s="190">
        <f t="shared" si="543"/>
        <v>3.5961536157569691</v>
      </c>
      <c r="Y499" s="147"/>
      <c r="Z499" s="169">
        <f t="shared" si="532"/>
        <v>0</v>
      </c>
      <c r="AA499" s="207">
        <v>1186.79385640904</v>
      </c>
      <c r="AB499" s="207">
        <v>0</v>
      </c>
      <c r="AC499" s="186" t="s">
        <v>207</v>
      </c>
      <c r="AD499" s="342"/>
      <c r="AE499" s="186"/>
      <c r="AF499" s="185"/>
      <c r="AG499" s="207"/>
      <c r="AH499" s="207"/>
    </row>
    <row r="500" spans="1:43">
      <c r="A500" s="10" t="s">
        <v>351</v>
      </c>
      <c r="J500" s="167"/>
      <c r="K500" s="167"/>
      <c r="L500" s="167"/>
      <c r="M500" s="167"/>
      <c r="N500" s="167"/>
      <c r="O500" s="167"/>
      <c r="P500" s="182"/>
      <c r="Q500" s="172"/>
      <c r="R500" s="181">
        <f t="shared" si="545"/>
        <v>0</v>
      </c>
      <c r="S500" s="181">
        <f t="shared" si="546"/>
        <v>0</v>
      </c>
      <c r="T500" s="181">
        <f t="shared" si="546"/>
        <v>0</v>
      </c>
      <c r="U500" s="181">
        <f t="shared" si="546"/>
        <v>0</v>
      </c>
      <c r="V500" s="181">
        <f t="shared" si="546"/>
        <v>0</v>
      </c>
      <c r="W500" s="181">
        <f t="shared" si="546"/>
        <v>0</v>
      </c>
      <c r="X500" s="190">
        <f t="shared" si="543"/>
        <v>0</v>
      </c>
      <c r="Y500" s="147"/>
      <c r="Z500" s="169">
        <f t="shared" si="532"/>
        <v>9673.5158950721743</v>
      </c>
      <c r="AA500" s="207">
        <v>198.006515159402</v>
      </c>
      <c r="AB500" s="207">
        <v>48.854533333333322</v>
      </c>
      <c r="AC500" s="189" t="s">
        <v>130</v>
      </c>
      <c r="AD500" s="342"/>
      <c r="AE500" s="189"/>
      <c r="AF500" s="185"/>
      <c r="AG500" s="207"/>
      <c r="AH500" s="207"/>
    </row>
    <row r="501" spans="1:43">
      <c r="A501" s="11" t="s">
        <v>9</v>
      </c>
      <c r="J501" s="182">
        <f t="shared" ref="J501:P501" si="548">J487+J494</f>
        <v>179716.48700000002</v>
      </c>
      <c r="K501" s="182">
        <f t="shared" si="548"/>
        <v>906509.69149999996</v>
      </c>
      <c r="L501" s="182">
        <f t="shared" si="548"/>
        <v>20510.2219</v>
      </c>
      <c r="M501" s="182">
        <f t="shared" si="548"/>
        <v>26979.723019999998</v>
      </c>
      <c r="N501" s="182">
        <f t="shared" si="548"/>
        <v>190233.06459999998</v>
      </c>
      <c r="O501" s="182">
        <f t="shared" si="548"/>
        <v>69018.933050000021</v>
      </c>
      <c r="P501" s="182">
        <f t="shared" si="548"/>
        <v>1392968.1210699999</v>
      </c>
      <c r="Q501" s="172"/>
      <c r="R501" s="281">
        <f t="shared" ref="R501:X501" si="549">R487+R494</f>
        <v>17.122744226919838</v>
      </c>
      <c r="S501" s="199">
        <f t="shared" si="549"/>
        <v>52.349224706419569</v>
      </c>
      <c r="T501" s="199">
        <f t="shared" si="549"/>
        <v>3.4315924297252196</v>
      </c>
      <c r="U501" s="199">
        <f t="shared" si="549"/>
        <v>1.8052175121678822</v>
      </c>
      <c r="V501" s="199">
        <f t="shared" si="549"/>
        <v>7.5377423207535195</v>
      </c>
      <c r="W501" s="199">
        <f t="shared" si="549"/>
        <v>7.4022529168141865E-2</v>
      </c>
      <c r="X501" s="199">
        <f t="shared" si="549"/>
        <v>82.320543725154181</v>
      </c>
      <c r="Y501" s="147"/>
      <c r="Z501" s="169">
        <f t="shared" si="532"/>
        <v>0</v>
      </c>
      <c r="AA501" s="207">
        <v>10.9545124173478</v>
      </c>
      <c r="AB501" s="207">
        <v>0</v>
      </c>
      <c r="AC501" s="186" t="s">
        <v>132</v>
      </c>
      <c r="AD501" s="342"/>
      <c r="AE501" s="186"/>
      <c r="AF501" s="185"/>
      <c r="AG501" s="207"/>
      <c r="AH501" s="207"/>
    </row>
    <row r="502" spans="1:43">
      <c r="E502" s="68" t="s">
        <v>176</v>
      </c>
      <c r="F502" s="68"/>
      <c r="G502" s="68"/>
      <c r="H502" s="68"/>
      <c r="I502" s="68"/>
      <c r="J502" s="321">
        <f>J501/41.868</f>
        <v>4292.4545476258718</v>
      </c>
      <c r="K502" s="321">
        <f t="shared" ref="K502:P502" si="550">K501/41.868</f>
        <v>21651.61200678322</v>
      </c>
      <c r="L502" s="321">
        <f t="shared" si="550"/>
        <v>489.87823397344033</v>
      </c>
      <c r="M502" s="321">
        <f t="shared" si="550"/>
        <v>644.39961354733919</v>
      </c>
      <c r="N502" s="321">
        <f t="shared" si="550"/>
        <v>4543.6386882583347</v>
      </c>
      <c r="O502" s="321">
        <f t="shared" si="550"/>
        <v>1648.4888948600367</v>
      </c>
      <c r="P502" s="321">
        <f t="shared" si="550"/>
        <v>33270.471985048243</v>
      </c>
      <c r="R502" s="197">
        <v>17.122744226919842</v>
      </c>
      <c r="S502" s="197">
        <v>52.34922470641952</v>
      </c>
      <c r="T502" s="197">
        <v>3.4136235939650827</v>
      </c>
      <c r="U502" s="197">
        <v>1.8052175121678822</v>
      </c>
      <c r="V502" s="197">
        <v>7.5377423207535212</v>
      </c>
      <c r="W502" s="197">
        <v>7.4022529168141796E-2</v>
      </c>
      <c r="X502" s="197">
        <v>82.320543725154124</v>
      </c>
      <c r="Y502" s="147"/>
      <c r="Z502" s="169">
        <f t="shared" si="532"/>
        <v>3448.5618747878443</v>
      </c>
      <c r="AA502" s="207">
        <v>24.115817306208701</v>
      </c>
      <c r="AB502" s="207">
        <v>143</v>
      </c>
      <c r="AC502" s="186" t="s">
        <v>133</v>
      </c>
      <c r="AD502" s="342"/>
      <c r="AE502" s="186"/>
      <c r="AF502" s="185"/>
      <c r="AG502" s="207"/>
      <c r="AH502" s="207"/>
    </row>
    <row r="503" spans="1:43">
      <c r="J503" s="321">
        <f>(J487)/41.868+J519</f>
        <v>4343.5090140441389</v>
      </c>
      <c r="K503" s="321">
        <f t="shared" ref="K503:P503" si="551">(K487)/41.868+K519</f>
        <v>25363.692079870067</v>
      </c>
      <c r="L503" s="321">
        <f t="shared" si="551"/>
        <v>613.88926865386452</v>
      </c>
      <c r="M503" s="321">
        <f t="shared" si="551"/>
        <v>1116.8562553740326</v>
      </c>
      <c r="N503" s="321">
        <f t="shared" si="551"/>
        <v>5701.4156372408524</v>
      </c>
      <c r="O503" s="321">
        <f t="shared" si="551"/>
        <v>1957.1227799273911</v>
      </c>
      <c r="P503" s="321">
        <f t="shared" si="551"/>
        <v>39096.485035110345</v>
      </c>
      <c r="T503" s="198">
        <v>1.7968835760136699E-2</v>
      </c>
      <c r="U503" s="198"/>
      <c r="Y503" s="147"/>
      <c r="Z503" s="169">
        <f t="shared" si="532"/>
        <v>0</v>
      </c>
      <c r="AA503" s="207"/>
      <c r="AB503" s="207">
        <v>45.85</v>
      </c>
      <c r="AC503" s="186" t="s">
        <v>208</v>
      </c>
      <c r="AD503" s="342"/>
      <c r="AE503" s="186"/>
      <c r="AF503" s="185"/>
      <c r="AG503" s="207"/>
      <c r="AH503" s="207"/>
    </row>
    <row r="504" spans="1:43">
      <c r="A504" s="183" t="s">
        <v>193</v>
      </c>
      <c r="J504" s="168">
        <f>95+J505</f>
        <v>95.27642406519908</v>
      </c>
      <c r="K504" s="185">
        <f>56+K505</f>
        <v>57.748113668589021</v>
      </c>
      <c r="L504" s="147">
        <f>177+L505</f>
        <v>167.3113263452903</v>
      </c>
      <c r="M504" s="168">
        <f>68+M505</f>
        <v>66.910157336666472</v>
      </c>
      <c r="N504" s="168">
        <f>36+N505</f>
        <v>39.623723334337328</v>
      </c>
      <c r="O504" s="168">
        <f>1+O505</f>
        <v>1.0724959934474365</v>
      </c>
      <c r="P504" s="317">
        <f>P494/41.868</f>
        <v>16669.686949937895</v>
      </c>
      <c r="Q504" s="147">
        <f>P504-'5-x'!Y82</f>
        <v>-1.2160695587226655E-3</v>
      </c>
      <c r="Y504" s="147"/>
      <c r="Z504" s="169">
        <f t="shared" si="532"/>
        <v>55432.377160488453</v>
      </c>
      <c r="AA504" s="207">
        <v>1208.99404930182</v>
      </c>
      <c r="AB504" s="207">
        <v>45.85</v>
      </c>
      <c r="AC504" s="186" t="s">
        <v>209</v>
      </c>
      <c r="AD504" s="342"/>
      <c r="AE504" s="186"/>
      <c r="AF504" s="185"/>
      <c r="AG504" s="207"/>
      <c r="AH504" s="207"/>
    </row>
    <row r="505" spans="1:43">
      <c r="A505" s="453" t="s">
        <v>376</v>
      </c>
      <c r="B505" s="452"/>
      <c r="C505" s="452"/>
      <c r="D505" s="452"/>
      <c r="E505" s="452"/>
      <c r="F505" s="452"/>
      <c r="G505" s="452"/>
      <c r="H505" s="452"/>
      <c r="I505" s="452"/>
      <c r="J505" s="481">
        <v>0.27642406519908552</v>
      </c>
      <c r="K505" s="481">
        <v>1.7481136685890213</v>
      </c>
      <c r="L505" s="481">
        <v>-9.6886736547096994</v>
      </c>
      <c r="M505" s="481">
        <v>-1.0898426633335272</v>
      </c>
      <c r="N505" s="481">
        <v>3.623723334337329</v>
      </c>
      <c r="O505" s="481">
        <v>7.2495993447436513E-2</v>
      </c>
      <c r="P505" s="318">
        <f>P487/41.868</f>
        <v>16600.785035110344</v>
      </c>
      <c r="Q505" s="147">
        <f>P505-'5-x'!Y83</f>
        <v>-1.6941817739279941E-4</v>
      </c>
      <c r="R505" s="455">
        <f>R501-R502</f>
        <v>0</v>
      </c>
      <c r="S505" s="455">
        <f>S501-S502</f>
        <v>0</v>
      </c>
      <c r="T505" s="455">
        <f>T501-SUM(T502:T503)</f>
        <v>0</v>
      </c>
      <c r="U505" s="455">
        <f>U501-U502</f>
        <v>0</v>
      </c>
      <c r="V505" s="455">
        <f>V501-V502</f>
        <v>0</v>
      </c>
      <c r="W505" s="455">
        <f>W501-W502</f>
        <v>0</v>
      </c>
      <c r="X505" s="172">
        <f>X501-X502</f>
        <v>0</v>
      </c>
      <c r="Y505" s="147"/>
      <c r="AA505" s="419" t="s">
        <v>216</v>
      </c>
      <c r="AB505" s="342"/>
      <c r="AC505" s="403"/>
      <c r="AD505" s="342"/>
    </row>
    <row r="506" spans="1:43">
      <c r="K506" s="56"/>
      <c r="L506" s="168"/>
      <c r="N506" s="168"/>
      <c r="P506" s="319">
        <f>P519-P504</f>
        <v>5826.0130500621053</v>
      </c>
      <c r="Q506" s="147">
        <f>P506-'5-x'!Y84</f>
        <v>1.2160695587226655E-3</v>
      </c>
      <c r="Y506" s="147"/>
      <c r="Z506" s="169">
        <f>AA506*AB506</f>
        <v>1787.01468046592</v>
      </c>
      <c r="AA506" s="207">
        <v>20.047243317394699</v>
      </c>
      <c r="AB506" s="184">
        <v>89.140170155731766</v>
      </c>
      <c r="AC506" s="187" t="s">
        <v>197</v>
      </c>
      <c r="AD506" s="342"/>
    </row>
    <row r="507" spans="1:43">
      <c r="J507" s="168">
        <f t="shared" ref="J507:O507" si="552">J494/41.868</f>
        <v>14.645533581733064</v>
      </c>
      <c r="K507" s="168">
        <f t="shared" si="552"/>
        <v>12324.269926913154</v>
      </c>
      <c r="L507" s="168">
        <f t="shared" si="552"/>
        <v>483.58896531957578</v>
      </c>
      <c r="M507" s="168">
        <f t="shared" si="552"/>
        <v>331.74335817330655</v>
      </c>
      <c r="N507" s="168">
        <f t="shared" si="552"/>
        <v>2562.423051017483</v>
      </c>
      <c r="O507" s="168">
        <f t="shared" si="552"/>
        <v>953.01611493264556</v>
      </c>
      <c r="P507" s="320">
        <f>SUM(P504:P506)</f>
        <v>39096.485035110338</v>
      </c>
      <c r="Q507" s="320"/>
      <c r="Y507" s="147"/>
      <c r="Z507" s="169">
        <f>AA507*AB507</f>
        <v>0</v>
      </c>
      <c r="AA507" s="207">
        <v>1023.1642011512999</v>
      </c>
      <c r="AB507" s="207">
        <v>0</v>
      </c>
      <c r="AC507" s="186" t="s">
        <v>202</v>
      </c>
      <c r="AD507" s="342"/>
    </row>
    <row r="508" spans="1:43">
      <c r="J508" s="168">
        <f t="shared" ref="J508:O508" si="553">J519-(J512/J509)</f>
        <v>14.645533581733062</v>
      </c>
      <c r="K508" s="168">
        <f t="shared" si="553"/>
        <v>12324.269926913154</v>
      </c>
      <c r="L508" s="168">
        <f t="shared" si="553"/>
        <v>483.58896531957578</v>
      </c>
      <c r="M508" s="168">
        <f t="shared" si="553"/>
        <v>331.74335817330655</v>
      </c>
      <c r="N508" s="168">
        <f t="shared" si="553"/>
        <v>2562.423051017483</v>
      </c>
      <c r="O508" s="168">
        <f t="shared" si="553"/>
        <v>953.01611493264556</v>
      </c>
      <c r="P508" s="168"/>
      <c r="Y508" s="147"/>
      <c r="Z508" s="169"/>
      <c r="AA508" s="207"/>
      <c r="AB508" s="207">
        <v>0</v>
      </c>
      <c r="AC508" s="186" t="s">
        <v>203</v>
      </c>
      <c r="AD508" s="342"/>
    </row>
    <row r="509" spans="1:43">
      <c r="A509" s="241" t="s">
        <v>374</v>
      </c>
      <c r="J509" s="500">
        <f>J512/(J519-J494/41.868)</f>
        <v>0.88924639086534818</v>
      </c>
      <c r="K509" s="500">
        <f t="shared" ref="K509:P509" si="554">K512/(K519-K494/41.868)</f>
        <v>0.89249152355838512</v>
      </c>
      <c r="L509" s="500">
        <f t="shared" si="554"/>
        <v>0.89911353685044948</v>
      </c>
      <c r="M509" s="500">
        <f t="shared" si="554"/>
        <v>0.90018842439304414</v>
      </c>
      <c r="N509" s="500">
        <f t="shared" si="554"/>
        <v>0.87253421385508578</v>
      </c>
      <c r="O509" s="500">
        <f t="shared" si="554"/>
        <v>0.890375338858302</v>
      </c>
      <c r="P509" s="500">
        <f t="shared" si="554"/>
        <v>0.88915008522762917</v>
      </c>
      <c r="Y509" s="147"/>
      <c r="Z509" s="169">
        <f>AA509*AB509</f>
        <v>0</v>
      </c>
      <c r="AA509" s="207">
        <v>230.80747822259599</v>
      </c>
      <c r="AB509" s="207">
        <v>0</v>
      </c>
      <c r="AC509" s="186" t="s">
        <v>136</v>
      </c>
      <c r="AD509" s="342"/>
    </row>
    <row r="510" spans="1:43">
      <c r="A510" s="68" t="s">
        <v>252</v>
      </c>
      <c r="J510" s="168"/>
      <c r="K510" s="168"/>
      <c r="P510" s="168"/>
      <c r="R510" s="191" t="s">
        <v>398</v>
      </c>
      <c r="S510" s="165"/>
      <c r="T510" s="165"/>
      <c r="U510" s="165"/>
      <c r="V510" s="165"/>
      <c r="W510" s="165"/>
      <c r="X510" s="165"/>
      <c r="Y510" s="147"/>
      <c r="Z510" s="169">
        <f>AA510*AB510</f>
        <v>0</v>
      </c>
      <c r="AA510" s="207">
        <v>22.646333322059601</v>
      </c>
      <c r="AB510" s="207">
        <v>0</v>
      </c>
      <c r="AC510" s="186" t="s">
        <v>137</v>
      </c>
      <c r="AD510" s="342"/>
    </row>
    <row r="511" spans="1:43">
      <c r="A511" s="68" t="str">
        <f>$A$466</f>
        <v>Dati 2019 lorda</v>
      </c>
      <c r="J511" s="180" t="s">
        <v>5</v>
      </c>
      <c r="K511" s="180" t="s">
        <v>186</v>
      </c>
      <c r="L511" s="180" t="s">
        <v>187</v>
      </c>
      <c r="M511" s="180" t="s">
        <v>190</v>
      </c>
      <c r="N511" s="180" t="s">
        <v>192</v>
      </c>
      <c r="O511" s="180" t="s">
        <v>191</v>
      </c>
      <c r="P511" s="180" t="s">
        <v>189</v>
      </c>
      <c r="R511" s="191" t="s">
        <v>5</v>
      </c>
      <c r="S511" s="191" t="s">
        <v>186</v>
      </c>
      <c r="T511" s="191" t="s">
        <v>187</v>
      </c>
      <c r="U511" s="191" t="s">
        <v>190</v>
      </c>
      <c r="V511" s="191" t="s">
        <v>192</v>
      </c>
      <c r="W511" s="191" t="s">
        <v>191</v>
      </c>
      <c r="X511" s="191" t="s">
        <v>189</v>
      </c>
      <c r="Y511" s="147"/>
      <c r="Z511" s="169">
        <f>AA511*AB511</f>
        <v>0</v>
      </c>
      <c r="AA511" s="207">
        <v>5.2445582966387096</v>
      </c>
      <c r="AB511" s="207">
        <v>0</v>
      </c>
      <c r="AC511" s="188" t="s">
        <v>139</v>
      </c>
      <c r="AD511" s="342"/>
    </row>
    <row r="512" spans="1:43">
      <c r="A512" s="193" t="s">
        <v>251</v>
      </c>
      <c r="J512" s="179">
        <f t="shared" ref="J512:O512" si="555">SUM(J513:J518)</f>
        <v>45.4</v>
      </c>
      <c r="K512" s="179">
        <f t="shared" si="555"/>
        <v>3313</v>
      </c>
      <c r="L512" s="179">
        <f t="shared" si="555"/>
        <v>111.5</v>
      </c>
      <c r="M512" s="179">
        <f t="shared" si="555"/>
        <v>425.3</v>
      </c>
      <c r="N512" s="179">
        <f t="shared" si="555"/>
        <v>1010.2</v>
      </c>
      <c r="O512" s="179">
        <f t="shared" si="555"/>
        <v>274.8</v>
      </c>
      <c r="P512" s="266">
        <f t="shared" ref="P512:P517" si="556">SUM(J512:O512)</f>
        <v>5180.2000000000007</v>
      </c>
      <c r="Q512" s="193" t="s">
        <v>16</v>
      </c>
      <c r="R512" s="282">
        <f t="shared" ref="R512:R525" si="557">IFERROR(R487/J468*1000000,0)</f>
        <v>912.46231327241162</v>
      </c>
      <c r="S512" s="282">
        <f t="shared" ref="S512:S525" si="558">IFERROR(S487/K468*1000000,0)</f>
        <v>391.14377859683987</v>
      </c>
      <c r="T512" s="282">
        <f t="shared" ref="T512:T525" si="559">IFERROR(T487/L468*1000000,0)</f>
        <v>1503.626889865124</v>
      </c>
      <c r="U512" s="282">
        <f t="shared" ref="U512:U525" si="560">IFERROR(U487/M468*1000000,0)</f>
        <v>715.6998725232246</v>
      </c>
      <c r="V512" s="282">
        <f t="shared" ref="V512:V525" si="561">IFERROR(V487/N468*1000000,0)</f>
        <v>451.87036543475409</v>
      </c>
      <c r="W512" s="282">
        <f t="shared" ref="W512:W525" si="562">IFERROR(W487/O468*1000000,0)</f>
        <v>10.624239771709188</v>
      </c>
      <c r="X512" s="282">
        <f t="shared" ref="X512:X525" si="563">IFERROR(X487/P468*1000000,0)</f>
        <v>499.34271580664989</v>
      </c>
      <c r="Y512" s="147"/>
      <c r="Z512" s="169">
        <f>AA512*AB512</f>
        <v>0</v>
      </c>
      <c r="AA512" s="207">
        <v>87.266962067966304</v>
      </c>
      <c r="AB512" s="207">
        <v>0</v>
      </c>
      <c r="AC512" s="186" t="s">
        <v>204</v>
      </c>
      <c r="AD512" s="342"/>
    </row>
    <row r="513" spans="1:34">
      <c r="A513" s="186" t="s">
        <v>24</v>
      </c>
      <c r="K513">
        <v>698.5</v>
      </c>
      <c r="L513">
        <v>9.6999999999999993</v>
      </c>
      <c r="M513" s="147">
        <v>2</v>
      </c>
      <c r="N513" s="147">
        <v>200.9</v>
      </c>
      <c r="O513" s="147">
        <v>272.3</v>
      </c>
      <c r="P513" s="266">
        <f t="shared" si="556"/>
        <v>1183.4000000000001</v>
      </c>
      <c r="Q513" s="186" t="s">
        <v>17</v>
      </c>
      <c r="R513" s="283">
        <f t="shared" si="557"/>
        <v>0</v>
      </c>
      <c r="S513" s="283">
        <f t="shared" si="558"/>
        <v>584.52640655345806</v>
      </c>
      <c r="T513" s="283">
        <f t="shared" si="559"/>
        <v>1503.626889865124</v>
      </c>
      <c r="U513" s="283">
        <f t="shared" si="560"/>
        <v>634.04065092225142</v>
      </c>
      <c r="V513" s="283">
        <f t="shared" si="561"/>
        <v>343.14144407536128</v>
      </c>
      <c r="W513" s="283">
        <f t="shared" si="562"/>
        <v>10.610202863175491</v>
      </c>
      <c r="X513" s="282">
        <f t="shared" si="563"/>
        <v>172.92800499084564</v>
      </c>
      <c r="Y513" s="147"/>
      <c r="Z513" s="169">
        <f>AA513*AB513</f>
        <v>0</v>
      </c>
      <c r="AA513" s="207">
        <v>11.270355073468</v>
      </c>
      <c r="AB513" s="207">
        <v>0</v>
      </c>
      <c r="AC513" s="186" t="s">
        <v>138</v>
      </c>
      <c r="AD513" s="342"/>
    </row>
    <row r="514" spans="1:34">
      <c r="A514" s="186" t="s">
        <v>25</v>
      </c>
      <c r="K514">
        <v>556.1</v>
      </c>
      <c r="M514">
        <v>58.8</v>
      </c>
      <c r="N514">
        <v>8.9</v>
      </c>
      <c r="O514">
        <v>0.4</v>
      </c>
      <c r="P514" s="266">
        <f t="shared" si="556"/>
        <v>624.19999999999993</v>
      </c>
      <c r="Q514" s="186" t="s">
        <v>18</v>
      </c>
      <c r="R514" s="283">
        <f t="shared" si="557"/>
        <v>0</v>
      </c>
      <c r="S514" s="283">
        <f t="shared" si="558"/>
        <v>424.56413169146646</v>
      </c>
      <c r="T514" s="283">
        <f t="shared" si="559"/>
        <v>0</v>
      </c>
      <c r="U514" s="283">
        <f t="shared" si="560"/>
        <v>1057.7826773353602</v>
      </c>
      <c r="V514" s="283">
        <f t="shared" si="561"/>
        <v>519.62550780649974</v>
      </c>
      <c r="W514" s="283">
        <f t="shared" si="562"/>
        <v>12.135292165857743</v>
      </c>
      <c r="X514" s="282">
        <f t="shared" si="563"/>
        <v>417.69368293322577</v>
      </c>
      <c r="Y514" s="147"/>
      <c r="Z514" s="169"/>
      <c r="AA514" s="207"/>
      <c r="AB514" s="207">
        <v>0</v>
      </c>
      <c r="AC514" s="186" t="s">
        <v>205</v>
      </c>
    </row>
    <row r="515" spans="1:34">
      <c r="A515" s="186" t="s">
        <v>26</v>
      </c>
      <c r="K515">
        <v>1819.9</v>
      </c>
      <c r="L515">
        <v>75.5</v>
      </c>
      <c r="M515">
        <v>230.3</v>
      </c>
      <c r="N515">
        <v>133.69999999999999</v>
      </c>
      <c r="O515">
        <v>1.3</v>
      </c>
      <c r="P515" s="266">
        <f t="shared" si="556"/>
        <v>2260.7000000000003</v>
      </c>
      <c r="Q515" s="186" t="s">
        <v>19</v>
      </c>
      <c r="R515" s="283">
        <f t="shared" si="557"/>
        <v>912.46231327241162</v>
      </c>
      <c r="S515" s="283">
        <f t="shared" si="558"/>
        <v>546.64364398686371</v>
      </c>
      <c r="T515" s="283">
        <f t="shared" si="559"/>
        <v>0</v>
      </c>
      <c r="U515" s="283">
        <f t="shared" si="560"/>
        <v>728.5847032389612</v>
      </c>
      <c r="V515" s="283">
        <f t="shared" si="561"/>
        <v>546.88662946052375</v>
      </c>
      <c r="W515" s="283">
        <f t="shared" si="562"/>
        <v>9.7135962126534316</v>
      </c>
      <c r="X515" s="282">
        <f t="shared" si="563"/>
        <v>837.21449960636096</v>
      </c>
      <c r="Y515" s="147"/>
      <c r="Z515" s="169">
        <f>AA515*AB515</f>
        <v>0</v>
      </c>
      <c r="AA515" s="207">
        <v>205.27592056082699</v>
      </c>
      <c r="AB515" s="207">
        <v>0</v>
      </c>
      <c r="AC515" s="186" t="s">
        <v>206</v>
      </c>
    </row>
    <row r="516" spans="1:34">
      <c r="A516" s="186" t="s">
        <v>27</v>
      </c>
      <c r="J516">
        <v>7.9</v>
      </c>
      <c r="K516">
        <v>177.2</v>
      </c>
      <c r="M516">
        <v>72.8</v>
      </c>
      <c r="N516" s="147">
        <v>117.1</v>
      </c>
      <c r="O516" s="147"/>
      <c r="P516" s="266">
        <f t="shared" si="556"/>
        <v>375</v>
      </c>
      <c r="Q516" s="186" t="s">
        <v>20</v>
      </c>
      <c r="R516" s="283">
        <f t="shared" si="557"/>
        <v>0</v>
      </c>
      <c r="S516" s="283">
        <f t="shared" si="558"/>
        <v>388.87579744427848</v>
      </c>
      <c r="T516" s="283">
        <f t="shared" si="559"/>
        <v>0</v>
      </c>
      <c r="U516" s="283">
        <f t="shared" si="560"/>
        <v>547.86036827262512</v>
      </c>
      <c r="V516" s="283">
        <f t="shared" si="561"/>
        <v>305.69702552441248</v>
      </c>
      <c r="W516" s="283">
        <f t="shared" si="562"/>
        <v>9.647101461059691</v>
      </c>
      <c r="X516" s="282">
        <f t="shared" si="563"/>
        <v>386.38984267350048</v>
      </c>
      <c r="Y516" s="147"/>
      <c r="AC516" s="403"/>
    </row>
    <row r="517" spans="1:34">
      <c r="A517" s="186" t="s">
        <v>28</v>
      </c>
      <c r="J517">
        <v>37.5</v>
      </c>
      <c r="K517">
        <v>61.3</v>
      </c>
      <c r="L517">
        <v>26.3</v>
      </c>
      <c r="M517">
        <v>61.4</v>
      </c>
      <c r="N517" s="147">
        <v>549.6</v>
      </c>
      <c r="O517" s="147">
        <v>0.8</v>
      </c>
      <c r="P517" s="266">
        <f t="shared" si="556"/>
        <v>736.9</v>
      </c>
      <c r="Q517" s="186" t="s">
        <v>22</v>
      </c>
      <c r="R517" s="283">
        <f t="shared" si="557"/>
        <v>0</v>
      </c>
      <c r="S517" s="283">
        <f t="shared" si="558"/>
        <v>0</v>
      </c>
      <c r="T517" s="283">
        <f t="shared" si="559"/>
        <v>0</v>
      </c>
      <c r="U517" s="283">
        <f t="shared" si="560"/>
        <v>0</v>
      </c>
      <c r="V517" s="283">
        <f t="shared" si="561"/>
        <v>0</v>
      </c>
      <c r="W517" s="283">
        <f t="shared" si="562"/>
        <v>0</v>
      </c>
      <c r="X517" s="282">
        <f t="shared" si="563"/>
        <v>0</v>
      </c>
      <c r="Y517" s="147"/>
    </row>
    <row r="518" spans="1:34">
      <c r="A518" s="186" t="s">
        <v>350</v>
      </c>
      <c r="P518" s="266"/>
      <c r="Q518" s="186"/>
      <c r="R518" s="283">
        <f t="shared" si="557"/>
        <v>0</v>
      </c>
      <c r="S518" s="283">
        <f t="shared" si="558"/>
        <v>0</v>
      </c>
      <c r="T518" s="283">
        <f t="shared" si="559"/>
        <v>0</v>
      </c>
      <c r="U518" s="283">
        <f t="shared" si="560"/>
        <v>0</v>
      </c>
      <c r="V518" s="283">
        <f t="shared" si="561"/>
        <v>0</v>
      </c>
      <c r="W518" s="283">
        <f t="shared" si="562"/>
        <v>0</v>
      </c>
      <c r="X518" s="282">
        <f t="shared" si="563"/>
        <v>0</v>
      </c>
      <c r="Y518" s="147"/>
      <c r="AA518" s="186"/>
      <c r="AB518" s="207"/>
      <c r="AC518" s="207"/>
      <c r="AE518" s="186"/>
      <c r="AF518" s="207"/>
      <c r="AG518" s="207"/>
      <c r="AH518" s="207"/>
    </row>
    <row r="519" spans="1:34">
      <c r="A519" s="193" t="s">
        <v>253</v>
      </c>
      <c r="J519" s="179">
        <f t="shared" ref="J519:O519" si="564">SUM(J520:J525)</f>
        <v>65.7</v>
      </c>
      <c r="K519" s="179">
        <f t="shared" si="564"/>
        <v>16036.349999999999</v>
      </c>
      <c r="L519" s="179">
        <f t="shared" si="564"/>
        <v>607.6</v>
      </c>
      <c r="M519" s="179">
        <f t="shared" si="564"/>
        <v>804.2</v>
      </c>
      <c r="N519" s="179">
        <f t="shared" si="564"/>
        <v>3720.2</v>
      </c>
      <c r="O519" s="179">
        <f t="shared" si="564"/>
        <v>1261.6500000000001</v>
      </c>
      <c r="P519" s="266">
        <f>SUM(J519:O519)</f>
        <v>22495.7</v>
      </c>
      <c r="Q519" s="193" t="s">
        <v>23</v>
      </c>
      <c r="R519" s="282">
        <f t="shared" si="557"/>
        <v>423.34435860260521</v>
      </c>
      <c r="S519" s="282">
        <f t="shared" si="558"/>
        <v>354.60013543904597</v>
      </c>
      <c r="T519" s="282">
        <f t="shared" si="559"/>
        <v>1398.3060190919557</v>
      </c>
      <c r="U519" s="282">
        <f t="shared" si="560"/>
        <v>416.85087204587705</v>
      </c>
      <c r="V519" s="282">
        <f t="shared" si="561"/>
        <v>326.75912553831802</v>
      </c>
      <c r="W519" s="282">
        <f t="shared" si="562"/>
        <v>7.8813806546921858</v>
      </c>
      <c r="X519" s="282">
        <f t="shared" si="563"/>
        <v>358.62748278444775</v>
      </c>
      <c r="Y519" s="147"/>
      <c r="AA519" s="186"/>
      <c r="AB519" s="207"/>
      <c r="AC519" s="207"/>
      <c r="AE519" s="186"/>
      <c r="AF519" s="207"/>
      <c r="AG519" s="207"/>
      <c r="AH519" s="207"/>
    </row>
    <row r="520" spans="1:34">
      <c r="A520" s="186" t="s">
        <v>24</v>
      </c>
      <c r="K520">
        <v>2203.1999999999998</v>
      </c>
      <c r="L520">
        <v>35.200000000000003</v>
      </c>
      <c r="M520">
        <v>7.1</v>
      </c>
      <c r="N520">
        <v>602</v>
      </c>
      <c r="O520">
        <v>1252.4000000000001</v>
      </c>
      <c r="P520" s="266">
        <f t="shared" ref="P520:P525" si="565">SUM(J520:O520)</f>
        <v>4099.8999999999996</v>
      </c>
      <c r="Q520" s="186" t="s">
        <v>24</v>
      </c>
      <c r="R520" s="283">
        <f t="shared" si="557"/>
        <v>0</v>
      </c>
      <c r="S520" s="283">
        <f t="shared" si="558"/>
        <v>330.26146207066057</v>
      </c>
      <c r="T520" s="283">
        <f t="shared" si="559"/>
        <v>1109.9433389746557</v>
      </c>
      <c r="U520" s="283">
        <f t="shared" si="560"/>
        <v>448.63260494234868</v>
      </c>
      <c r="V520" s="283">
        <f t="shared" si="561"/>
        <v>296.18733192417147</v>
      </c>
      <c r="W520" s="283">
        <f t="shared" si="562"/>
        <v>7.8796280638583154</v>
      </c>
      <c r="X520" s="282">
        <f t="shared" si="563"/>
        <v>237.12215899780793</v>
      </c>
      <c r="Y520" s="147"/>
      <c r="AA520" s="186"/>
      <c r="AB520" s="207"/>
      <c r="AC520" s="207"/>
    </row>
    <row r="521" spans="1:34">
      <c r="A521" s="186" t="s">
        <v>25</v>
      </c>
      <c r="K521">
        <v>1303.9000000000001</v>
      </c>
      <c r="M521">
        <v>120.3</v>
      </c>
      <c r="N521" s="147">
        <v>14.5</v>
      </c>
      <c r="O521" s="147">
        <v>1.2</v>
      </c>
      <c r="P521" s="266">
        <f t="shared" si="565"/>
        <v>1439.9</v>
      </c>
      <c r="Q521" s="186" t="s">
        <v>25</v>
      </c>
      <c r="R521" s="283">
        <f t="shared" si="557"/>
        <v>0</v>
      </c>
      <c r="S521" s="283">
        <f t="shared" si="558"/>
        <v>340.13638950798935</v>
      </c>
      <c r="T521" s="283">
        <f t="shared" si="559"/>
        <v>0</v>
      </c>
      <c r="U521" s="283">
        <f t="shared" si="560"/>
        <v>370.54845133045893</v>
      </c>
      <c r="V521" s="283">
        <f t="shared" si="561"/>
        <v>366.75718318262636</v>
      </c>
      <c r="W521" s="283">
        <f t="shared" si="562"/>
        <v>6.8307269822667225</v>
      </c>
      <c r="X521" s="282">
        <f t="shared" si="563"/>
        <v>342.32859778290941</v>
      </c>
      <c r="Y521" s="147"/>
      <c r="AA521" s="186"/>
      <c r="AB521" s="207"/>
      <c r="AC521" s="207"/>
      <c r="AE521" s="193"/>
      <c r="AF521" s="210"/>
      <c r="AG521" s="210"/>
      <c r="AH521" s="210"/>
    </row>
    <row r="522" spans="1:34">
      <c r="A522" s="186" t="s">
        <v>26</v>
      </c>
      <c r="K522" s="147">
        <v>12014.3</v>
      </c>
      <c r="L522">
        <v>377.6</v>
      </c>
      <c r="M522">
        <v>479.2</v>
      </c>
      <c r="N522" s="147">
        <v>1123.7</v>
      </c>
      <c r="O522" s="147">
        <v>6.2</v>
      </c>
      <c r="P522" s="266">
        <f t="shared" si="565"/>
        <v>14001.000000000002</v>
      </c>
      <c r="Q522" s="186" t="s">
        <v>26</v>
      </c>
      <c r="R522" s="283">
        <f t="shared" si="557"/>
        <v>0</v>
      </c>
      <c r="S522" s="283">
        <f t="shared" si="558"/>
        <v>358.03830474525193</v>
      </c>
      <c r="T522" s="283">
        <f t="shared" si="559"/>
        <v>1363.5873097141159</v>
      </c>
      <c r="U522" s="283">
        <f t="shared" si="560"/>
        <v>434.11310080029205</v>
      </c>
      <c r="V522" s="283">
        <f t="shared" si="561"/>
        <v>249.31246721965047</v>
      </c>
      <c r="W522" s="283">
        <f t="shared" si="562"/>
        <v>8.0855472946002234</v>
      </c>
      <c r="X522" s="282">
        <f t="shared" si="563"/>
        <v>370.13996235155008</v>
      </c>
      <c r="Y522" s="147"/>
      <c r="AA522" s="186"/>
      <c r="AB522" s="207"/>
      <c r="AC522" s="207"/>
      <c r="AE522" s="209"/>
      <c r="AF522" s="185"/>
      <c r="AG522" s="207"/>
      <c r="AH522" s="207"/>
    </row>
    <row r="523" spans="1:34">
      <c r="A523" s="186" t="s">
        <v>27</v>
      </c>
      <c r="J523">
        <v>10.6</v>
      </c>
      <c r="K523">
        <v>273.10000000000002</v>
      </c>
      <c r="M523">
        <v>101.4</v>
      </c>
      <c r="N523">
        <v>222.9</v>
      </c>
      <c r="O523" s="147"/>
      <c r="P523" s="266">
        <f t="shared" si="565"/>
        <v>608</v>
      </c>
      <c r="Q523" s="186" t="s">
        <v>27</v>
      </c>
      <c r="R523" s="283">
        <f t="shared" si="557"/>
        <v>478.66875450356019</v>
      </c>
      <c r="S523" s="283">
        <f t="shared" si="558"/>
        <v>286.48839190987019</v>
      </c>
      <c r="T523" s="283">
        <f t="shared" si="559"/>
        <v>0</v>
      </c>
      <c r="U523" s="283">
        <f t="shared" si="560"/>
        <v>321.70403647469237</v>
      </c>
      <c r="V523" s="283">
        <f t="shared" si="561"/>
        <v>238.77255681271669</v>
      </c>
      <c r="W523" s="283">
        <f t="shared" si="562"/>
        <v>0</v>
      </c>
      <c r="X523" s="282">
        <f t="shared" si="563"/>
        <v>271.52234038146196</v>
      </c>
      <c r="AA523" s="186"/>
      <c r="AB523" s="207"/>
      <c r="AC523" s="207"/>
      <c r="AE523" s="209"/>
      <c r="AF523" s="185"/>
      <c r="AG523" s="207"/>
      <c r="AH523" s="207"/>
    </row>
    <row r="524" spans="1:34">
      <c r="A524" s="186" t="s">
        <v>28</v>
      </c>
      <c r="J524">
        <v>55.1</v>
      </c>
      <c r="K524">
        <v>241.8</v>
      </c>
      <c r="L524">
        <v>194.8</v>
      </c>
      <c r="M524">
        <v>96.2</v>
      </c>
      <c r="N524">
        <v>1757.1</v>
      </c>
      <c r="O524">
        <v>1.8</v>
      </c>
      <c r="P524" s="266">
        <f t="shared" si="565"/>
        <v>2346.8000000000002</v>
      </c>
      <c r="Q524" s="186" t="s">
        <v>28</v>
      </c>
      <c r="R524" s="283">
        <f t="shared" si="557"/>
        <v>418.83516019061517</v>
      </c>
      <c r="S524" s="283">
        <f t="shared" si="558"/>
        <v>524.29512399711984</v>
      </c>
      <c r="T524" s="283">
        <f t="shared" si="559"/>
        <v>1525.5446736163572</v>
      </c>
      <c r="U524" s="283">
        <f t="shared" si="560"/>
        <v>480.48183983460194</v>
      </c>
      <c r="V524" s="283">
        <f t="shared" si="561"/>
        <v>483.44904840224979</v>
      </c>
      <c r="W524" s="283">
        <f t="shared" si="562"/>
        <v>10.878326861537348</v>
      </c>
      <c r="X524" s="282">
        <f t="shared" si="563"/>
        <v>625.00497336663921</v>
      </c>
      <c r="AA524" s="186"/>
      <c r="AB524" s="207"/>
      <c r="AC524" s="207"/>
      <c r="AE524" s="209"/>
      <c r="AF524" s="185"/>
      <c r="AG524" s="207"/>
      <c r="AH524" s="207"/>
    </row>
    <row r="525" spans="1:34">
      <c r="A525" s="186" t="s">
        <v>350</v>
      </c>
      <c r="K525" s="147">
        <v>0.05</v>
      </c>
      <c r="O525" s="147">
        <v>0.05</v>
      </c>
      <c r="P525" s="266">
        <f t="shared" si="565"/>
        <v>0.1</v>
      </c>
      <c r="Q525" s="186"/>
      <c r="R525" s="283">
        <f t="shared" si="557"/>
        <v>0</v>
      </c>
      <c r="S525" s="283">
        <f t="shared" si="558"/>
        <v>0</v>
      </c>
      <c r="T525" s="283">
        <f t="shared" si="559"/>
        <v>0</v>
      </c>
      <c r="U525" s="283">
        <f t="shared" si="560"/>
        <v>0</v>
      </c>
      <c r="V525" s="283">
        <f t="shared" si="561"/>
        <v>0</v>
      </c>
      <c r="W525" s="283">
        <f t="shared" si="562"/>
        <v>0</v>
      </c>
      <c r="X525" s="282">
        <f t="shared" si="563"/>
        <v>0</v>
      </c>
      <c r="AA525" s="186"/>
      <c r="AB525" s="207"/>
      <c r="AC525" s="207"/>
      <c r="AE525" s="186"/>
      <c r="AF525" s="185"/>
      <c r="AG525" s="408"/>
      <c r="AH525" s="408"/>
    </row>
    <row r="526" spans="1:34">
      <c r="J526">
        <v>55.1</v>
      </c>
      <c r="K526">
        <v>241.8</v>
      </c>
      <c r="L526">
        <v>194.8</v>
      </c>
      <c r="M526">
        <v>96.2</v>
      </c>
      <c r="N526">
        <v>1757.1</v>
      </c>
      <c r="O526">
        <v>1.8</v>
      </c>
      <c r="Q526" s="193" t="s">
        <v>9</v>
      </c>
      <c r="R526" s="282">
        <f t="shared" ref="R526:X526" si="566">R501/J482*1000000</f>
        <v>908.87948803676534</v>
      </c>
      <c r="S526" s="282">
        <f t="shared" si="566"/>
        <v>369.4705440904487</v>
      </c>
      <c r="T526" s="282">
        <f t="shared" si="566"/>
        <v>1399.564594691961</v>
      </c>
      <c r="U526" s="282">
        <f t="shared" si="566"/>
        <v>522.76051249489819</v>
      </c>
      <c r="V526" s="282">
        <f t="shared" si="566"/>
        <v>371.62490734960551</v>
      </c>
      <c r="W526" s="282">
        <f t="shared" si="566"/>
        <v>8.8447312997608893</v>
      </c>
      <c r="X526" s="195">
        <f t="shared" si="566"/>
        <v>420.57388079815149</v>
      </c>
      <c r="AA526" s="186"/>
      <c r="AB526" s="207"/>
      <c r="AC526" s="207"/>
      <c r="AE526" s="186"/>
      <c r="AF526" s="185"/>
      <c r="AG526" s="408"/>
      <c r="AH526" s="408"/>
    </row>
    <row r="527" spans="1:34">
      <c r="J527" s="90">
        <f t="shared" ref="J527:O527" si="567">IFERROR((J475/11.63+J512)/J519,"")</f>
        <v>0.8716265470997564</v>
      </c>
      <c r="K527" s="90">
        <f t="shared" si="567"/>
        <v>0.65715776132749315</v>
      </c>
      <c r="L527" s="90">
        <f t="shared" si="567"/>
        <v>0.5263431614567442</v>
      </c>
      <c r="M527" s="90">
        <f t="shared" si="567"/>
        <v>0.76721876955955426</v>
      </c>
      <c r="N527" s="90">
        <f t="shared" si="567"/>
        <v>0.57223150615105289</v>
      </c>
      <c r="O527" s="90">
        <f t="shared" si="567"/>
        <v>0.58785730065437569</v>
      </c>
      <c r="P527" s="269">
        <f>P519-('5-x'!$Y$82+'5-x'!$Y$84)</f>
        <v>0</v>
      </c>
      <c r="R527" s="315">
        <f>'7'!AE6</f>
        <v>908.87712567892527</v>
      </c>
      <c r="S527" s="315">
        <f>'7'!AE7</f>
        <v>369.47090361206028</v>
      </c>
      <c r="T527" s="204"/>
      <c r="U527" s="204"/>
      <c r="V527" s="204"/>
      <c r="W527" s="204"/>
      <c r="X527" s="196">
        <f>'7'!AE12</f>
        <v>420.57379487934037</v>
      </c>
      <c r="AE527" s="193"/>
      <c r="AF527" s="210"/>
      <c r="AG527" s="210"/>
      <c r="AH527" s="210"/>
    </row>
    <row r="528" spans="1:34">
      <c r="J528" s="90" t="str">
        <f t="shared" ref="J528:O528" si="568">IFERROR((J476/11.63+J513)/J520,"")</f>
        <v/>
      </c>
      <c r="K528" s="90">
        <f t="shared" si="568"/>
        <v>0.7239432786266955</v>
      </c>
      <c r="L528" s="90">
        <f t="shared" si="568"/>
        <v>0.65126192058156807</v>
      </c>
      <c r="M528" s="90">
        <f t="shared" si="568"/>
        <v>0.65469342278953169</v>
      </c>
      <c r="N528" s="90">
        <f t="shared" si="568"/>
        <v>0.63558088115567779</v>
      </c>
      <c r="O528" s="90">
        <f t="shared" si="568"/>
        <v>0.58779312250144378</v>
      </c>
      <c r="P528" s="272">
        <f>(P494/41.868)-'5-x'!$Y$82</f>
        <v>-1.2160695587226655E-3</v>
      </c>
      <c r="R528" s="172">
        <f>R526-R527</f>
        <v>2.3623578400702172E-3</v>
      </c>
      <c r="S528" s="172">
        <f>S526-S527</f>
        <v>-3.5952161158547824E-4</v>
      </c>
      <c r="T528" s="172"/>
      <c r="U528" s="172"/>
      <c r="V528" s="172"/>
      <c r="W528" s="172"/>
      <c r="X528" s="197">
        <f>X526-X527</f>
        <v>8.5918811123519845E-5</v>
      </c>
      <c r="AE528" s="186"/>
      <c r="AF528" s="185"/>
      <c r="AG528" s="207"/>
      <c r="AH528" s="207"/>
    </row>
    <row r="529" spans="1:34">
      <c r="J529" s="90" t="str">
        <f t="shared" ref="J529:O529" si="569">IFERROR((J477/11.63+J514)/J521,"")</f>
        <v/>
      </c>
      <c r="K529" s="90">
        <f t="shared" si="569"/>
        <v>0.74475185462858717</v>
      </c>
      <c r="L529" s="90" t="str">
        <f t="shared" si="569"/>
        <v/>
      </c>
      <c r="M529" s="90">
        <f t="shared" si="569"/>
        <v>0.78564265747211215</v>
      </c>
      <c r="N529" s="90">
        <f t="shared" si="569"/>
        <v>0.73595042547513867</v>
      </c>
      <c r="O529" s="90">
        <f t="shared" si="569"/>
        <v>0.68443680137575236</v>
      </c>
      <c r="P529" s="272">
        <f>(P487/41.868)-'5-x'!$Y$83</f>
        <v>-1.6941817739279941E-4</v>
      </c>
      <c r="AE529" s="186"/>
      <c r="AF529" s="185"/>
      <c r="AG529" s="207"/>
      <c r="AH529" s="207"/>
    </row>
    <row r="530" spans="1:34">
      <c r="J530" s="90" t="str">
        <f t="shared" ref="J530:O530" si="570">IFERROR((J478/11.63+J515)/J522,"")</f>
        <v/>
      </c>
      <c r="K530" s="90">
        <f t="shared" si="570"/>
        <v>0.6333856353423033</v>
      </c>
      <c r="L530" s="90">
        <f t="shared" si="570"/>
        <v>0.54347524119387314</v>
      </c>
      <c r="M530" s="90">
        <f t="shared" si="570"/>
        <v>0.73921012665132635</v>
      </c>
      <c r="N530" s="90">
        <f t="shared" si="570"/>
        <v>0.60439620645804426</v>
      </c>
      <c r="O530" s="90">
        <f t="shared" si="570"/>
        <v>0.57580506476576143</v>
      </c>
      <c r="AE530" s="186"/>
      <c r="AF530" s="185"/>
      <c r="AG530" s="207"/>
      <c r="AH530" s="207"/>
    </row>
    <row r="531" spans="1:34">
      <c r="J531" s="90">
        <f t="shared" ref="J531:O531" si="571">IFERROR((J479/11.63+J516)/J523,"")</f>
        <v>0.82964519216729671</v>
      </c>
      <c r="K531" s="90">
        <f t="shared" si="571"/>
        <v>0.85122977388054022</v>
      </c>
      <c r="L531" s="90" t="str">
        <f t="shared" si="571"/>
        <v/>
      </c>
      <c r="M531" s="90">
        <f t="shared" si="571"/>
        <v>0.8695663971806572</v>
      </c>
      <c r="N531" s="90">
        <f t="shared" si="571"/>
        <v>0.76972272402362818</v>
      </c>
      <c r="O531" s="90" t="str">
        <f t="shared" si="571"/>
        <v/>
      </c>
      <c r="AE531" s="186"/>
      <c r="AF531" s="185"/>
      <c r="AG531" s="207"/>
      <c r="AH531" s="207"/>
    </row>
    <row r="532" spans="1:34">
      <c r="J532" s="90">
        <f t="shared" ref="J532:O532" si="572">IFERROR((J480/11.63+J517)/J524,"")</f>
        <v>0.87970281501779757</v>
      </c>
      <c r="K532" s="90">
        <f t="shared" si="572"/>
        <v>0.53831680851623709</v>
      </c>
      <c r="L532" s="90">
        <f t="shared" si="572"/>
        <v>0.47056177731950743</v>
      </c>
      <c r="M532" s="90">
        <f t="shared" si="572"/>
        <v>0.78412343158688813</v>
      </c>
      <c r="N532" s="90">
        <f t="shared" si="572"/>
        <v>0.5035532782290526</v>
      </c>
      <c r="O532" s="90">
        <f t="shared" si="572"/>
        <v>0.61641349001624146</v>
      </c>
    </row>
    <row r="533" spans="1:34">
      <c r="J533" s="90" t="str">
        <f t="shared" ref="J533:O533" si="573">IFERROR((J481/11.63+J518)/J525,"")</f>
        <v/>
      </c>
      <c r="K533" s="90">
        <f t="shared" si="573"/>
        <v>0.34393809114359414</v>
      </c>
      <c r="L533" s="90" t="str">
        <f t="shared" si="573"/>
        <v/>
      </c>
      <c r="M533" s="90" t="str">
        <f t="shared" si="573"/>
        <v/>
      </c>
      <c r="N533" s="90" t="str">
        <f t="shared" si="573"/>
        <v/>
      </c>
      <c r="O533" s="90">
        <f t="shared" si="573"/>
        <v>0.34393809114359414</v>
      </c>
    </row>
    <row r="534" spans="1:34">
      <c r="A534" s="68" t="str">
        <f>$A$466</f>
        <v>Dati 2019 lorda</v>
      </c>
    </row>
    <row r="535" spans="1:34">
      <c r="A535" s="68" t="s">
        <v>257</v>
      </c>
      <c r="B535" s="68"/>
      <c r="C535" s="68"/>
      <c r="D535" s="68"/>
      <c r="E535" s="68"/>
      <c r="J535" s="428">
        <v>0.20342367392287386</v>
      </c>
      <c r="K535" s="428">
        <v>8.9730984174270461</v>
      </c>
      <c r="L535" s="428">
        <v>0.89851693241757136</v>
      </c>
      <c r="M535" s="588">
        <v>1.1688742531236631</v>
      </c>
      <c r="N535" s="587">
        <v>1.789534872513427</v>
      </c>
      <c r="O535" s="587">
        <v>2.7283664352488052E-3</v>
      </c>
      <c r="P535" s="566">
        <f>SUM(J535:O535)</f>
        <v>13.036176515839831</v>
      </c>
      <c r="Q535" t="s">
        <v>363</v>
      </c>
    </row>
    <row r="536" spans="1:34">
      <c r="A536" t="s">
        <v>258</v>
      </c>
      <c r="J536" s="181">
        <f>J535/(J512*11.63)*1000000</f>
        <v>385.27065034388858</v>
      </c>
      <c r="K536" s="181">
        <f t="shared" ref="K536:P536" si="574">K535/(K512*11.63)*1000000</f>
        <v>232.88487332730634</v>
      </c>
      <c r="L536" s="181">
        <f t="shared" si="574"/>
        <v>692.90179057376065</v>
      </c>
      <c r="M536" s="181">
        <f t="shared" si="574"/>
        <v>236.31576499309134</v>
      </c>
      <c r="N536" s="181">
        <f t="shared" si="574"/>
        <v>152.31865177369903</v>
      </c>
      <c r="O536" s="181">
        <f t="shared" si="574"/>
        <v>0.85370191382798988</v>
      </c>
      <c r="P536" s="181">
        <f t="shared" si="574"/>
        <v>216.38342470700459</v>
      </c>
    </row>
    <row r="538" spans="1:34">
      <c r="A538" s="68" t="s">
        <v>259</v>
      </c>
      <c r="J538" s="271">
        <f t="shared" ref="J538:P538" si="575">J535+R494</f>
        <v>0.26184519541003337</v>
      </c>
      <c r="K538" s="271">
        <f t="shared" si="575"/>
        <v>38.770693882578655</v>
      </c>
      <c r="L538" s="271">
        <f t="shared" si="575"/>
        <v>4.286053094269743</v>
      </c>
      <c r="M538" s="271">
        <f t="shared" si="575"/>
        <v>2.0982182612976232</v>
      </c>
      <c r="N538" s="271">
        <f t="shared" si="575"/>
        <v>6.0405077162041749</v>
      </c>
      <c r="O538" s="271">
        <f t="shared" si="575"/>
        <v>4.5521898976030969E-2</v>
      </c>
      <c r="P538" s="271">
        <f t="shared" si="575"/>
        <v>51.50284004873626</v>
      </c>
    </row>
    <row r="539" spans="1:34">
      <c r="A539" t="s">
        <v>260</v>
      </c>
      <c r="J539" s="181">
        <f>J538/((J512*11.63)+J475)*1000000</f>
        <v>393.15977340913895</v>
      </c>
      <c r="K539" s="181">
        <f t="shared" ref="K539:P539" si="576">K538/((K512*11.63)+K475)*1000000</f>
        <v>316.33605271872926</v>
      </c>
      <c r="L539" s="181">
        <f t="shared" si="576"/>
        <v>1152.3677137425386</v>
      </c>
      <c r="M539" s="181">
        <f t="shared" si="576"/>
        <v>292.40692919758862</v>
      </c>
      <c r="N539" s="181">
        <f t="shared" si="576"/>
        <v>243.98081325719781</v>
      </c>
      <c r="O539" s="181">
        <f t="shared" si="576"/>
        <v>5.2775195134903825</v>
      </c>
      <c r="P539" s="181">
        <f t="shared" si="576"/>
        <v>307.46769948587109</v>
      </c>
    </row>
    <row r="540" spans="1:34">
      <c r="J540" s="181" t="str">
        <f>IFERROR((J$628*J511*11.63/1000000+R493)/(J511*11.63+J474)*1000000,"")</f>
        <v/>
      </c>
      <c r="K540" s="168"/>
      <c r="L540" s="168"/>
      <c r="M540" s="168"/>
      <c r="N540" s="168"/>
      <c r="O540" s="168"/>
      <c r="P540" s="168"/>
    </row>
    <row r="541" spans="1:34">
      <c r="A541" t="s">
        <v>261</v>
      </c>
      <c r="J541" s="266">
        <f t="shared" ref="J541:P541" si="577">IFERROR((J536*J512*11.63/1000000+R494)/(J512*11.63+J475)*1000000,"")</f>
        <v>393.15977340913895</v>
      </c>
      <c r="K541" s="266">
        <f t="shared" si="577"/>
        <v>316.33605271872926</v>
      </c>
      <c r="L541" s="266">
        <f t="shared" si="577"/>
        <v>1152.3677137425386</v>
      </c>
      <c r="M541" s="266">
        <f t="shared" si="577"/>
        <v>292.40692919758862</v>
      </c>
      <c r="N541" s="266">
        <f t="shared" si="577"/>
        <v>243.98081325719781</v>
      </c>
      <c r="O541" s="266">
        <f t="shared" si="577"/>
        <v>5.2775195134903825</v>
      </c>
      <c r="P541" s="266">
        <f t="shared" si="577"/>
        <v>307.46769948587115</v>
      </c>
      <c r="R541" s="255">
        <f t="shared" ref="R541:R547" si="578">IFERROR(J541/R519-1,"")</f>
        <v>-7.1300312807051291E-2</v>
      </c>
      <c r="S541" s="255">
        <f t="shared" ref="S541:S547" si="579">IFERROR(K541/S519-1,"")</f>
        <v>-0.10790769347264983</v>
      </c>
      <c r="T541" s="255">
        <f t="shared" ref="T541:T547" si="580">IFERROR(L541/T519-1,"")</f>
        <v>-0.1758830341795472</v>
      </c>
      <c r="U541" s="255">
        <f t="shared" ref="U541:U547" si="581">IFERROR(M541/U519-1,"")</f>
        <v>-0.29853348329949658</v>
      </c>
      <c r="V541" s="255">
        <f t="shared" ref="V541:V547" si="582">IFERROR(N541/V519-1,"")</f>
        <v>-0.25333129455756564</v>
      </c>
      <c r="W541" s="255">
        <f t="shared" ref="W541:W547" si="583">IFERROR(O541/W519-1,"")</f>
        <v>-0.33038134500604188</v>
      </c>
      <c r="X541" s="255">
        <f t="shared" ref="X541:X547" si="584">IFERROR(P541/X519-1,"")</f>
        <v>-0.14265438583056411</v>
      </c>
      <c r="AE541" s="186"/>
      <c r="AF541" s="185"/>
      <c r="AG541" s="207"/>
      <c r="AH541" s="207"/>
    </row>
    <row r="542" spans="1:34">
      <c r="A542" s="186" t="s">
        <v>24</v>
      </c>
      <c r="J542" s="181" t="str">
        <f t="shared" ref="J542:P542" si="585">IFERROR((J536*J513*11.63/1000000+R495)/(J513*11.63+J476)*1000000,"")</f>
        <v/>
      </c>
      <c r="K542" s="181">
        <f t="shared" si="585"/>
        <v>287.61701343136485</v>
      </c>
      <c r="L542" s="181">
        <f t="shared" si="585"/>
        <v>933.4807244664272</v>
      </c>
      <c r="M542" s="181">
        <f t="shared" si="585"/>
        <v>357.28059426495827</v>
      </c>
      <c r="N542" s="181">
        <f t="shared" si="585"/>
        <v>220.64700150415356</v>
      </c>
      <c r="O542" s="181">
        <f t="shared" si="585"/>
        <v>5.2807634087867985</v>
      </c>
      <c r="P542" s="181">
        <f t="shared" si="585"/>
        <v>228.16951151707312</v>
      </c>
      <c r="R542" s="254" t="str">
        <f t="shared" si="578"/>
        <v/>
      </c>
      <c r="S542" s="254">
        <f t="shared" si="579"/>
        <v>-0.12912329634806674</v>
      </c>
      <c r="T542" s="254">
        <f t="shared" si="580"/>
        <v>-0.15898344384970253</v>
      </c>
      <c r="U542" s="254">
        <f t="shared" si="581"/>
        <v>-0.20362320899331321</v>
      </c>
      <c r="V542" s="254">
        <f t="shared" si="582"/>
        <v>-0.25504240822614721</v>
      </c>
      <c r="W542" s="254">
        <f t="shared" si="583"/>
        <v>-0.32982072681727115</v>
      </c>
      <c r="X542" s="254">
        <f t="shared" si="584"/>
        <v>-3.7755423274539179E-2</v>
      </c>
    </row>
    <row r="543" spans="1:34">
      <c r="A543" s="186" t="s">
        <v>25</v>
      </c>
      <c r="J543" s="181" t="str">
        <f t="shared" ref="J543:P543" si="586">IFERROR((J536*J514*11.63/1000000+R496)/(J514*11.63+J477)*1000000,"")</f>
        <v/>
      </c>
      <c r="K543" s="181">
        <f t="shared" si="586"/>
        <v>278.71771257486262</v>
      </c>
      <c r="L543" s="181" t="str">
        <f t="shared" si="586"/>
        <v/>
      </c>
      <c r="M543" s="181">
        <f t="shared" si="586"/>
        <v>287.03721285201419</v>
      </c>
      <c r="N543" s="181">
        <f t="shared" si="586"/>
        <v>187.9124035123109</v>
      </c>
      <c r="O543" s="181">
        <f t="shared" si="586"/>
        <v>3.9198056444969378</v>
      </c>
      <c r="P543" s="181">
        <f t="shared" si="586"/>
        <v>269.34011055946172</v>
      </c>
      <c r="R543" s="254" t="str">
        <f t="shared" si="578"/>
        <v/>
      </c>
      <c r="S543" s="254">
        <f t="shared" si="579"/>
        <v>-0.18057073229350573</v>
      </c>
      <c r="T543" s="254" t="str">
        <f t="shared" si="580"/>
        <v/>
      </c>
      <c r="U543" s="254">
        <f t="shared" si="581"/>
        <v>-0.22537198085323684</v>
      </c>
      <c r="V543" s="254">
        <f t="shared" si="582"/>
        <v>-0.48763811009329272</v>
      </c>
      <c r="W543" s="254">
        <f t="shared" si="583"/>
        <v>-0.42615102979914721</v>
      </c>
      <c r="X543" s="254">
        <f t="shared" si="584"/>
        <v>-0.21321177282925674</v>
      </c>
    </row>
    <row r="544" spans="1:34">
      <c r="A544" s="186" t="s">
        <v>26</v>
      </c>
      <c r="J544" s="181" t="str">
        <f t="shared" ref="J544:P544" si="587">IFERROR((J536*J515*11.63/1000000+R497)/(J515*11.63+J478)*1000000,"")</f>
        <v/>
      </c>
      <c r="K544" s="181">
        <f t="shared" si="587"/>
        <v>328.10714088243873</v>
      </c>
      <c r="L544" s="181">
        <f t="shared" si="587"/>
        <v>1116.8390311061103</v>
      </c>
      <c r="M544" s="181">
        <f t="shared" si="587"/>
        <v>305.51644982607706</v>
      </c>
      <c r="N544" s="181">
        <f t="shared" si="587"/>
        <v>230.21818487563559</v>
      </c>
      <c r="O544" s="181">
        <f t="shared" si="587"/>
        <v>5.4520958552135479</v>
      </c>
      <c r="P544" s="181">
        <f t="shared" si="587"/>
        <v>330.87167595868493</v>
      </c>
      <c r="R544" s="254" t="str">
        <f t="shared" si="578"/>
        <v/>
      </c>
      <c r="S544" s="254">
        <f t="shared" si="579"/>
        <v>-8.3597658312312584E-2</v>
      </c>
      <c r="T544" s="254">
        <f t="shared" si="580"/>
        <v>-0.18095524712659428</v>
      </c>
      <c r="U544" s="254">
        <f t="shared" si="581"/>
        <v>-0.29622844999873466</v>
      </c>
      <c r="V544" s="254">
        <f t="shared" si="582"/>
        <v>-7.6587755746656438E-2</v>
      </c>
      <c r="W544" s="254">
        <f t="shared" si="583"/>
        <v>-0.3256986006556879</v>
      </c>
      <c r="X544" s="254">
        <f t="shared" si="584"/>
        <v>-0.10609037225645224</v>
      </c>
    </row>
    <row r="545" spans="1:43">
      <c r="A545" s="186" t="s">
        <v>27</v>
      </c>
      <c r="J545" s="181">
        <f t="shared" ref="J545:P545" si="588">IFERROR((J536*J516*11.63/1000000+R498)/(J516*11.63+J479)*1000000,"")</f>
        <v>394.76780301028072</v>
      </c>
      <c r="K545" s="181">
        <f t="shared" si="588"/>
        <v>245.62931886097738</v>
      </c>
      <c r="L545" s="181" t="str">
        <f t="shared" si="588"/>
        <v/>
      </c>
      <c r="M545" s="181">
        <f t="shared" si="588"/>
        <v>251.20407208228247</v>
      </c>
      <c r="N545" s="181">
        <f t="shared" si="588"/>
        <v>179.76642662191927</v>
      </c>
      <c r="O545" s="181" t="str">
        <f t="shared" si="588"/>
        <v/>
      </c>
      <c r="P545" s="181">
        <f t="shared" si="588"/>
        <v>230.25154688848096</v>
      </c>
      <c r="R545" s="254">
        <f t="shared" si="578"/>
        <v>-0.17527977480020673</v>
      </c>
      <c r="S545" s="254">
        <f t="shared" si="579"/>
        <v>-0.14262034414904723</v>
      </c>
      <c r="T545" s="254" t="str">
        <f t="shared" si="580"/>
        <v/>
      </c>
      <c r="U545" s="254">
        <f t="shared" si="581"/>
        <v>-0.21914541441557556</v>
      </c>
      <c r="V545" s="254">
        <f t="shared" si="582"/>
        <v>-0.24712274718019367</v>
      </c>
      <c r="W545" s="254" t="str">
        <f t="shared" si="583"/>
        <v/>
      </c>
      <c r="X545" s="254">
        <f t="shared" si="584"/>
        <v>-0.15199778196887825</v>
      </c>
    </row>
    <row r="546" spans="1:43">
      <c r="A546" s="186" t="s">
        <v>28</v>
      </c>
      <c r="J546" s="181">
        <f t="shared" ref="J546:P546" si="589">IFERROR((J536*J517*11.63/1000000+R499)/(J517*11.63+J480)*1000000,"")</f>
        <v>392.86802753390555</v>
      </c>
      <c r="K546" s="181">
        <f t="shared" si="589"/>
        <v>387.05817261966138</v>
      </c>
      <c r="L546" s="181">
        <f t="shared" si="589"/>
        <v>1286.6486490688317</v>
      </c>
      <c r="M546" s="181">
        <f t="shared" si="589"/>
        <v>281.73776546059725</v>
      </c>
      <c r="N546" s="181">
        <f t="shared" si="589"/>
        <v>277.76345831847169</v>
      </c>
      <c r="O546" s="181">
        <f t="shared" si="589"/>
        <v>3.6504044720854059</v>
      </c>
      <c r="P546" s="181">
        <f t="shared" si="589"/>
        <v>380.52300625375318</v>
      </c>
      <c r="R546" s="254">
        <f t="shared" si="578"/>
        <v>-6.1998454582685381E-2</v>
      </c>
      <c r="S546" s="254">
        <f t="shared" si="579"/>
        <v>-0.26175515486619771</v>
      </c>
      <c r="T546" s="254">
        <f t="shared" si="580"/>
        <v>-0.1565972001208028</v>
      </c>
      <c r="U546" s="254">
        <f t="shared" si="581"/>
        <v>-0.41363493455323741</v>
      </c>
      <c r="V546" s="254">
        <f t="shared" si="582"/>
        <v>-0.42545453499918584</v>
      </c>
      <c r="W546" s="254">
        <f t="shared" si="583"/>
        <v>-0.66443327925802709</v>
      </c>
      <c r="X546" s="254">
        <f t="shared" si="584"/>
        <v>-0.39116803470533101</v>
      </c>
    </row>
    <row r="547" spans="1:43">
      <c r="A547" s="186" t="s">
        <v>350</v>
      </c>
      <c r="J547" s="181" t="str">
        <f t="shared" ref="J547:P547" si="590">IFERROR((J$628*J518*11.63/1000000+R500)/(J518*11.63+J481)*1000000,"")</f>
        <v/>
      </c>
      <c r="K547" s="181">
        <f t="shared" si="590"/>
        <v>0</v>
      </c>
      <c r="L547" s="181" t="str">
        <f t="shared" si="590"/>
        <v/>
      </c>
      <c r="M547" s="181" t="str">
        <f t="shared" si="590"/>
        <v/>
      </c>
      <c r="N547" s="181" t="str">
        <f t="shared" si="590"/>
        <v/>
      </c>
      <c r="O547" s="181">
        <f t="shared" si="590"/>
        <v>0</v>
      </c>
      <c r="P547" s="181">
        <f t="shared" si="590"/>
        <v>0</v>
      </c>
      <c r="R547" s="254" t="str">
        <f t="shared" si="578"/>
        <v/>
      </c>
      <c r="S547" s="254" t="str">
        <f t="shared" si="579"/>
        <v/>
      </c>
      <c r="T547" s="254" t="str">
        <f t="shared" si="580"/>
        <v/>
      </c>
      <c r="U547" s="254" t="str">
        <f t="shared" si="581"/>
        <v/>
      </c>
      <c r="V547" s="254" t="str">
        <f t="shared" si="582"/>
        <v/>
      </c>
      <c r="W547" s="254" t="str">
        <f t="shared" si="583"/>
        <v/>
      </c>
      <c r="X547" s="254" t="str">
        <f t="shared" si="584"/>
        <v/>
      </c>
    </row>
    <row r="548" spans="1:43">
      <c r="J548" s="181"/>
      <c r="K548" s="181"/>
      <c r="L548" s="181"/>
      <c r="M548" s="181"/>
      <c r="N548" s="181"/>
      <c r="O548" s="181"/>
      <c r="P548" s="181"/>
    </row>
    <row r="549" spans="1:43">
      <c r="J549" s="181"/>
      <c r="K549" s="181"/>
      <c r="L549" s="181"/>
      <c r="M549" s="181"/>
      <c r="N549" s="181"/>
      <c r="O549" s="181"/>
      <c r="P549" s="181"/>
    </row>
    <row r="550" spans="1:43">
      <c r="J550" s="181"/>
      <c r="K550" s="181"/>
      <c r="L550" s="181"/>
      <c r="M550" s="181"/>
      <c r="N550" s="181"/>
      <c r="O550" s="181"/>
      <c r="P550" s="181"/>
    </row>
    <row r="551" spans="1:43">
      <c r="J551" s="181"/>
      <c r="K551" s="181"/>
      <c r="L551" s="181"/>
      <c r="M551" s="181"/>
      <c r="N551" s="181"/>
      <c r="O551" s="181"/>
      <c r="P551" s="181"/>
    </row>
    <row r="552" spans="1:43">
      <c r="J552" s="181"/>
      <c r="K552" s="181"/>
      <c r="L552" s="181"/>
      <c r="M552" s="181"/>
      <c r="N552" s="181"/>
      <c r="O552" s="181"/>
      <c r="P552" s="181"/>
    </row>
    <row r="553" spans="1:43">
      <c r="J553" s="181"/>
      <c r="K553" s="181"/>
      <c r="L553" s="181"/>
      <c r="M553" s="181"/>
      <c r="N553" s="181"/>
      <c r="O553" s="181"/>
      <c r="P553" s="181"/>
    </row>
    <row r="556" spans="1:43">
      <c r="J556" s="254">
        <f>J567/J574</f>
        <v>4.8064865791401859E-3</v>
      </c>
      <c r="K556" s="254">
        <f t="shared" ref="K556:P556" si="591">K567/K574</f>
        <v>0.63112546540863768</v>
      </c>
      <c r="L556" s="254">
        <f t="shared" si="591"/>
        <v>0.9889770215737701</v>
      </c>
      <c r="M556" s="254">
        <f t="shared" si="591"/>
        <v>0.64943231228601483</v>
      </c>
      <c r="N556" s="254">
        <f t="shared" si="591"/>
        <v>0.65051583338509977</v>
      </c>
      <c r="O556" s="254">
        <f t="shared" si="591"/>
        <v>0.64622984094576275</v>
      </c>
      <c r="P556" s="254">
        <f t="shared" si="591"/>
        <v>0.54439204061284996</v>
      </c>
    </row>
    <row r="557" spans="1:43">
      <c r="J557" s="166">
        <f>J611*((J567/11.63)/((J567/11.63)+J604))*41.868</f>
        <v>564.89962911103487</v>
      </c>
      <c r="K557" s="166">
        <f t="shared" ref="K557:P557" si="592">K611*((K567/11.63)/((K567/11.63)+K604))*41.868</f>
        <v>443425.09841218044</v>
      </c>
      <c r="L557" s="166">
        <f t="shared" si="592"/>
        <v>20226.838927283417</v>
      </c>
      <c r="M557" s="166">
        <f t="shared" si="592"/>
        <v>9943.7416628548453</v>
      </c>
      <c r="N557" s="166">
        <f t="shared" si="592"/>
        <v>83726.909224744551</v>
      </c>
      <c r="O557" s="166">
        <f t="shared" si="592"/>
        <v>33117.476218997974</v>
      </c>
      <c r="P557" s="166">
        <f t="shared" si="592"/>
        <v>589346.57601790735</v>
      </c>
    </row>
    <row r="558" spans="1:43">
      <c r="A558" s="402" t="s">
        <v>348</v>
      </c>
      <c r="J558" s="68" t="s">
        <v>175</v>
      </c>
      <c r="R558" s="68" t="s">
        <v>122</v>
      </c>
      <c r="S558" s="68"/>
      <c r="AJ558" s="68" t="s">
        <v>264</v>
      </c>
    </row>
    <row r="559" spans="1:43" ht="15.5">
      <c r="A559" s="68"/>
      <c r="J559" s="180" t="s">
        <v>5</v>
      </c>
      <c r="K559" s="180" t="s">
        <v>186</v>
      </c>
      <c r="L559" s="180" t="s">
        <v>187</v>
      </c>
      <c r="M559" s="180" t="s">
        <v>190</v>
      </c>
      <c r="N559" s="180" t="s">
        <v>192</v>
      </c>
      <c r="O559" s="180" t="s">
        <v>191</v>
      </c>
      <c r="P559" s="180" t="s">
        <v>189</v>
      </c>
      <c r="Q559" s="2"/>
      <c r="R559" s="180" t="s">
        <v>5</v>
      </c>
      <c r="S559" s="180" t="s">
        <v>186</v>
      </c>
      <c r="T559" s="180" t="s">
        <v>187</v>
      </c>
      <c r="U559" s="180" t="s">
        <v>190</v>
      </c>
      <c r="V559" s="180" t="s">
        <v>192</v>
      </c>
      <c r="W559" s="180" t="s">
        <v>191</v>
      </c>
      <c r="X559" s="180" t="s">
        <v>189</v>
      </c>
      <c r="AA559" s="68" t="s">
        <v>194</v>
      </c>
      <c r="AB559" s="183" t="s">
        <v>193</v>
      </c>
      <c r="AJ559" s="68"/>
      <c r="AK559" s="180" t="s">
        <v>5</v>
      </c>
      <c r="AL559" s="180" t="s">
        <v>186</v>
      </c>
      <c r="AM559" s="180" t="s">
        <v>187</v>
      </c>
      <c r="AN559" s="180" t="s">
        <v>190</v>
      </c>
      <c r="AO559" s="180" t="s">
        <v>192</v>
      </c>
      <c r="AP559" s="180" t="s">
        <v>191</v>
      </c>
      <c r="AQ559" s="180" t="s">
        <v>189</v>
      </c>
    </row>
    <row r="560" spans="1:43" ht="15.5">
      <c r="A560" s="11" t="s">
        <v>16</v>
      </c>
      <c r="J560" s="179">
        <f t="shared" ref="J560:P560" si="593">SUM(J561:J566)</f>
        <v>28333.02</v>
      </c>
      <c r="K560" s="179">
        <f t="shared" si="593"/>
        <v>47414.239999999998</v>
      </c>
      <c r="L560" s="179">
        <f t="shared" si="593"/>
        <v>27.78</v>
      </c>
      <c r="M560" s="179">
        <f t="shared" si="593"/>
        <v>1152.9399999999998</v>
      </c>
      <c r="N560" s="179">
        <f t="shared" si="593"/>
        <v>7313.76</v>
      </c>
      <c r="O560" s="179">
        <f t="shared" si="593"/>
        <v>2966.4300000000003</v>
      </c>
      <c r="P560" s="179">
        <f t="shared" si="593"/>
        <v>87208.17</v>
      </c>
      <c r="Q560" s="2"/>
      <c r="R560" s="206">
        <v>9.3989999999999991</v>
      </c>
      <c r="S560" s="206">
        <v>6.8049999999999997</v>
      </c>
      <c r="T560" s="206">
        <v>9.16</v>
      </c>
      <c r="U560" s="206">
        <v>10.709</v>
      </c>
      <c r="V560" s="206">
        <v>11.289</v>
      </c>
      <c r="W560" s="206">
        <v>9.7850000000000001</v>
      </c>
      <c r="X560" s="206">
        <v>8.1780000000000008</v>
      </c>
      <c r="AA560" s="68" t="s">
        <v>5</v>
      </c>
      <c r="AC560" s="403"/>
      <c r="AJ560" s="11" t="s">
        <v>16</v>
      </c>
      <c r="AK560" s="256">
        <f t="shared" ref="AK560:AQ564" si="594">IFERROR(J560*3.6/J579,"")</f>
        <v>0.3830194701563997</v>
      </c>
      <c r="AL560" s="256">
        <f t="shared" si="594"/>
        <v>0.52905031259262292</v>
      </c>
      <c r="AM560" s="256">
        <f t="shared" si="594"/>
        <v>0.3930131004366812</v>
      </c>
      <c r="AN560" s="256">
        <f t="shared" si="594"/>
        <v>0.3361639686160463</v>
      </c>
      <c r="AO560" s="256">
        <f t="shared" si="594"/>
        <v>0.31890282931871144</v>
      </c>
      <c r="AP560" s="256">
        <f t="shared" si="594"/>
        <v>0.36789712092894955</v>
      </c>
      <c r="AQ560" s="256">
        <f t="shared" si="594"/>
        <v>0.4402408997796286</v>
      </c>
    </row>
    <row r="561" spans="1:43" ht="15.5">
      <c r="A561" s="10" t="s">
        <v>17</v>
      </c>
      <c r="J561" s="147">
        <v>0</v>
      </c>
      <c r="K561" s="147">
        <v>256.85000000000002</v>
      </c>
      <c r="L561" s="147">
        <v>27.78</v>
      </c>
      <c r="M561" s="147">
        <v>193.1</v>
      </c>
      <c r="N561" s="147">
        <v>1340.61</v>
      </c>
      <c r="O561" s="147">
        <v>2917.9</v>
      </c>
      <c r="P561" s="179">
        <f t="shared" ref="P561:P566" si="595">SUM(J561:O561)</f>
        <v>4736.24</v>
      </c>
      <c r="Q561" s="2"/>
      <c r="R561" s="171">
        <v>0</v>
      </c>
      <c r="S561" s="171">
        <v>9.8149999999999995</v>
      </c>
      <c r="T561" s="171">
        <v>9.16</v>
      </c>
      <c r="U561" s="171">
        <v>9.6110000000000007</v>
      </c>
      <c r="V561" s="171">
        <v>8.6929999999999996</v>
      </c>
      <c r="W561" s="171">
        <v>9.7750000000000004</v>
      </c>
      <c r="X561" s="206">
        <v>9.4610000000000003</v>
      </c>
      <c r="Y561" s="147"/>
      <c r="Z561" s="169">
        <f>AA561*AB561</f>
        <v>601258.01217640855</v>
      </c>
      <c r="AA561" s="207">
        <v>6374.10778838853</v>
      </c>
      <c r="AB561" s="207">
        <v>94.328183980775705</v>
      </c>
      <c r="AC561" s="186" t="s">
        <v>58</v>
      </c>
      <c r="AD561" s="342"/>
      <c r="AE561" s="186"/>
      <c r="AF561" s="185"/>
      <c r="AG561" s="207"/>
      <c r="AH561" s="207"/>
      <c r="AJ561" s="10" t="s">
        <v>17</v>
      </c>
      <c r="AK561" s="56" t="str">
        <f t="shared" si="594"/>
        <v/>
      </c>
      <c r="AL561" s="56">
        <f t="shared" si="594"/>
        <v>0.3667855323484463</v>
      </c>
      <c r="AM561" s="56">
        <f t="shared" si="594"/>
        <v>0.3930131004366812</v>
      </c>
      <c r="AN561" s="56">
        <f t="shared" si="594"/>
        <v>0.37457080428675477</v>
      </c>
      <c r="AO561" s="56">
        <f t="shared" si="594"/>
        <v>0.41412630852409987</v>
      </c>
      <c r="AP561" s="56">
        <f t="shared" si="594"/>
        <v>0.36828644501278768</v>
      </c>
      <c r="AQ561" s="256">
        <f t="shared" si="594"/>
        <v>0.38052508322198558</v>
      </c>
    </row>
    <row r="562" spans="1:43" ht="15.5">
      <c r="A562" s="10" t="s">
        <v>18</v>
      </c>
      <c r="J562" s="147">
        <v>0</v>
      </c>
      <c r="K562" s="147">
        <v>249.89</v>
      </c>
      <c r="L562" s="147">
        <v>0</v>
      </c>
      <c r="M562" s="147">
        <v>8.74</v>
      </c>
      <c r="N562" s="147">
        <v>11.23</v>
      </c>
      <c r="O562" s="147">
        <v>29.11</v>
      </c>
      <c r="P562" s="179">
        <f t="shared" si="595"/>
        <v>298.97000000000003</v>
      </c>
      <c r="Q562" s="2"/>
      <c r="R562" s="171">
        <v>0</v>
      </c>
      <c r="S562" s="171">
        <v>11.215999999999999</v>
      </c>
      <c r="T562" s="171">
        <v>0</v>
      </c>
      <c r="U562" s="171">
        <v>15.464</v>
      </c>
      <c r="V562" s="171">
        <v>13.404</v>
      </c>
      <c r="W562" s="171">
        <v>11.319000000000001</v>
      </c>
      <c r="X562" s="206">
        <v>11.432</v>
      </c>
      <c r="Y562" s="147"/>
      <c r="Z562" s="169">
        <f>AA562*AB562</f>
        <v>90.212499946757305</v>
      </c>
      <c r="AA562" s="207">
        <v>0.956368458923611</v>
      </c>
      <c r="AB562" s="207">
        <v>94.328183980775705</v>
      </c>
      <c r="AC562" s="186" t="s">
        <v>59</v>
      </c>
      <c r="AD562" s="342"/>
      <c r="AE562" s="186"/>
      <c r="AF562" s="185"/>
      <c r="AG562" s="207"/>
      <c r="AH562" s="207"/>
      <c r="AJ562" s="10" t="s">
        <v>18</v>
      </c>
      <c r="AK562" s="56" t="str">
        <f t="shared" si="594"/>
        <v/>
      </c>
      <c r="AL562" s="56">
        <f t="shared" si="594"/>
        <v>0.32097004279600572</v>
      </c>
      <c r="AM562" s="56" t="str">
        <f t="shared" si="594"/>
        <v/>
      </c>
      <c r="AN562" s="56">
        <f t="shared" si="594"/>
        <v>0.23279875840662184</v>
      </c>
      <c r="AO562" s="56">
        <f t="shared" si="594"/>
        <v>0.26857654431512978</v>
      </c>
      <c r="AP562" s="56">
        <f t="shared" si="594"/>
        <v>0.31804929764113438</v>
      </c>
      <c r="AQ562" s="256">
        <f t="shared" si="594"/>
        <v>0.31489451199737262</v>
      </c>
    </row>
    <row r="563" spans="1:43" ht="15.5">
      <c r="A563" s="10" t="s">
        <v>19</v>
      </c>
      <c r="J563" s="147">
        <v>28333.02</v>
      </c>
      <c r="K563" s="147">
        <v>226.6</v>
      </c>
      <c r="L563" s="147">
        <v>0</v>
      </c>
      <c r="M563" s="147">
        <v>950.5</v>
      </c>
      <c r="N563" s="147">
        <v>4337.5</v>
      </c>
      <c r="O563" s="147">
        <v>8.51</v>
      </c>
      <c r="P563" s="179">
        <f t="shared" si="595"/>
        <v>33856.129999999997</v>
      </c>
      <c r="Q563" s="2"/>
      <c r="R563" s="171">
        <v>9.3989999999999991</v>
      </c>
      <c r="S563" s="171">
        <v>8.9610000000000003</v>
      </c>
      <c r="T563" s="171">
        <v>0</v>
      </c>
      <c r="U563" s="171">
        <v>10.89</v>
      </c>
      <c r="V563" s="171">
        <v>13.419</v>
      </c>
      <c r="W563" s="171">
        <v>9.0980000000000008</v>
      </c>
      <c r="X563" s="206">
        <v>9.9529999999999994</v>
      </c>
      <c r="Y563" s="147"/>
      <c r="Z563" s="169">
        <f>AA563*AB563</f>
        <v>0</v>
      </c>
      <c r="AA563" s="207"/>
      <c r="AB563" s="207">
        <v>101</v>
      </c>
      <c r="AC563" s="186" t="s">
        <v>60</v>
      </c>
      <c r="AD563" s="342"/>
      <c r="AE563" s="186"/>
      <c r="AF563" s="185"/>
      <c r="AG563" s="207"/>
      <c r="AH563" s="207"/>
      <c r="AJ563" s="10" t="s">
        <v>19</v>
      </c>
      <c r="AK563" s="56">
        <f t="shared" si="594"/>
        <v>0.3830194701563997</v>
      </c>
      <c r="AL563" s="56">
        <f t="shared" si="594"/>
        <v>0.40174087713424839</v>
      </c>
      <c r="AM563" s="56" t="str">
        <f t="shared" si="594"/>
        <v/>
      </c>
      <c r="AN563" s="56">
        <f t="shared" si="594"/>
        <v>0.33057851239669422</v>
      </c>
      <c r="AO563" s="56">
        <f t="shared" si="594"/>
        <v>0.2682763246143528</v>
      </c>
      <c r="AP563" s="56">
        <f t="shared" si="594"/>
        <v>0.39569136073862388</v>
      </c>
      <c r="AQ563" s="256">
        <f t="shared" si="594"/>
        <v>0.36170445834430787</v>
      </c>
    </row>
    <row r="564" spans="1:43" ht="15.5">
      <c r="A564" s="10" t="s">
        <v>20</v>
      </c>
      <c r="J564" s="147">
        <v>0</v>
      </c>
      <c r="K564" s="147">
        <v>46680.9</v>
      </c>
      <c r="L564" s="147">
        <v>0</v>
      </c>
      <c r="M564" s="147">
        <v>0.6</v>
      </c>
      <c r="N564" s="147">
        <v>1624.42</v>
      </c>
      <c r="O564" s="147">
        <v>10.91</v>
      </c>
      <c r="P564" s="179">
        <f t="shared" si="595"/>
        <v>48316.83</v>
      </c>
      <c r="Q564" s="2"/>
      <c r="R564" s="171">
        <v>0</v>
      </c>
      <c r="S564" s="171">
        <v>6.7539999999999996</v>
      </c>
      <c r="T564" s="171">
        <v>0</v>
      </c>
      <c r="U564" s="171">
        <v>8.1980000000000004</v>
      </c>
      <c r="V564" s="171">
        <v>7.7279999999999998</v>
      </c>
      <c r="W564" s="171">
        <v>8.9960000000000004</v>
      </c>
      <c r="X564" s="206">
        <v>6.7880000000000003</v>
      </c>
      <c r="Y564" s="147"/>
      <c r="Z564" s="169">
        <f>AA564*AB564</f>
        <v>0</v>
      </c>
      <c r="AA564" s="207">
        <v>0</v>
      </c>
      <c r="AB564" s="207">
        <v>96.1</v>
      </c>
      <c r="AC564" s="186" t="s">
        <v>61</v>
      </c>
      <c r="AD564" s="342"/>
      <c r="AE564" s="186"/>
      <c r="AF564" s="185"/>
      <c r="AG564" s="207"/>
      <c r="AH564" s="207"/>
      <c r="AJ564" s="10" t="s">
        <v>20</v>
      </c>
      <c r="AK564" s="56" t="str">
        <f t="shared" si="594"/>
        <v/>
      </c>
      <c r="AL564" s="56">
        <f t="shared" si="594"/>
        <v>0.5330174711282204</v>
      </c>
      <c r="AM564" s="56" t="str">
        <f t="shared" si="594"/>
        <v/>
      </c>
      <c r="AN564" s="56">
        <f t="shared" si="594"/>
        <v>0.4391314954867041</v>
      </c>
      <c r="AO564" s="56">
        <f t="shared" si="594"/>
        <v>0.46583850931677018</v>
      </c>
      <c r="AP564" s="56">
        <f t="shared" si="594"/>
        <v>0.4001778568252557</v>
      </c>
      <c r="AQ564" s="256">
        <f t="shared" si="594"/>
        <v>0.53040469611726682</v>
      </c>
    </row>
    <row r="565" spans="1:43" ht="15.5">
      <c r="A565" s="10" t="s">
        <v>22</v>
      </c>
      <c r="J565" s="147">
        <v>0</v>
      </c>
      <c r="K565" s="147">
        <v>0</v>
      </c>
      <c r="L565" s="147">
        <v>0</v>
      </c>
      <c r="M565" s="147">
        <v>0</v>
      </c>
      <c r="N565" s="147">
        <v>0</v>
      </c>
      <c r="O565" s="147">
        <v>0</v>
      </c>
      <c r="P565" s="179">
        <f t="shared" si="595"/>
        <v>0</v>
      </c>
      <c r="Q565" s="2"/>
      <c r="R565" s="171">
        <v>0</v>
      </c>
      <c r="S565" s="171">
        <v>0</v>
      </c>
      <c r="T565" s="171">
        <v>0</v>
      </c>
      <c r="U565" s="171">
        <v>0</v>
      </c>
      <c r="V565" s="171">
        <v>0</v>
      </c>
      <c r="W565" s="171">
        <v>0</v>
      </c>
      <c r="X565" s="206">
        <v>0</v>
      </c>
      <c r="Y565" s="147"/>
      <c r="AA565" t="s">
        <v>186</v>
      </c>
      <c r="AC565" s="403"/>
      <c r="AD565" s="342"/>
      <c r="AE565" s="193"/>
      <c r="AF565" s="210"/>
      <c r="AG565" s="210"/>
      <c r="AH565" s="210"/>
      <c r="AJ565" s="10" t="s">
        <v>22</v>
      </c>
      <c r="AK565" s="56" t="str">
        <f t="shared" ref="AK565:AQ566" si="596">IFERROR(J565*3.6/J584,"")</f>
        <v/>
      </c>
      <c r="AL565" s="56" t="str">
        <f t="shared" si="596"/>
        <v/>
      </c>
      <c r="AM565" s="56" t="str">
        <f t="shared" si="596"/>
        <v/>
      </c>
      <c r="AN565" s="56" t="str">
        <f t="shared" si="596"/>
        <v/>
      </c>
      <c r="AO565" s="56" t="str">
        <f t="shared" si="596"/>
        <v/>
      </c>
      <c r="AP565" s="56" t="str">
        <f t="shared" si="596"/>
        <v/>
      </c>
      <c r="AQ565" s="256" t="str">
        <f t="shared" si="596"/>
        <v/>
      </c>
    </row>
    <row r="566" spans="1:43" ht="15.5">
      <c r="A566" s="10" t="s">
        <v>349</v>
      </c>
      <c r="J566" s="147">
        <v>0</v>
      </c>
      <c r="K566" s="147">
        <v>0</v>
      </c>
      <c r="L566" s="147">
        <v>0</v>
      </c>
      <c r="M566" s="147">
        <v>0</v>
      </c>
      <c r="N566" s="147">
        <v>0</v>
      </c>
      <c r="O566" s="147">
        <v>0</v>
      </c>
      <c r="P566" s="179">
        <f t="shared" si="595"/>
        <v>0</v>
      </c>
      <c r="Q566" s="2"/>
      <c r="R566" s="171">
        <v>0</v>
      </c>
      <c r="S566" s="171">
        <v>9.5250000000000004</v>
      </c>
      <c r="T566" s="171">
        <v>0</v>
      </c>
      <c r="U566" s="171">
        <v>0</v>
      </c>
      <c r="V566" s="171">
        <v>0</v>
      </c>
      <c r="W566" s="171">
        <v>0</v>
      </c>
      <c r="X566" s="206">
        <v>0</v>
      </c>
      <c r="Y566" s="147"/>
      <c r="Z566" s="169"/>
      <c r="AA566" s="207">
        <v>19609.000150509321</v>
      </c>
      <c r="AB566" s="207">
        <v>57.514354246521499</v>
      </c>
      <c r="AC566" s="403"/>
      <c r="AD566" s="342"/>
      <c r="AE566" s="186"/>
      <c r="AF566" s="185"/>
      <c r="AG566" s="207"/>
      <c r="AH566" s="207"/>
      <c r="AJ566" s="10" t="s">
        <v>349</v>
      </c>
      <c r="AK566" s="56" t="str">
        <f t="shared" si="596"/>
        <v/>
      </c>
      <c r="AL566" s="56" t="str">
        <f t="shared" si="596"/>
        <v/>
      </c>
      <c r="AM566" s="56" t="str">
        <f t="shared" si="596"/>
        <v/>
      </c>
      <c r="AN566" s="56" t="str">
        <f t="shared" si="596"/>
        <v/>
      </c>
      <c r="AO566" s="56" t="str">
        <f t="shared" si="596"/>
        <v/>
      </c>
      <c r="AP566" s="56" t="str">
        <f t="shared" si="596"/>
        <v/>
      </c>
      <c r="AQ566" s="256" t="str">
        <f t="shared" si="596"/>
        <v/>
      </c>
    </row>
    <row r="567" spans="1:43" ht="15.5">
      <c r="A567" s="458" t="s">
        <v>23</v>
      </c>
      <c r="B567" s="459"/>
      <c r="C567" s="459"/>
      <c r="D567" s="459"/>
      <c r="E567" s="459"/>
      <c r="F567" s="459"/>
      <c r="G567" s="459"/>
      <c r="H567" s="459"/>
      <c r="I567" s="459"/>
      <c r="J567" s="460">
        <f t="shared" ref="J567:P567" si="597">SUM(J568:J573)</f>
        <v>136.84</v>
      </c>
      <c r="K567" s="460">
        <f t="shared" si="597"/>
        <v>81123.34</v>
      </c>
      <c r="L567" s="460">
        <f t="shared" si="597"/>
        <v>2492.41</v>
      </c>
      <c r="M567" s="460">
        <f t="shared" si="597"/>
        <v>2135.8399999999997</v>
      </c>
      <c r="N567" s="460">
        <f t="shared" si="597"/>
        <v>13613.54</v>
      </c>
      <c r="O567" s="460">
        <f t="shared" si="597"/>
        <v>5418.76</v>
      </c>
      <c r="P567" s="460">
        <f t="shared" si="597"/>
        <v>104920.73</v>
      </c>
      <c r="Q567" s="2"/>
      <c r="R567" s="206">
        <v>4.452</v>
      </c>
      <c r="S567" s="206">
        <v>6.4130000000000003</v>
      </c>
      <c r="T567" s="206">
        <v>9.24</v>
      </c>
      <c r="U567" s="206">
        <v>6.1989999999999998</v>
      </c>
      <c r="V567" s="206">
        <v>8.0329999999999995</v>
      </c>
      <c r="W567" s="206">
        <v>7.05</v>
      </c>
      <c r="X567" s="206">
        <v>6.508</v>
      </c>
      <c r="Y567" s="147"/>
      <c r="Z567" s="169"/>
      <c r="AA567" s="419" t="s">
        <v>213</v>
      </c>
      <c r="AB567" s="342"/>
      <c r="AC567" s="403"/>
      <c r="AD567" s="342"/>
      <c r="AE567" s="193"/>
      <c r="AF567" s="210"/>
      <c r="AG567" s="210"/>
      <c r="AH567" s="210"/>
      <c r="AJ567" s="11" t="s">
        <v>23</v>
      </c>
      <c r="AK567" s="256">
        <f t="shared" ref="AK567:AQ574" si="598">IFERROR(J567*3.6/J586,"")</f>
        <v>0.80861057727977359</v>
      </c>
      <c r="AL567" s="256">
        <f t="shared" si="598"/>
        <v>0.58604936860343371</v>
      </c>
      <c r="AM567" s="256">
        <f t="shared" si="598"/>
        <v>0.38961189866726992</v>
      </c>
      <c r="AN567" s="256">
        <f t="shared" si="598"/>
        <v>0.58075531623902177</v>
      </c>
      <c r="AO567" s="256">
        <f t="shared" si="598"/>
        <v>0.44811047589798375</v>
      </c>
      <c r="AP567" s="256">
        <f t="shared" si="598"/>
        <v>0.51065335617645435</v>
      </c>
      <c r="AQ567" s="256">
        <f t="shared" si="598"/>
        <v>0.55320590343918397</v>
      </c>
    </row>
    <row r="568" spans="1:43" ht="15.5">
      <c r="A568" s="462" t="s">
        <v>24</v>
      </c>
      <c r="B568" s="459"/>
      <c r="C568" s="459"/>
      <c r="D568" s="459"/>
      <c r="E568" s="459"/>
      <c r="F568" s="459"/>
      <c r="G568" s="459"/>
      <c r="H568" s="459"/>
      <c r="I568" s="459"/>
      <c r="J568" s="466">
        <v>0</v>
      </c>
      <c r="K568" s="466">
        <v>9714.7000000000007</v>
      </c>
      <c r="L568" s="466">
        <v>152.69999999999999</v>
      </c>
      <c r="M568" s="466">
        <v>34.1</v>
      </c>
      <c r="N568" s="466">
        <v>1859.2</v>
      </c>
      <c r="O568" s="466">
        <v>5381.4</v>
      </c>
      <c r="P568" s="460">
        <f t="shared" ref="P568:P573" si="599">SUM(J568:O568)</f>
        <v>17142.100000000002</v>
      </c>
      <c r="Q568" s="2"/>
      <c r="R568" s="171">
        <v>0</v>
      </c>
      <c r="S568" s="171">
        <v>5.67</v>
      </c>
      <c r="T568" s="171">
        <v>7.0490000000000004</v>
      </c>
      <c r="U568" s="171">
        <v>6.4770000000000003</v>
      </c>
      <c r="V568" s="171">
        <v>7.452</v>
      </c>
      <c r="W568" s="171">
        <v>7.0449999999999999</v>
      </c>
      <c r="X568" s="206">
        <v>6.3090000000000002</v>
      </c>
      <c r="Y568" s="147"/>
      <c r="Z568" s="169">
        <f>AA568*AB568</f>
        <v>417.6754858848069</v>
      </c>
      <c r="AA568" s="207">
        <v>2.1656654145074601</v>
      </c>
      <c r="AB568" s="207">
        <v>192.86242606399998</v>
      </c>
      <c r="AC568" s="186" t="s">
        <v>140</v>
      </c>
      <c r="AD568" s="342"/>
      <c r="AE568" s="186"/>
      <c r="AF568" s="185"/>
      <c r="AG568" s="207"/>
      <c r="AH568" s="207"/>
      <c r="AJ568" s="10" t="s">
        <v>24</v>
      </c>
      <c r="AK568" s="56" t="str">
        <f t="shared" si="598"/>
        <v/>
      </c>
      <c r="AL568" s="56">
        <f t="shared" si="598"/>
        <v>0.634920634920635</v>
      </c>
      <c r="AM568" s="56">
        <f t="shared" si="598"/>
        <v>0.51071073911193077</v>
      </c>
      <c r="AN568" s="56">
        <f t="shared" si="598"/>
        <v>0.55581287633163501</v>
      </c>
      <c r="AO568" s="56">
        <f t="shared" si="598"/>
        <v>0.48309178743961351</v>
      </c>
      <c r="AP568" s="56">
        <f t="shared" si="598"/>
        <v>0.51100070972320799</v>
      </c>
      <c r="AQ568" s="256">
        <f t="shared" si="598"/>
        <v>0.57063024347946756</v>
      </c>
    </row>
    <row r="569" spans="1:43" ht="15.5">
      <c r="A569" s="462" t="s">
        <v>25</v>
      </c>
      <c r="B569" s="459"/>
      <c r="C569" s="459"/>
      <c r="D569" s="459"/>
      <c r="E569" s="459"/>
      <c r="F569" s="459"/>
      <c r="G569" s="459"/>
      <c r="H569" s="459"/>
      <c r="I569" s="459"/>
      <c r="J569" s="466">
        <v>0</v>
      </c>
      <c r="K569" s="466">
        <v>4597.8</v>
      </c>
      <c r="L569" s="466">
        <v>0</v>
      </c>
      <c r="M569" s="466">
        <v>338.9</v>
      </c>
      <c r="N569" s="466">
        <v>18.5</v>
      </c>
      <c r="O569" s="466">
        <v>4.0999999999999996</v>
      </c>
      <c r="P569" s="460">
        <f t="shared" si="599"/>
        <v>4959.3</v>
      </c>
      <c r="Q569" s="2"/>
      <c r="R569" s="171">
        <v>0</v>
      </c>
      <c r="S569" s="171">
        <v>6.0650000000000004</v>
      </c>
      <c r="T569" s="171">
        <v>4.8730000000000002</v>
      </c>
      <c r="U569" s="171">
        <v>4.9710000000000001</v>
      </c>
      <c r="V569" s="171">
        <v>9.3160000000000007</v>
      </c>
      <c r="W569" s="171">
        <v>6.49</v>
      </c>
      <c r="X569" s="206">
        <v>6.0019999999999998</v>
      </c>
      <c r="Y569" s="147"/>
      <c r="Z569" s="169">
        <f>AA569*AB569</f>
        <v>89241.464153553708</v>
      </c>
      <c r="AA569" s="207">
        <v>356.56331656417501</v>
      </c>
      <c r="AB569" s="207">
        <v>250.28223602326699</v>
      </c>
      <c r="AC569" s="186" t="s">
        <v>141</v>
      </c>
      <c r="AD569" s="342"/>
      <c r="AE569" s="186"/>
      <c r="AF569" s="185"/>
      <c r="AG569" s="207"/>
      <c r="AH569" s="207"/>
      <c r="AJ569" s="10" t="s">
        <v>25</v>
      </c>
      <c r="AK569" s="56" t="str">
        <f t="shared" si="598"/>
        <v/>
      </c>
      <c r="AL569" s="56">
        <f t="shared" si="598"/>
        <v>0.59356966199505357</v>
      </c>
      <c r="AM569" s="56" t="str">
        <f t="shared" si="598"/>
        <v/>
      </c>
      <c r="AN569" s="56">
        <f t="shared" si="598"/>
        <v>0.72420036210018113</v>
      </c>
      <c r="AO569" s="56">
        <f t="shared" si="598"/>
        <v>0.38643194504079009</v>
      </c>
      <c r="AP569" s="56">
        <f t="shared" si="598"/>
        <v>0.55469953775038527</v>
      </c>
      <c r="AQ569" s="256">
        <f t="shared" si="598"/>
        <v>0.59972823195790737</v>
      </c>
    </row>
    <row r="570" spans="1:43" ht="15.5">
      <c r="A570" s="462" t="s">
        <v>26</v>
      </c>
      <c r="B570" s="459"/>
      <c r="C570" s="459"/>
      <c r="D570" s="459"/>
      <c r="E570" s="459"/>
      <c r="F570" s="459"/>
      <c r="G570" s="459"/>
      <c r="H570" s="459"/>
      <c r="I570" s="459"/>
      <c r="J570" s="466">
        <v>124.62</v>
      </c>
      <c r="K570" s="466">
        <v>65495.31</v>
      </c>
      <c r="L570" s="466">
        <v>1400.41</v>
      </c>
      <c r="M570" s="466">
        <v>1410.12</v>
      </c>
      <c r="N570" s="466">
        <v>7330.52</v>
      </c>
      <c r="O570" s="466">
        <v>26.52</v>
      </c>
      <c r="P570" s="460">
        <f t="shared" si="599"/>
        <v>75787.5</v>
      </c>
      <c r="Q570" s="2"/>
      <c r="R570" s="171">
        <v>4.3959999999999999</v>
      </c>
      <c r="S570" s="171">
        <v>6.1950000000000003</v>
      </c>
      <c r="T570" s="171">
        <v>8.9</v>
      </c>
      <c r="U570" s="171">
        <v>6.5129999999999999</v>
      </c>
      <c r="V570" s="171">
        <v>6.2480000000000002</v>
      </c>
      <c r="W570" s="171">
        <v>7.423</v>
      </c>
      <c r="X570" s="206">
        <v>6.2539999999999996</v>
      </c>
      <c r="Y570" s="147"/>
      <c r="Z570" s="169">
        <f>AA570*AB570</f>
        <v>8377.042320016224</v>
      </c>
      <c r="AA570" s="207">
        <v>190.35219265860999</v>
      </c>
      <c r="AB570" s="207">
        <v>44.008120962599875</v>
      </c>
      <c r="AC570" s="186" t="s">
        <v>142</v>
      </c>
      <c r="AD570" s="342"/>
      <c r="AE570" s="186"/>
      <c r="AF570" s="185"/>
      <c r="AG570" s="207"/>
      <c r="AH570" s="207"/>
      <c r="AJ570" s="10" t="s">
        <v>26</v>
      </c>
      <c r="AK570" s="56">
        <f t="shared" si="598"/>
        <v>0.81892629663330296</v>
      </c>
      <c r="AL570" s="56">
        <f t="shared" si="598"/>
        <v>0.58111380145278457</v>
      </c>
      <c r="AM570" s="56">
        <f t="shared" si="598"/>
        <v>0.4044943820224719</v>
      </c>
      <c r="AN570" s="56">
        <f t="shared" si="598"/>
        <v>0.55274067250115155</v>
      </c>
      <c r="AO570" s="56">
        <f t="shared" si="598"/>
        <v>0.5761843790012805</v>
      </c>
      <c r="AP570" s="56">
        <f t="shared" si="598"/>
        <v>0.48497911895460055</v>
      </c>
      <c r="AQ570" s="256">
        <f t="shared" si="598"/>
        <v>0.57567780127558177</v>
      </c>
    </row>
    <row r="571" spans="1:43" ht="15.5">
      <c r="A571" s="462" t="s">
        <v>27</v>
      </c>
      <c r="B571" s="459"/>
      <c r="C571" s="459"/>
      <c r="D571" s="459"/>
      <c r="E571" s="459"/>
      <c r="F571" s="459"/>
      <c r="G571" s="459"/>
      <c r="H571" s="459"/>
      <c r="I571" s="459"/>
      <c r="J571" s="466">
        <v>12.22</v>
      </c>
      <c r="K571" s="466">
        <v>639.13</v>
      </c>
      <c r="L571" s="466">
        <v>0</v>
      </c>
      <c r="M571" s="466">
        <v>156.82</v>
      </c>
      <c r="N571" s="466">
        <v>644.32000000000005</v>
      </c>
      <c r="O571" s="466">
        <v>0</v>
      </c>
      <c r="P571" s="460">
        <f t="shared" si="599"/>
        <v>1452.4900000000002</v>
      </c>
      <c r="Q571" s="2"/>
      <c r="R571" s="171">
        <v>5.024</v>
      </c>
      <c r="S571" s="171">
        <v>4.9859999999999998</v>
      </c>
      <c r="T571" s="171">
        <v>0</v>
      </c>
      <c r="U571" s="171">
        <v>4.7560000000000002</v>
      </c>
      <c r="V571" s="171">
        <v>6.0990000000000002</v>
      </c>
      <c r="W571" s="171">
        <v>0</v>
      </c>
      <c r="X571" s="206">
        <v>5.4550000000000001</v>
      </c>
      <c r="Y571" s="147"/>
      <c r="Z571" s="169">
        <f>AA571*AB571</f>
        <v>396.2407439638323</v>
      </c>
      <c r="AA571" s="207">
        <v>7.0631148656654599</v>
      </c>
      <c r="AB571" s="207">
        <v>56.1</v>
      </c>
      <c r="AC571" s="187" t="s">
        <v>196</v>
      </c>
      <c r="AD571" s="342"/>
      <c r="AE571" s="193"/>
      <c r="AF571" s="210"/>
      <c r="AG571" s="210"/>
      <c r="AH571" s="210"/>
      <c r="AJ571" s="10" t="s">
        <v>27</v>
      </c>
      <c r="AK571" s="56">
        <f t="shared" si="598"/>
        <v>0.71656050955414019</v>
      </c>
      <c r="AL571" s="56">
        <f t="shared" si="598"/>
        <v>0.72202166064981954</v>
      </c>
      <c r="AM571" s="56" t="str">
        <f t="shared" si="598"/>
        <v/>
      </c>
      <c r="AN571" s="56">
        <f t="shared" si="598"/>
        <v>0.7569386038687973</v>
      </c>
      <c r="AO571" s="56">
        <f t="shared" si="598"/>
        <v>0.59026069847515983</v>
      </c>
      <c r="AP571" s="56" t="str">
        <f t="shared" si="598"/>
        <v/>
      </c>
      <c r="AQ571" s="256">
        <f t="shared" si="598"/>
        <v>0.65991950925639475</v>
      </c>
    </row>
    <row r="572" spans="1:43" ht="15.5">
      <c r="A572" s="462" t="s">
        <v>28</v>
      </c>
      <c r="B572" s="459"/>
      <c r="C572" s="459"/>
      <c r="D572" s="459"/>
      <c r="E572" s="459"/>
      <c r="F572" s="459"/>
      <c r="G572" s="459"/>
      <c r="H572" s="459"/>
      <c r="I572" s="459"/>
      <c r="J572" s="466">
        <v>0</v>
      </c>
      <c r="K572" s="466">
        <v>676.4</v>
      </c>
      <c r="L572" s="466">
        <v>939.3</v>
      </c>
      <c r="M572" s="466">
        <v>195.9</v>
      </c>
      <c r="N572" s="466">
        <v>3761</v>
      </c>
      <c r="O572" s="466">
        <v>6.74</v>
      </c>
      <c r="P572" s="460">
        <f t="shared" si="599"/>
        <v>5579.34</v>
      </c>
      <c r="Q572" s="2"/>
      <c r="R572" s="171">
        <v>0</v>
      </c>
      <c r="S572" s="171">
        <v>9.5039999999999996</v>
      </c>
      <c r="T572" s="171">
        <v>10.103</v>
      </c>
      <c r="U572" s="171">
        <v>7.1680000000000001</v>
      </c>
      <c r="V572" s="171">
        <v>12.127000000000001</v>
      </c>
      <c r="W572" s="171">
        <v>9.7479999999999993</v>
      </c>
      <c r="X572" s="206">
        <v>11.291</v>
      </c>
      <c r="Y572" s="147"/>
      <c r="AA572" s="419" t="s">
        <v>214</v>
      </c>
      <c r="AB572" s="342"/>
      <c r="AC572" s="403"/>
      <c r="AD572" s="342"/>
      <c r="AJ572" s="10" t="s">
        <v>28</v>
      </c>
      <c r="AK572" s="56" t="str">
        <f t="shared" si="598"/>
        <v/>
      </c>
      <c r="AL572" s="56">
        <f t="shared" si="598"/>
        <v>0.37878787878787878</v>
      </c>
      <c r="AM572" s="56">
        <f t="shared" si="598"/>
        <v>0.3563298030288034</v>
      </c>
      <c r="AN572" s="56">
        <f t="shared" si="598"/>
        <v>0.5022321428571429</v>
      </c>
      <c r="AO572" s="56">
        <f t="shared" si="598"/>
        <v>0.29685825018553641</v>
      </c>
      <c r="AP572" s="56">
        <f t="shared" si="598"/>
        <v>0.36930652441526468</v>
      </c>
      <c r="AQ572" s="256">
        <f t="shared" si="598"/>
        <v>0.31883049543096498</v>
      </c>
    </row>
    <row r="573" spans="1:43" ht="15.5">
      <c r="A573" s="462" t="s">
        <v>351</v>
      </c>
      <c r="B573" s="459"/>
      <c r="C573" s="459"/>
      <c r="D573" s="459"/>
      <c r="E573" s="459"/>
      <c r="F573" s="459"/>
      <c r="G573" s="459"/>
      <c r="H573" s="459"/>
      <c r="I573" s="459"/>
      <c r="J573" s="466">
        <v>0</v>
      </c>
      <c r="K573" s="466">
        <v>0</v>
      </c>
      <c r="L573" s="466">
        <v>0</v>
      </c>
      <c r="M573" s="466">
        <v>0</v>
      </c>
      <c r="N573" s="466">
        <v>0</v>
      </c>
      <c r="O573" s="466">
        <v>0</v>
      </c>
      <c r="P573" s="460">
        <f t="shared" si="599"/>
        <v>0</v>
      </c>
      <c r="Q573" s="2"/>
      <c r="R573" s="171">
        <v>0</v>
      </c>
      <c r="S573" s="171">
        <v>8.7720000000000002</v>
      </c>
      <c r="T573" s="171">
        <v>0</v>
      </c>
      <c r="U573" s="171">
        <v>10.08</v>
      </c>
      <c r="V573" s="171">
        <v>0</v>
      </c>
      <c r="W573" s="171">
        <v>0</v>
      </c>
      <c r="X573" s="206">
        <v>8.7829999999999995</v>
      </c>
      <c r="Y573" s="147"/>
      <c r="Z573" s="169">
        <f t="shared" ref="Z573:Z579" si="600">AA573*AB573</f>
        <v>1.7716096276989897</v>
      </c>
      <c r="AA573" s="207">
        <v>2.4777757030755101E-2</v>
      </c>
      <c r="AB573" s="207">
        <v>71.5</v>
      </c>
      <c r="AC573" s="186" t="s">
        <v>65</v>
      </c>
      <c r="AD573" s="342"/>
      <c r="AE573" s="186"/>
      <c r="AF573" s="207"/>
      <c r="AG573" s="207"/>
      <c r="AH573" s="207"/>
      <c r="AJ573" s="10" t="s">
        <v>351</v>
      </c>
      <c r="AK573" s="56" t="str">
        <f t="shared" si="598"/>
        <v/>
      </c>
      <c r="AL573" s="56" t="str">
        <f t="shared" si="598"/>
        <v/>
      </c>
      <c r="AM573" s="56" t="str">
        <f t="shared" si="598"/>
        <v/>
      </c>
      <c r="AN573" s="56" t="str">
        <f t="shared" si="598"/>
        <v/>
      </c>
      <c r="AO573" s="56" t="str">
        <f t="shared" si="598"/>
        <v/>
      </c>
      <c r="AP573" s="56" t="str">
        <f t="shared" si="598"/>
        <v/>
      </c>
      <c r="AQ573" s="256" t="str">
        <f t="shared" si="598"/>
        <v/>
      </c>
    </row>
    <row r="574" spans="1:43" ht="15.5">
      <c r="A574" s="11" t="s">
        <v>9</v>
      </c>
      <c r="J574" s="179">
        <f t="shared" ref="J574:O574" si="601">J560+J567</f>
        <v>28469.86</v>
      </c>
      <c r="K574" s="179">
        <f t="shared" si="601"/>
        <v>128537.57999999999</v>
      </c>
      <c r="L574" s="179">
        <f t="shared" si="601"/>
        <v>2520.19</v>
      </c>
      <c r="M574" s="179">
        <f t="shared" si="601"/>
        <v>3288.7799999999997</v>
      </c>
      <c r="N574" s="179">
        <f t="shared" si="601"/>
        <v>20927.300000000003</v>
      </c>
      <c r="O574" s="179">
        <f t="shared" si="601"/>
        <v>8385.19</v>
      </c>
      <c r="P574" s="785">
        <f>P560+P567+'3'!$AD$27*1000</f>
        <v>192730.0955427</v>
      </c>
      <c r="Q574" s="2"/>
      <c r="R574" s="206">
        <v>9.375</v>
      </c>
      <c r="S574" s="206">
        <v>6.3869999999999996</v>
      </c>
      <c r="T574" s="206">
        <v>9.2390000000000008</v>
      </c>
      <c r="U574" s="206">
        <v>7.78</v>
      </c>
      <c r="V574" s="206">
        <v>9.1709999999999994</v>
      </c>
      <c r="W574" s="206">
        <v>8.0180000000000007</v>
      </c>
      <c r="X574" s="206">
        <v>7.266</v>
      </c>
      <c r="Y574" s="147"/>
      <c r="Z574" s="169">
        <f t="shared" si="600"/>
        <v>0</v>
      </c>
      <c r="AA574" s="207">
        <v>0</v>
      </c>
      <c r="AB574" s="207">
        <v>97.286951941375108</v>
      </c>
      <c r="AC574" s="186" t="s">
        <v>66</v>
      </c>
      <c r="AD574" s="342"/>
      <c r="AE574" s="186"/>
      <c r="AF574" s="207"/>
      <c r="AG574" s="207"/>
      <c r="AH574" s="207"/>
      <c r="AJ574" s="11" t="s">
        <v>9</v>
      </c>
      <c r="AK574" s="256">
        <f t="shared" si="598"/>
        <v>0.38399087836400086</v>
      </c>
      <c r="AL574" s="256">
        <f t="shared" si="598"/>
        <v>0.56364885423252753</v>
      </c>
      <c r="AM574" s="256">
        <f t="shared" si="598"/>
        <v>0.38964906913018099</v>
      </c>
      <c r="AN574" s="256">
        <f t="shared" si="598"/>
        <v>0.46272690442866105</v>
      </c>
      <c r="AO574" s="256">
        <f t="shared" si="598"/>
        <v>0.39252910966064464</v>
      </c>
      <c r="AP574" s="256">
        <f t="shared" si="598"/>
        <v>0.44901503801731968</v>
      </c>
      <c r="AQ574" s="256">
        <f t="shared" si="598"/>
        <v>0.49704553631623677</v>
      </c>
    </row>
    <row r="575" spans="1:43">
      <c r="J575" s="147">
        <f t="shared" ref="J575:P575" si="602">J567/11.63</f>
        <v>11.766122098022356</v>
      </c>
      <c r="K575" s="147">
        <f t="shared" si="602"/>
        <v>6975.3516766981938</v>
      </c>
      <c r="L575" s="147">
        <f t="shared" si="602"/>
        <v>214.30868443680134</v>
      </c>
      <c r="M575" s="147">
        <f t="shared" si="602"/>
        <v>183.64918314703348</v>
      </c>
      <c r="N575" s="147">
        <f t="shared" si="602"/>
        <v>1170.5537403267413</v>
      </c>
      <c r="O575" s="147">
        <f t="shared" si="602"/>
        <v>465.92949269131555</v>
      </c>
      <c r="P575" s="147">
        <f t="shared" si="602"/>
        <v>9021.5588993981073</v>
      </c>
      <c r="Y575" s="147"/>
      <c r="Z575" s="169">
        <f t="shared" si="600"/>
        <v>170.62171803501212</v>
      </c>
      <c r="AA575" s="207">
        <v>2.7039891923139798</v>
      </c>
      <c r="AB575" s="207">
        <v>63.1</v>
      </c>
      <c r="AC575" s="186" t="s">
        <v>68</v>
      </c>
      <c r="AD575" s="342"/>
      <c r="AE575" s="186"/>
      <c r="AF575" s="207"/>
      <c r="AG575" s="207"/>
      <c r="AH575" s="207"/>
    </row>
    <row r="576" spans="1:43">
      <c r="J576" s="56"/>
      <c r="K576" s="56">
        <f>SUM(K567:M567)/SUM(K574:M574)</f>
        <v>0.63828650605467729</v>
      </c>
      <c r="L576" s="56"/>
      <c r="M576" s="56"/>
      <c r="N576" s="56">
        <f>N567/N574</f>
        <v>0.65051583338509977</v>
      </c>
      <c r="O576" s="56">
        <f>O567/O574</f>
        <v>0.64622984094576275</v>
      </c>
      <c r="Y576" s="147"/>
      <c r="Z576" s="169">
        <f t="shared" si="600"/>
        <v>16441.770558888795</v>
      </c>
      <c r="AA576" s="207">
        <v>281.899110375107</v>
      </c>
      <c r="AB576" s="207">
        <v>58.325017546208898</v>
      </c>
      <c r="AC576" s="186" t="s">
        <v>69</v>
      </c>
      <c r="AD576" s="342"/>
      <c r="AE576" s="186"/>
      <c r="AF576" s="207"/>
      <c r="AG576" s="207"/>
      <c r="AH576" s="207"/>
      <c r="AJ576" s="68"/>
    </row>
    <row r="577" spans="1:43">
      <c r="J577" s="68" t="s">
        <v>165</v>
      </c>
      <c r="K577" s="56">
        <f>(SUM(K586:M586)/41.868)/SUM(K611:M611)</f>
        <v>0.7518106545492651</v>
      </c>
      <c r="L577" s="56"/>
      <c r="M577" s="56"/>
      <c r="N577" s="56">
        <f>(N586/41.868)/N611</f>
        <v>0.67487172920288896</v>
      </c>
      <c r="O577" s="56">
        <f>(O586/41.868)/O611</f>
        <v>0.7904516590596431</v>
      </c>
      <c r="Y577" s="147"/>
      <c r="Z577" s="169">
        <f t="shared" si="600"/>
        <v>6649.5689826941643</v>
      </c>
      <c r="AA577" s="207">
        <v>89.737773045805199</v>
      </c>
      <c r="AB577" s="207">
        <v>74.099999999999994</v>
      </c>
      <c r="AC577" s="186" t="s">
        <v>70</v>
      </c>
      <c r="AD577" s="342"/>
      <c r="AE577" s="186"/>
      <c r="AF577" s="207"/>
      <c r="AG577" s="207"/>
      <c r="AH577" s="207"/>
      <c r="AJ577" s="68"/>
    </row>
    <row r="578" spans="1:43">
      <c r="A578" s="68" t="str">
        <f>$A$558</f>
        <v>Dati 2018 lorda</v>
      </c>
      <c r="J578" s="180" t="s">
        <v>5</v>
      </c>
      <c r="K578" s="180" t="s">
        <v>186</v>
      </c>
      <c r="L578" s="180" t="s">
        <v>187</v>
      </c>
      <c r="M578" s="180" t="s">
        <v>190</v>
      </c>
      <c r="N578" s="180" t="s">
        <v>192</v>
      </c>
      <c r="O578" s="180" t="s">
        <v>191</v>
      </c>
      <c r="P578" s="180" t="s">
        <v>189</v>
      </c>
      <c r="R578" s="68" t="s">
        <v>210</v>
      </c>
      <c r="Y578" s="147"/>
      <c r="Z578" s="169">
        <f t="shared" si="600"/>
        <v>0</v>
      </c>
      <c r="AA578" s="207">
        <v>0</v>
      </c>
      <c r="AB578" s="207">
        <v>74.099999999999994</v>
      </c>
      <c r="AC578" s="186" t="s">
        <v>71</v>
      </c>
      <c r="AD578" s="342"/>
      <c r="AE578" s="186"/>
      <c r="AF578" s="207"/>
      <c r="AG578" s="207"/>
      <c r="AH578" s="207"/>
      <c r="AJ578" s="68"/>
    </row>
    <row r="579" spans="1:43">
      <c r="A579" s="11" t="s">
        <v>16</v>
      </c>
      <c r="J579" s="179">
        <f t="shared" ref="J579:O579" si="603">SUM(J580:J584)</f>
        <v>266302.05497999996</v>
      </c>
      <c r="K579" s="179">
        <f t="shared" si="603"/>
        <v>322637.11018999998</v>
      </c>
      <c r="L579" s="179">
        <f t="shared" si="603"/>
        <v>254.46480000000003</v>
      </c>
      <c r="M579" s="179">
        <f t="shared" si="603"/>
        <v>12346.903259999999</v>
      </c>
      <c r="N579" s="179">
        <f t="shared" si="603"/>
        <v>82562.879910000003</v>
      </c>
      <c r="O579" s="179">
        <f t="shared" si="603"/>
        <v>29027.538930000002</v>
      </c>
      <c r="P579" s="182">
        <f t="shared" ref="P579:P584" si="604">SUM(J579:O579)</f>
        <v>713130.95207</v>
      </c>
      <c r="Q579" s="172"/>
      <c r="R579" s="179">
        <f t="shared" ref="R579:W579" si="605">SUM(R580:R584)</f>
        <v>25.122846319568144</v>
      </c>
      <c r="S579" s="179">
        <f t="shared" si="605"/>
        <v>18.656606341728402</v>
      </c>
      <c r="T579" s="179">
        <f t="shared" si="605"/>
        <v>4.5038712114991872E-2</v>
      </c>
      <c r="U579" s="179">
        <f t="shared" si="605"/>
        <v>0.83678275491903797</v>
      </c>
      <c r="V579" s="179">
        <f t="shared" si="605"/>
        <v>3.4640920278628737</v>
      </c>
      <c r="W579" s="179">
        <f t="shared" si="605"/>
        <v>3.2198077489686651E-2</v>
      </c>
      <c r="X579" s="190">
        <f>SUM(R579:W579)</f>
        <v>48.157564233683139</v>
      </c>
      <c r="Y579" s="147"/>
      <c r="Z579" s="169">
        <f t="shared" si="600"/>
        <v>18158.4906260272</v>
      </c>
      <c r="AA579" s="205">
        <v>236.77682838602072</v>
      </c>
      <c r="AB579" s="184">
        <v>76.690319529169244</v>
      </c>
      <c r="AC579" s="203" t="s">
        <v>72</v>
      </c>
      <c r="AD579" s="342"/>
      <c r="AJ579" s="68"/>
    </row>
    <row r="580" spans="1:43">
      <c r="A580" s="10" t="s">
        <v>17</v>
      </c>
      <c r="J580" s="167">
        <f t="shared" ref="J580:O583" si="606">IFERROR(J561*R561,"")</f>
        <v>0</v>
      </c>
      <c r="K580" s="167">
        <f t="shared" si="606"/>
        <v>2520.9827500000001</v>
      </c>
      <c r="L580" s="167">
        <f t="shared" si="606"/>
        <v>254.46480000000003</v>
      </c>
      <c r="M580" s="167">
        <f t="shared" si="606"/>
        <v>1855.8841</v>
      </c>
      <c r="N580" s="167">
        <f t="shared" si="606"/>
        <v>11653.922729999998</v>
      </c>
      <c r="O580" s="167">
        <f t="shared" si="606"/>
        <v>28522.472500000003</v>
      </c>
      <c r="P580" s="182">
        <f t="shared" si="604"/>
        <v>44807.726880000002</v>
      </c>
      <c r="Q580" s="172"/>
      <c r="R580" s="181">
        <f t="shared" ref="R580:R585" si="607">J580*J$596/1000000</f>
        <v>0</v>
      </c>
      <c r="S580" s="181">
        <f t="shared" ref="S580:S585" si="608">K580*K$596/1000000</f>
        <v>0.14577672956883458</v>
      </c>
      <c r="T580" s="181">
        <f t="shared" ref="T580:T585" si="609">L580*L$596/1000000</f>
        <v>4.5038712114991872E-2</v>
      </c>
      <c r="U580" s="181">
        <f t="shared" ref="U580:U585" si="610">M580*M$596/1000000</f>
        <v>0.12577824392935588</v>
      </c>
      <c r="V580" s="181">
        <f t="shared" ref="V580:V585" si="611">N580*N$596/1000000</f>
        <v>0.48896381601913208</v>
      </c>
      <c r="W580" s="181">
        <f t="shared" ref="W580:W585" si="612">O580*O$596/1000000</f>
        <v>3.1637845081083374E-2</v>
      </c>
      <c r="X580" s="190">
        <f t="shared" ref="X580:X585" si="613">SUM(R580:W580)</f>
        <v>0.83719534671339779</v>
      </c>
      <c r="Y580" s="147"/>
      <c r="Z580" s="169"/>
      <c r="AA580" s="419" t="s">
        <v>215</v>
      </c>
      <c r="AB580" s="342"/>
      <c r="AC580" s="403"/>
      <c r="AD580" s="342"/>
      <c r="AJ580" s="68"/>
      <c r="AQ580" s="252"/>
    </row>
    <row r="581" spans="1:43">
      <c r="A581" s="10" t="s">
        <v>18</v>
      </c>
      <c r="J581" s="167">
        <f t="shared" si="606"/>
        <v>0</v>
      </c>
      <c r="K581" s="167">
        <f t="shared" si="606"/>
        <v>2802.7662399999995</v>
      </c>
      <c r="L581" s="167">
        <f t="shared" si="606"/>
        <v>0</v>
      </c>
      <c r="M581" s="167">
        <f t="shared" si="606"/>
        <v>135.15536</v>
      </c>
      <c r="N581" s="167">
        <f t="shared" si="606"/>
        <v>150.52692000000002</v>
      </c>
      <c r="O581" s="167">
        <f t="shared" si="606"/>
        <v>329.49609000000004</v>
      </c>
      <c r="P581" s="182">
        <f t="shared" si="604"/>
        <v>3417.94461</v>
      </c>
      <c r="Q581" s="172"/>
      <c r="R581" s="181">
        <f t="shared" si="607"/>
        <v>0</v>
      </c>
      <c r="S581" s="181">
        <f t="shared" si="608"/>
        <v>0.16207096070496288</v>
      </c>
      <c r="T581" s="181">
        <f t="shared" si="609"/>
        <v>0</v>
      </c>
      <c r="U581" s="181">
        <f t="shared" si="610"/>
        <v>9.1598413060599571E-3</v>
      </c>
      <c r="V581" s="181">
        <f t="shared" si="611"/>
        <v>6.3156603078667094E-3</v>
      </c>
      <c r="W581" s="181">
        <f t="shared" si="612"/>
        <v>3.6548536422439199E-4</v>
      </c>
      <c r="X581" s="190">
        <f t="shared" si="613"/>
        <v>0.17791194768311394</v>
      </c>
      <c r="Y581" s="147"/>
      <c r="Z581" s="169">
        <f t="shared" ref="Z581:Z596" si="614">AA581*AB581</f>
        <v>0</v>
      </c>
      <c r="AA581" s="207">
        <v>0</v>
      </c>
      <c r="AB581" s="207">
        <v>63.1</v>
      </c>
      <c r="AC581" s="187" t="s">
        <v>195</v>
      </c>
      <c r="AD581" s="342"/>
      <c r="AE581" s="186"/>
      <c r="AF581" s="207"/>
      <c r="AG581" s="207"/>
      <c r="AH581" s="207"/>
      <c r="AJ581" s="68" t="s">
        <v>265</v>
      </c>
    </row>
    <row r="582" spans="1:43">
      <c r="A582" s="10" t="s">
        <v>19</v>
      </c>
      <c r="J582" s="167">
        <f t="shared" si="606"/>
        <v>266302.05497999996</v>
      </c>
      <c r="K582" s="167">
        <f t="shared" si="606"/>
        <v>2030.5626</v>
      </c>
      <c r="L582" s="167">
        <f t="shared" si="606"/>
        <v>0</v>
      </c>
      <c r="M582" s="167">
        <f t="shared" si="606"/>
        <v>10350.945</v>
      </c>
      <c r="N582" s="167">
        <f t="shared" si="606"/>
        <v>58204.912499999999</v>
      </c>
      <c r="O582" s="167">
        <f t="shared" si="606"/>
        <v>77.42398</v>
      </c>
      <c r="P582" s="182">
        <f t="shared" si="604"/>
        <v>336965.89905999997</v>
      </c>
      <c r="Q582" s="172"/>
      <c r="R582" s="181">
        <f t="shared" si="607"/>
        <v>25.122846319568144</v>
      </c>
      <c r="S582" s="181">
        <f t="shared" si="608"/>
        <v>0.11741800891449558</v>
      </c>
      <c r="T582" s="181">
        <f t="shared" si="609"/>
        <v>0</v>
      </c>
      <c r="U582" s="181">
        <f t="shared" si="610"/>
        <v>0.70151130941277351</v>
      </c>
      <c r="V582" s="181">
        <f t="shared" si="611"/>
        <v>2.4421044129455698</v>
      </c>
      <c r="W582" s="181">
        <f t="shared" si="612"/>
        <v>8.5880629205651704E-5</v>
      </c>
      <c r="X582" s="190">
        <f t="shared" si="613"/>
        <v>28.383965931470186</v>
      </c>
      <c r="Y582" s="147"/>
      <c r="Z582" s="169">
        <f t="shared" si="614"/>
        <v>462.470332162349</v>
      </c>
      <c r="AA582" s="207">
        <v>6.040207941297</v>
      </c>
      <c r="AB582" s="207">
        <v>76.565299846787028</v>
      </c>
      <c r="AC582" s="187" t="s">
        <v>198</v>
      </c>
      <c r="AD582" s="342"/>
      <c r="AE582" s="186"/>
      <c r="AF582" s="207"/>
      <c r="AG582" s="207"/>
      <c r="AH582" s="207"/>
    </row>
    <row r="583" spans="1:43">
      <c r="A583" s="10" t="s">
        <v>20</v>
      </c>
      <c r="J583" s="167">
        <f t="shared" si="606"/>
        <v>0</v>
      </c>
      <c r="K583" s="167">
        <f t="shared" si="606"/>
        <v>315282.79859999998</v>
      </c>
      <c r="L583" s="167">
        <f t="shared" si="606"/>
        <v>0</v>
      </c>
      <c r="M583" s="167">
        <f t="shared" si="606"/>
        <v>4.9188000000000001</v>
      </c>
      <c r="N583" s="167">
        <f t="shared" si="606"/>
        <v>12553.517760000001</v>
      </c>
      <c r="O583" s="167">
        <f t="shared" si="606"/>
        <v>98.146360000000001</v>
      </c>
      <c r="P583" s="182">
        <f t="shared" si="604"/>
        <v>327939.38152</v>
      </c>
      <c r="Q583" s="172"/>
      <c r="R583" s="181">
        <f t="shared" si="607"/>
        <v>0</v>
      </c>
      <c r="S583" s="181">
        <f t="shared" si="608"/>
        <v>18.231340642540108</v>
      </c>
      <c r="T583" s="181">
        <f t="shared" si="609"/>
        <v>0</v>
      </c>
      <c r="U583" s="181">
        <f t="shared" si="610"/>
        <v>3.3336027084865686E-4</v>
      </c>
      <c r="V583" s="181">
        <f t="shared" si="611"/>
        <v>0.52670813859030519</v>
      </c>
      <c r="W583" s="181">
        <f t="shared" si="612"/>
        <v>1.088664151732371E-4</v>
      </c>
      <c r="X583" s="190">
        <f t="shared" si="613"/>
        <v>18.758491007816431</v>
      </c>
      <c r="Y583" s="147"/>
      <c r="Z583" s="169">
        <f t="shared" si="614"/>
        <v>4813.707257496706</v>
      </c>
      <c r="AA583" s="207">
        <v>94.771300162874496</v>
      </c>
      <c r="AB583" s="207">
        <v>50.792879798249487</v>
      </c>
      <c r="AC583" s="187" t="s">
        <v>199</v>
      </c>
      <c r="AD583" s="342"/>
      <c r="AE583" s="186"/>
      <c r="AF583" s="207"/>
      <c r="AG583" s="207"/>
      <c r="AH583" s="207"/>
      <c r="AJ583" s="11" t="s">
        <v>23</v>
      </c>
      <c r="AK583" s="256">
        <f t="shared" ref="AK583:AQ588" si="615">IFERROR(((J567/11.63)+J604)/J611,"")</f>
        <v>0.87205580356855106</v>
      </c>
      <c r="AL583" s="256">
        <f t="shared" si="615"/>
        <v>0.65860959392184415</v>
      </c>
      <c r="AM583" s="256">
        <f t="shared" si="615"/>
        <v>0.44360248441475486</v>
      </c>
      <c r="AN583" s="256">
        <f t="shared" si="615"/>
        <v>0.7732525904934342</v>
      </c>
      <c r="AO583" s="256">
        <f t="shared" si="615"/>
        <v>0.58534041748093124</v>
      </c>
      <c r="AP583" s="256">
        <f t="shared" si="615"/>
        <v>0.58904053772096987</v>
      </c>
      <c r="AQ583" s="256">
        <f t="shared" si="615"/>
        <v>0.64090408491407458</v>
      </c>
    </row>
    <row r="584" spans="1:43">
      <c r="A584" s="10" t="s">
        <v>22</v>
      </c>
      <c r="J584" s="167">
        <f t="shared" ref="J584:O584" si="616">IFERROR(J565*R565,"")</f>
        <v>0</v>
      </c>
      <c r="K584" s="167">
        <f t="shared" si="616"/>
        <v>0</v>
      </c>
      <c r="L584" s="167">
        <f t="shared" si="616"/>
        <v>0</v>
      </c>
      <c r="M584" s="167">
        <f t="shared" si="616"/>
        <v>0</v>
      </c>
      <c r="N584" s="167">
        <f t="shared" si="616"/>
        <v>0</v>
      </c>
      <c r="O584" s="167">
        <f t="shared" si="616"/>
        <v>0</v>
      </c>
      <c r="P584" s="182">
        <f t="shared" si="604"/>
        <v>0</v>
      </c>
      <c r="Q584" s="172"/>
      <c r="R584" s="181">
        <f t="shared" si="607"/>
        <v>0</v>
      </c>
      <c r="S584" s="181">
        <f t="shared" si="608"/>
        <v>0</v>
      </c>
      <c r="T584" s="181">
        <f t="shared" si="609"/>
        <v>0</v>
      </c>
      <c r="U584" s="181">
        <f t="shared" si="610"/>
        <v>0</v>
      </c>
      <c r="V584" s="181">
        <f t="shared" si="611"/>
        <v>0</v>
      </c>
      <c r="W584" s="181">
        <f t="shared" si="612"/>
        <v>0</v>
      </c>
      <c r="X584" s="190">
        <f t="shared" si="613"/>
        <v>0</v>
      </c>
      <c r="Y584" s="147"/>
      <c r="Z584" s="169">
        <f t="shared" si="614"/>
        <v>94858.540824196563</v>
      </c>
      <c r="AA584" s="207">
        <v>1063.09862819871</v>
      </c>
      <c r="AB584" s="420">
        <v>89.228354085004042</v>
      </c>
      <c r="AC584" s="187" t="s">
        <v>212</v>
      </c>
      <c r="AD584" s="342"/>
      <c r="AE584" s="186"/>
      <c r="AF584" s="207"/>
      <c r="AG584" s="207"/>
      <c r="AH584" s="207"/>
      <c r="AJ584" s="10" t="s">
        <v>24</v>
      </c>
      <c r="AK584" s="56" t="str">
        <f t="shared" si="615"/>
        <v/>
      </c>
      <c r="AL584" s="56">
        <f t="shared" si="615"/>
        <v>0.72981142039219671</v>
      </c>
      <c r="AM584" s="56">
        <f t="shared" si="615"/>
        <v>0.61275026226390994</v>
      </c>
      <c r="AN584" s="56">
        <f t="shared" si="615"/>
        <v>0.69061111168664335</v>
      </c>
      <c r="AO584" s="56">
        <f t="shared" si="615"/>
        <v>0.65584430859968879</v>
      </c>
      <c r="AP584" s="56">
        <f t="shared" si="615"/>
        <v>0.58867737811218113</v>
      </c>
      <c r="AQ584" s="256">
        <f t="shared" si="615"/>
        <v>0.67540867172773611</v>
      </c>
    </row>
    <row r="585" spans="1:43">
      <c r="A585" s="10" t="s">
        <v>349</v>
      </c>
      <c r="J585" s="167"/>
      <c r="K585" s="167"/>
      <c r="L585" s="167"/>
      <c r="M585" s="167"/>
      <c r="N585" s="167"/>
      <c r="O585" s="167"/>
      <c r="P585" s="182"/>
      <c r="Q585" s="172"/>
      <c r="R585" s="181">
        <f t="shared" si="607"/>
        <v>0</v>
      </c>
      <c r="S585" s="181">
        <f t="shared" si="608"/>
        <v>0</v>
      </c>
      <c r="T585" s="181">
        <f t="shared" si="609"/>
        <v>0</v>
      </c>
      <c r="U585" s="181">
        <f t="shared" si="610"/>
        <v>0</v>
      </c>
      <c r="V585" s="181">
        <f t="shared" si="611"/>
        <v>0</v>
      </c>
      <c r="W585" s="181">
        <f t="shared" si="612"/>
        <v>0</v>
      </c>
      <c r="X585" s="190">
        <f t="shared" si="613"/>
        <v>0</v>
      </c>
      <c r="Y585" s="147"/>
      <c r="Z585" s="169">
        <f t="shared" si="614"/>
        <v>0</v>
      </c>
      <c r="AA585" s="207">
        <v>140.572001787315</v>
      </c>
      <c r="AB585" s="403">
        <v>0</v>
      </c>
      <c r="AC585" s="186" t="s">
        <v>200</v>
      </c>
      <c r="AD585" s="342"/>
      <c r="AJ585" s="10" t="s">
        <v>25</v>
      </c>
      <c r="AK585" s="56" t="str">
        <f t="shared" si="615"/>
        <v/>
      </c>
      <c r="AL585" s="56">
        <f t="shared" si="615"/>
        <v>0.73539197727017835</v>
      </c>
      <c r="AM585" s="56" t="str">
        <f t="shared" si="615"/>
        <v/>
      </c>
      <c r="AN585" s="56">
        <f t="shared" si="615"/>
        <v>0.82358247567839526</v>
      </c>
      <c r="AO585" s="56">
        <f t="shared" si="615"/>
        <v>0.74219383368136593</v>
      </c>
      <c r="AP585" s="56">
        <f t="shared" si="615"/>
        <v>0.7104471195184866</v>
      </c>
      <c r="AQ585" s="256">
        <f t="shared" si="615"/>
        <v>0.74140907629090191</v>
      </c>
    </row>
    <row r="586" spans="1:43">
      <c r="A586" s="458" t="s">
        <v>23</v>
      </c>
      <c r="B586" s="459"/>
      <c r="C586" s="459"/>
      <c r="D586" s="459"/>
      <c r="E586" s="459"/>
      <c r="F586" s="459"/>
      <c r="G586" s="459"/>
      <c r="H586" s="459"/>
      <c r="I586" s="459"/>
      <c r="J586" s="460">
        <f t="shared" ref="J586:O586" si="617">SUM(J587:J591)</f>
        <v>609.22280000000001</v>
      </c>
      <c r="K586" s="460">
        <f t="shared" si="617"/>
        <v>498326.65922999999</v>
      </c>
      <c r="L586" s="460">
        <f t="shared" si="617"/>
        <v>23029.779199999997</v>
      </c>
      <c r="M586" s="460">
        <f t="shared" si="617"/>
        <v>13239.696279999998</v>
      </c>
      <c r="N586" s="460">
        <f t="shared" si="617"/>
        <v>109367.54804000001</v>
      </c>
      <c r="O586" s="460">
        <f t="shared" si="617"/>
        <v>38201.131479999996</v>
      </c>
      <c r="P586" s="461">
        <f t="shared" ref="P586:P591" si="618">SUM(J586:O586)</f>
        <v>682774.03703000001</v>
      </c>
      <c r="Q586" s="172"/>
      <c r="R586" s="179">
        <f t="shared" ref="R586:W586" si="619">SUM(R587:R591)</f>
        <v>5.7473874093560702E-2</v>
      </c>
      <c r="S586" s="179">
        <f t="shared" si="619"/>
        <v>28.815917379645892</v>
      </c>
      <c r="T586" s="179">
        <f t="shared" si="619"/>
        <v>4.0761299616317377</v>
      </c>
      <c r="U586" s="179">
        <f t="shared" si="619"/>
        <v>0.89728973283214475</v>
      </c>
      <c r="V586" s="179">
        <f t="shared" si="619"/>
        <v>4.5887359026872634</v>
      </c>
      <c r="W586" s="179">
        <f t="shared" si="619"/>
        <v>4.2373657462070898E-2</v>
      </c>
      <c r="X586" s="190">
        <f t="shared" ref="X586:X592" si="620">SUM(R586:W586)</f>
        <v>38.477920508352668</v>
      </c>
      <c r="Y586" s="147"/>
      <c r="Z586" s="169">
        <f t="shared" si="614"/>
        <v>0</v>
      </c>
      <c r="AA586" s="207">
        <v>635.27482792723197</v>
      </c>
      <c r="AB586" s="403">
        <v>0</v>
      </c>
      <c r="AC586" s="186" t="s">
        <v>201</v>
      </c>
      <c r="AD586" s="342"/>
      <c r="AJ586" s="10" t="s">
        <v>26</v>
      </c>
      <c r="AK586" s="56">
        <f t="shared" si="615"/>
        <v>0.87962324002886061</v>
      </c>
      <c r="AL586" s="56">
        <f t="shared" si="615"/>
        <v>0.63606393377766646</v>
      </c>
      <c r="AM586" s="56">
        <f t="shared" si="615"/>
        <v>0.47405769501905365</v>
      </c>
      <c r="AN586" s="56">
        <f t="shared" si="615"/>
        <v>0.74222324890309133</v>
      </c>
      <c r="AO586" s="56">
        <f t="shared" si="615"/>
        <v>0.6099306321782817</v>
      </c>
      <c r="AP586" s="56">
        <f t="shared" si="615"/>
        <v>0.58417611814000459</v>
      </c>
      <c r="AQ586" s="256">
        <f t="shared" si="615"/>
        <v>0.63418459133939808</v>
      </c>
    </row>
    <row r="587" spans="1:43">
      <c r="A587" s="462" t="s">
        <v>24</v>
      </c>
      <c r="B587" s="459"/>
      <c r="C587" s="459"/>
      <c r="D587" s="459"/>
      <c r="E587" s="459"/>
      <c r="F587" s="459"/>
      <c r="G587" s="459"/>
      <c r="H587" s="459"/>
      <c r="I587" s="459"/>
      <c r="J587" s="463">
        <f t="shared" ref="J587:O591" si="621">IFERROR(J568*R568,"")</f>
        <v>0</v>
      </c>
      <c r="K587" s="463">
        <f t="shared" si="621"/>
        <v>55082.349000000002</v>
      </c>
      <c r="L587" s="463">
        <f t="shared" si="621"/>
        <v>1076.3823</v>
      </c>
      <c r="M587" s="463">
        <f t="shared" si="621"/>
        <v>220.86570000000003</v>
      </c>
      <c r="N587" s="463">
        <f t="shared" si="621"/>
        <v>13854.758400000001</v>
      </c>
      <c r="O587" s="464">
        <f>IFERROR(O568*W568,"")</f>
        <v>37911.962999999996</v>
      </c>
      <c r="P587" s="465">
        <f t="shared" si="618"/>
        <v>108146.31839999999</v>
      </c>
      <c r="Q587" s="172"/>
      <c r="R587" s="181">
        <f t="shared" ref="R587:W592" si="622">J587*J$596/1000000</f>
        <v>0</v>
      </c>
      <c r="S587" s="181">
        <f t="shared" si="622"/>
        <v>3.1851565403171307</v>
      </c>
      <c r="T587" s="181">
        <f t="shared" si="622"/>
        <v>0.19051307896169847</v>
      </c>
      <c r="U587" s="181">
        <f t="shared" si="622"/>
        <v>1.4968660968768439E-2</v>
      </c>
      <c r="V587" s="181">
        <f t="shared" si="622"/>
        <v>0.58130431222510137</v>
      </c>
      <c r="W587" s="181">
        <f t="shared" si="622"/>
        <v>4.2052904498856632E-2</v>
      </c>
      <c r="X587" s="190">
        <f t="shared" si="620"/>
        <v>4.013995496971555</v>
      </c>
      <c r="Y587" s="147"/>
      <c r="Z587" s="169">
        <f t="shared" si="614"/>
        <v>0</v>
      </c>
      <c r="AA587" s="207">
        <v>0.13038940931165</v>
      </c>
      <c r="AB587" s="403">
        <v>0</v>
      </c>
      <c r="AC587" s="186" t="s">
        <v>134</v>
      </c>
      <c r="AD587" s="342"/>
      <c r="AJ587" s="10" t="s">
        <v>27</v>
      </c>
      <c r="AK587" s="56">
        <f t="shared" si="615"/>
        <v>0.83756090570363995</v>
      </c>
      <c r="AL587" s="56">
        <f t="shared" si="615"/>
        <v>0.85143302252170139</v>
      </c>
      <c r="AM587" s="56" t="str">
        <f t="shared" si="615"/>
        <v/>
      </c>
      <c r="AN587" s="56">
        <f t="shared" si="615"/>
        <v>0.87496649816405703</v>
      </c>
      <c r="AO587" s="56">
        <f t="shared" si="615"/>
        <v>0.75738441359880482</v>
      </c>
      <c r="AP587" s="56" t="str">
        <f t="shared" si="615"/>
        <v/>
      </c>
      <c r="AQ587" s="256">
        <f t="shared" si="615"/>
        <v>0.8227060315484348</v>
      </c>
    </row>
    <row r="588" spans="1:43">
      <c r="A588" s="462" t="s">
        <v>25</v>
      </c>
      <c r="B588" s="459"/>
      <c r="C588" s="459"/>
      <c r="D588" s="459"/>
      <c r="E588" s="459"/>
      <c r="F588" s="459"/>
      <c r="G588" s="459"/>
      <c r="H588" s="459"/>
      <c r="I588" s="459"/>
      <c r="J588" s="463">
        <f t="shared" si="621"/>
        <v>0</v>
      </c>
      <c r="K588" s="463">
        <f t="shared" si="621"/>
        <v>27885.657000000003</v>
      </c>
      <c r="L588" s="463">
        <f t="shared" si="621"/>
        <v>0</v>
      </c>
      <c r="M588" s="463">
        <f t="shared" si="621"/>
        <v>1684.6718999999998</v>
      </c>
      <c r="N588" s="463">
        <f t="shared" si="621"/>
        <v>172.346</v>
      </c>
      <c r="O588" s="463">
        <f t="shared" si="621"/>
        <v>26.608999999999998</v>
      </c>
      <c r="P588" s="465">
        <f t="shared" si="618"/>
        <v>29769.283900000006</v>
      </c>
      <c r="Q588" s="172"/>
      <c r="R588" s="181">
        <f t="shared" si="622"/>
        <v>0</v>
      </c>
      <c r="S588" s="181">
        <f t="shared" si="622"/>
        <v>1.6124980939827054</v>
      </c>
      <c r="T588" s="181">
        <f t="shared" si="622"/>
        <v>0</v>
      </c>
      <c r="U588" s="181">
        <f t="shared" si="622"/>
        <v>0.11417473385279363</v>
      </c>
      <c r="V588" s="181">
        <f t="shared" si="622"/>
        <v>7.2311237845004454E-3</v>
      </c>
      <c r="W588" s="181">
        <f t="shared" si="622"/>
        <v>2.9515373176801114E-5</v>
      </c>
      <c r="X588" s="190">
        <f t="shared" si="620"/>
        <v>1.7339334669931763</v>
      </c>
      <c r="Y588" s="147"/>
      <c r="Z588" s="169">
        <f t="shared" si="614"/>
        <v>0</v>
      </c>
      <c r="AA588" s="207">
        <v>2.1957245053413899</v>
      </c>
      <c r="AB588" s="207">
        <v>0</v>
      </c>
      <c r="AC588" s="186" t="s">
        <v>128</v>
      </c>
      <c r="AD588" s="342"/>
      <c r="AJ588" s="10" t="s">
        <v>28</v>
      </c>
      <c r="AK588" s="56" t="str">
        <f t="shared" si="615"/>
        <v/>
      </c>
      <c r="AL588" s="56">
        <f t="shared" si="615"/>
        <v>0.51003865113246472</v>
      </c>
      <c r="AM588" s="56">
        <f t="shared" si="615"/>
        <v>0.37335582159313879</v>
      </c>
      <c r="AN588" s="56">
        <f t="shared" si="615"/>
        <v>0.77958704084848429</v>
      </c>
      <c r="AO588" s="56">
        <f t="shared" si="615"/>
        <v>0.52296108195851843</v>
      </c>
      <c r="AP588" s="56">
        <f t="shared" si="615"/>
        <v>0.67014477934512329</v>
      </c>
      <c r="AQ588" s="256">
        <f t="shared" si="615"/>
        <v>0.51918447857185523</v>
      </c>
    </row>
    <row r="589" spans="1:43">
      <c r="A589" s="462" t="s">
        <v>26</v>
      </c>
      <c r="B589" s="459"/>
      <c r="C589" s="459"/>
      <c r="D589" s="459"/>
      <c r="E589" s="459"/>
      <c r="F589" s="459"/>
      <c r="G589" s="459"/>
      <c r="H589" s="459"/>
      <c r="I589" s="459"/>
      <c r="J589" s="463">
        <f t="shared" si="621"/>
        <v>547.82952</v>
      </c>
      <c r="K589" s="463">
        <f>IFERROR(K570*S570,"")</f>
        <v>405743.44545</v>
      </c>
      <c r="L589" s="463">
        <f t="shared" si="621"/>
        <v>12463.649000000001</v>
      </c>
      <c r="M589" s="463">
        <f t="shared" si="621"/>
        <v>9184.1115599999994</v>
      </c>
      <c r="N589" s="463">
        <f t="shared" si="621"/>
        <v>45801.088960000001</v>
      </c>
      <c r="O589" s="463">
        <f t="shared" si="621"/>
        <v>196.85795999999999</v>
      </c>
      <c r="P589" s="465">
        <f t="shared" si="618"/>
        <v>473936.98245000001</v>
      </c>
      <c r="Q589" s="172"/>
      <c r="R589" s="181">
        <f t="shared" si="622"/>
        <v>5.1682052702584004E-2</v>
      </c>
      <c r="S589" s="181">
        <f t="shared" si="622"/>
        <v>23.46225991498428</v>
      </c>
      <c r="T589" s="181">
        <f t="shared" si="622"/>
        <v>2.2059895876101776</v>
      </c>
      <c r="U589" s="181">
        <f t="shared" si="622"/>
        <v>0.62243187711349923</v>
      </c>
      <c r="V589" s="181">
        <f t="shared" si="622"/>
        <v>1.9216769970563679</v>
      </c>
      <c r="W589" s="181">
        <f t="shared" si="622"/>
        <v>2.1835980879491098E-4</v>
      </c>
      <c r="X589" s="190">
        <f t="shared" si="620"/>
        <v>28.264258789275704</v>
      </c>
      <c r="Y589" s="147"/>
      <c r="Z589" s="169">
        <f t="shared" si="614"/>
        <v>0</v>
      </c>
      <c r="AA589" s="408"/>
      <c r="AB589" s="342"/>
      <c r="AC589" s="186" t="s">
        <v>131</v>
      </c>
      <c r="AD589" s="342"/>
      <c r="AJ589" s="10" t="s">
        <v>351</v>
      </c>
      <c r="AK589" s="56" t="str">
        <f t="shared" ref="AK589:AQ589" si="623">IFERROR(((J573/11.63)+J610)/J617,"")</f>
        <v/>
      </c>
      <c r="AL589" s="56" t="str">
        <f t="shared" si="623"/>
        <v/>
      </c>
      <c r="AM589" s="56" t="str">
        <f t="shared" si="623"/>
        <v/>
      </c>
      <c r="AN589" s="56" t="str">
        <f t="shared" si="623"/>
        <v/>
      </c>
      <c r="AO589" s="56" t="str">
        <f t="shared" si="623"/>
        <v/>
      </c>
      <c r="AP589" s="56" t="str">
        <f t="shared" si="623"/>
        <v/>
      </c>
      <c r="AQ589" s="256" t="str">
        <f t="shared" si="623"/>
        <v/>
      </c>
    </row>
    <row r="590" spans="1:43">
      <c r="A590" s="462" t="s">
        <v>27</v>
      </c>
      <c r="B590" s="459"/>
      <c r="C590" s="459"/>
      <c r="D590" s="459"/>
      <c r="E590" s="459"/>
      <c r="F590" s="459"/>
      <c r="G590" s="459"/>
      <c r="H590" s="459"/>
      <c r="I590" s="459"/>
      <c r="J590" s="463">
        <f t="shared" si="621"/>
        <v>61.393280000000004</v>
      </c>
      <c r="K590" s="463">
        <f t="shared" si="621"/>
        <v>3186.7021799999998</v>
      </c>
      <c r="L590" s="463">
        <f t="shared" si="621"/>
        <v>0</v>
      </c>
      <c r="M590" s="463">
        <f t="shared" si="621"/>
        <v>745.83591999999999</v>
      </c>
      <c r="N590" s="463">
        <f t="shared" si="621"/>
        <v>3929.7076800000004</v>
      </c>
      <c r="O590" s="463">
        <f t="shared" si="621"/>
        <v>0</v>
      </c>
      <c r="P590" s="465">
        <f t="shared" si="618"/>
        <v>7923.6390599999995</v>
      </c>
      <c r="Q590" s="172"/>
      <c r="R590" s="181">
        <f t="shared" si="622"/>
        <v>5.791821390976698E-3</v>
      </c>
      <c r="S590" s="181">
        <f t="shared" si="622"/>
        <v>0.18427219381420817</v>
      </c>
      <c r="T590" s="181">
        <f t="shared" si="622"/>
        <v>0</v>
      </c>
      <c r="U590" s="181">
        <f t="shared" si="622"/>
        <v>5.0547301028677147E-2</v>
      </c>
      <c r="V590" s="181">
        <f t="shared" si="622"/>
        <v>0.16487880583815154</v>
      </c>
      <c r="W590" s="181">
        <f t="shared" si="622"/>
        <v>0</v>
      </c>
      <c r="X590" s="190">
        <f t="shared" si="620"/>
        <v>0.40549012207201351</v>
      </c>
      <c r="Y590" s="147"/>
      <c r="Z590" s="169">
        <f t="shared" si="614"/>
        <v>0</v>
      </c>
      <c r="AA590" s="207">
        <v>12.822034073781699</v>
      </c>
      <c r="AB590" s="207">
        <v>0</v>
      </c>
      <c r="AC590" s="186" t="s">
        <v>129</v>
      </c>
      <c r="AD590" s="342"/>
      <c r="AE590" s="186"/>
      <c r="AF590" s="185"/>
      <c r="AG590" s="207"/>
      <c r="AH590" s="207"/>
      <c r="AJ590" s="275" t="s">
        <v>266</v>
      </c>
      <c r="AK590" s="274">
        <f t="shared" ref="AK590:AP590" si="624">IFERROR(((J574/11.63)+J604)/(J611+J579/41.868),"")</f>
        <v>0.38809456440291612</v>
      </c>
      <c r="AL590" s="274">
        <f t="shared" si="624"/>
        <v>0.61572367041554166</v>
      </c>
      <c r="AM590" s="274">
        <f t="shared" si="624"/>
        <v>0.443107590545399</v>
      </c>
      <c r="AN590" s="274">
        <f t="shared" si="624"/>
        <v>0.65493272317354401</v>
      </c>
      <c r="AO590" s="274">
        <f t="shared" si="624"/>
        <v>0.49541365752719674</v>
      </c>
      <c r="AP590" s="274">
        <f t="shared" si="624"/>
        <v>0.50605708309727992</v>
      </c>
      <c r="AQ590" s="274">
        <f>IFERROR(((P574/11.63)+P604)/(P611+P579/41.868),"")</f>
        <v>0.55483106274903971</v>
      </c>
    </row>
    <row r="591" spans="1:43">
      <c r="A591" s="462" t="s">
        <v>28</v>
      </c>
      <c r="B591" s="459"/>
      <c r="C591" s="459"/>
      <c r="D591" s="459"/>
      <c r="E591" s="459"/>
      <c r="F591" s="459"/>
      <c r="G591" s="459"/>
      <c r="H591" s="459"/>
      <c r="I591" s="459"/>
      <c r="J591" s="463">
        <f t="shared" si="621"/>
        <v>0</v>
      </c>
      <c r="K591" s="463">
        <f t="shared" si="621"/>
        <v>6428.5055999999995</v>
      </c>
      <c r="L591" s="463">
        <f t="shared" si="621"/>
        <v>9489.7478999999985</v>
      </c>
      <c r="M591" s="463">
        <f t="shared" si="621"/>
        <v>1404.2112</v>
      </c>
      <c r="N591" s="463">
        <f t="shared" si="621"/>
        <v>45609.647000000004</v>
      </c>
      <c r="O591" s="463">
        <f t="shared" si="621"/>
        <v>65.701520000000002</v>
      </c>
      <c r="P591" s="465">
        <f t="shared" si="618"/>
        <v>62997.813220000011</v>
      </c>
      <c r="Q591" s="172"/>
      <c r="R591" s="181">
        <f t="shared" si="622"/>
        <v>0</v>
      </c>
      <c r="S591" s="181">
        <f t="shared" si="622"/>
        <v>0.37173063654756799</v>
      </c>
      <c r="T591" s="181">
        <f t="shared" si="622"/>
        <v>1.6796272950598614</v>
      </c>
      <c r="U591" s="181">
        <f t="shared" si="622"/>
        <v>9.5167159868406404E-2</v>
      </c>
      <c r="V591" s="181">
        <f t="shared" si="622"/>
        <v>1.9136446637831421</v>
      </c>
      <c r="W591" s="181">
        <f t="shared" si="622"/>
        <v>7.2877781242551852E-5</v>
      </c>
      <c r="X591" s="190">
        <f t="shared" si="620"/>
        <v>4.0602426330402208</v>
      </c>
      <c r="Y591" s="147"/>
      <c r="Z591" s="169">
        <f t="shared" si="614"/>
        <v>0</v>
      </c>
      <c r="AA591" s="207">
        <v>1186.79385640904</v>
      </c>
      <c r="AB591" s="207">
        <v>0</v>
      </c>
      <c r="AC591" s="186" t="s">
        <v>207</v>
      </c>
      <c r="AD591" s="342"/>
      <c r="AE591" s="186"/>
      <c r="AF591" s="185"/>
      <c r="AG591" s="207"/>
      <c r="AH591" s="207"/>
    </row>
    <row r="592" spans="1:43">
      <c r="A592" s="462" t="s">
        <v>351</v>
      </c>
      <c r="B592" s="459"/>
      <c r="C592" s="459"/>
      <c r="D592" s="459"/>
      <c r="E592" s="459"/>
      <c r="F592" s="459"/>
      <c r="G592" s="459"/>
      <c r="H592" s="459"/>
      <c r="I592" s="459"/>
      <c r="J592" s="463"/>
      <c r="K592" s="463"/>
      <c r="L592" s="463"/>
      <c r="M592" s="463"/>
      <c r="N592" s="463"/>
      <c r="O592" s="463"/>
      <c r="P592" s="465"/>
      <c r="Q592" s="172"/>
      <c r="R592" s="181">
        <f t="shared" si="622"/>
        <v>0</v>
      </c>
      <c r="S592" s="181">
        <f t="shared" si="622"/>
        <v>0</v>
      </c>
      <c r="T592" s="181">
        <f t="shared" si="622"/>
        <v>0</v>
      </c>
      <c r="U592" s="181">
        <f t="shared" si="622"/>
        <v>0</v>
      </c>
      <c r="V592" s="181">
        <f t="shared" si="622"/>
        <v>0</v>
      </c>
      <c r="W592" s="181">
        <f t="shared" si="622"/>
        <v>0</v>
      </c>
      <c r="X592" s="190">
        <f t="shared" si="620"/>
        <v>0</v>
      </c>
      <c r="Y592" s="147"/>
      <c r="Z592" s="169">
        <f t="shared" si="614"/>
        <v>9673.5158950721743</v>
      </c>
      <c r="AA592" s="207">
        <v>198.006515159402</v>
      </c>
      <c r="AB592" s="207">
        <v>48.854533333333322</v>
      </c>
      <c r="AC592" s="189" t="s">
        <v>130</v>
      </c>
      <c r="AD592" s="342"/>
      <c r="AE592" s="189"/>
      <c r="AF592" s="185"/>
      <c r="AG592" s="207"/>
      <c r="AH592" s="207"/>
    </row>
    <row r="593" spans="1:34">
      <c r="A593" s="11" t="s">
        <v>9</v>
      </c>
      <c r="J593" s="182">
        <f t="shared" ref="J593:P593" si="625">J579+J586</f>
        <v>266911.27777999995</v>
      </c>
      <c r="K593" s="182">
        <f t="shared" si="625"/>
        <v>820963.76942000003</v>
      </c>
      <c r="L593" s="182">
        <f t="shared" si="625"/>
        <v>23284.243999999999</v>
      </c>
      <c r="M593" s="182">
        <f t="shared" si="625"/>
        <v>25586.599539999996</v>
      </c>
      <c r="N593" s="182">
        <f t="shared" si="625"/>
        <v>191930.42795000001</v>
      </c>
      <c r="O593" s="182">
        <f t="shared" si="625"/>
        <v>67228.670409999992</v>
      </c>
      <c r="P593" s="182">
        <f t="shared" si="625"/>
        <v>1395904.9890999999</v>
      </c>
      <c r="Q593" s="172"/>
      <c r="R593" s="281">
        <f t="shared" ref="R593:X593" si="626">R579+R586</f>
        <v>25.180320193661704</v>
      </c>
      <c r="S593" s="199">
        <f t="shared" si="626"/>
        <v>47.472523721374294</v>
      </c>
      <c r="T593" s="199">
        <f t="shared" si="626"/>
        <v>4.1211686737467295</v>
      </c>
      <c r="U593" s="199">
        <f t="shared" si="626"/>
        <v>1.7340724877511828</v>
      </c>
      <c r="V593" s="199">
        <f t="shared" si="626"/>
        <v>8.0528279305501371</v>
      </c>
      <c r="W593" s="199">
        <f t="shared" si="626"/>
        <v>7.4571734951757548E-2</v>
      </c>
      <c r="X593" s="199">
        <f t="shared" si="626"/>
        <v>86.6354847420358</v>
      </c>
      <c r="Y593" s="147"/>
      <c r="Z593" s="169">
        <f t="shared" si="614"/>
        <v>0</v>
      </c>
      <c r="AA593" s="207">
        <v>10.9545124173478</v>
      </c>
      <c r="AB593" s="207">
        <v>0</v>
      </c>
      <c r="AC593" s="186" t="s">
        <v>132</v>
      </c>
      <c r="AD593" s="342"/>
      <c r="AE593" s="186"/>
      <c r="AF593" s="185"/>
      <c r="AG593" s="207"/>
      <c r="AH593" s="207"/>
    </row>
    <row r="594" spans="1:34">
      <c r="E594" s="68" t="s">
        <v>176</v>
      </c>
      <c r="F594" s="68"/>
      <c r="G594" s="68"/>
      <c r="H594" s="68"/>
      <c r="I594" s="68"/>
      <c r="J594" s="321">
        <f>J593/41.868</f>
        <v>6375.0663461354716</v>
      </c>
      <c r="K594" s="321">
        <f t="shared" ref="K594:P594" si="627">K593/41.868</f>
        <v>19608.382760580873</v>
      </c>
      <c r="L594" s="321">
        <f t="shared" si="627"/>
        <v>556.1346135473392</v>
      </c>
      <c r="M594" s="321">
        <f t="shared" si="627"/>
        <v>611.12543087799736</v>
      </c>
      <c r="N594" s="321">
        <f t="shared" si="627"/>
        <v>4584.1795153816756</v>
      </c>
      <c r="O594" s="321">
        <f t="shared" si="627"/>
        <v>1605.7292063150853</v>
      </c>
      <c r="P594" s="321">
        <f t="shared" si="627"/>
        <v>33340.61787283844</v>
      </c>
      <c r="R594" s="197">
        <v>25.1803201936617</v>
      </c>
      <c r="S594" s="197">
        <v>47.472523721374301</v>
      </c>
      <c r="T594" s="197">
        <v>4.1045788662784517</v>
      </c>
      <c r="U594" s="197">
        <v>1.7340724877511835</v>
      </c>
      <c r="V594" s="197">
        <v>8.0528279305501371</v>
      </c>
      <c r="W594" s="197">
        <v>7.4571734951757604E-2</v>
      </c>
      <c r="X594" s="197">
        <v>86.635484742035814</v>
      </c>
      <c r="Y594" s="147"/>
      <c r="Z594" s="169">
        <f t="shared" si="614"/>
        <v>3448.5618747878443</v>
      </c>
      <c r="AA594" s="207">
        <v>24.115817306208701</v>
      </c>
      <c r="AB594" s="207">
        <v>143</v>
      </c>
      <c r="AC594" s="186" t="s">
        <v>133</v>
      </c>
      <c r="AD594" s="342"/>
      <c r="AE594" s="186"/>
      <c r="AF594" s="185"/>
      <c r="AG594" s="207"/>
      <c r="AH594" s="207"/>
    </row>
    <row r="595" spans="1:34">
      <c r="P595" s="321"/>
      <c r="T595" s="198">
        <v>1.6589807468277734E-2</v>
      </c>
      <c r="U595" s="198"/>
      <c r="Y595" s="147"/>
      <c r="Z595" s="169">
        <f t="shared" si="614"/>
        <v>0</v>
      </c>
      <c r="AA595" s="207"/>
      <c r="AB595" s="207">
        <v>45.85</v>
      </c>
      <c r="AC595" s="186" t="s">
        <v>208</v>
      </c>
      <c r="AD595" s="342"/>
      <c r="AE595" s="186"/>
      <c r="AF595" s="185"/>
      <c r="AG595" s="207"/>
      <c r="AH595" s="207"/>
    </row>
    <row r="596" spans="1:34">
      <c r="A596" s="183" t="s">
        <v>193</v>
      </c>
      <c r="J596" s="168">
        <f>SUM(Z561:Z564)/SUM(AA561:AA564)+J597</f>
        <v>94.339663738062171</v>
      </c>
      <c r="K596" s="185">
        <f>AB566+K597</f>
        <v>57.825357816841297</v>
      </c>
      <c r="L596" s="147">
        <f>SUM(Z568:Z571)/SUM(AA568:AA571)+L597</f>
        <v>176.99387936953116</v>
      </c>
      <c r="M596" s="168">
        <f>SUM(Z573:Z579)/SUM(AA573:AA579)+M597</f>
        <v>67.772682534084908</v>
      </c>
      <c r="N596" s="168">
        <f>SUM(Z581:Z596)/SUM(AA581:AA596)+N597</f>
        <v>41.957015448576961</v>
      </c>
      <c r="O596" s="168">
        <f>SUM(Z598:Z607)/SUM(AA598:AA607)+O597</f>
        <v>1.1092251936112261</v>
      </c>
      <c r="P596" s="317">
        <f>P586/41.868</f>
        <v>16307.777706840547</v>
      </c>
      <c r="Q596" s="147">
        <f>P596-'5-x'!X82</f>
        <v>-9.8494076701172162E-4</v>
      </c>
      <c r="Y596" s="147"/>
      <c r="Z596" s="169">
        <f t="shared" si="614"/>
        <v>55432.377160488453</v>
      </c>
      <c r="AA596" s="207">
        <v>1208.99404930182</v>
      </c>
      <c r="AB596" s="207">
        <v>45.85</v>
      </c>
      <c r="AC596" s="186" t="s">
        <v>209</v>
      </c>
      <c r="AD596" s="342"/>
      <c r="AE596" s="186"/>
      <c r="AF596" s="185"/>
      <c r="AG596" s="207"/>
      <c r="AH596" s="207"/>
    </row>
    <row r="597" spans="1:34">
      <c r="A597" s="453" t="s">
        <v>376</v>
      </c>
      <c r="B597" s="452"/>
      <c r="C597" s="452"/>
      <c r="D597" s="452"/>
      <c r="E597" s="452"/>
      <c r="F597" s="452"/>
      <c r="G597" s="452"/>
      <c r="H597" s="452"/>
      <c r="I597" s="452"/>
      <c r="J597" s="452">
        <v>1.1479757286474934E-2</v>
      </c>
      <c r="K597" s="452">
        <v>0.31100357031979819</v>
      </c>
      <c r="L597" s="452">
        <v>3.0793895647995839E-3</v>
      </c>
      <c r="M597" s="452">
        <v>-5.6587449737820483E-3</v>
      </c>
      <c r="N597" s="452">
        <v>5.1556099838337293</v>
      </c>
      <c r="O597" s="452">
        <v>-3.6782290720815958E-3</v>
      </c>
      <c r="P597" s="318">
        <f>P579/41.868</f>
        <v>17032.840165997899</v>
      </c>
      <c r="Q597" s="147">
        <f>P597-'5-x'!X83</f>
        <v>-4.8170440422836691E-3</v>
      </c>
      <c r="R597" s="455">
        <f>R593-R594</f>
        <v>0</v>
      </c>
      <c r="S597" s="455">
        <f>S593-S594</f>
        <v>0</v>
      </c>
      <c r="T597" s="455">
        <f>T593-SUM(T594:T595)</f>
        <v>0</v>
      </c>
      <c r="U597" s="455">
        <f>U593-U594</f>
        <v>0</v>
      </c>
      <c r="V597" s="455">
        <f>V593-V594</f>
        <v>0</v>
      </c>
      <c r="W597" s="455">
        <f>W593-W594</f>
        <v>0</v>
      </c>
      <c r="X597" s="172">
        <f>X593-X594</f>
        <v>0</v>
      </c>
      <c r="Y597" s="147"/>
      <c r="AA597" s="419" t="s">
        <v>216</v>
      </c>
      <c r="AB597" s="342"/>
      <c r="AC597" s="403"/>
      <c r="AD597" s="342"/>
    </row>
    <row r="598" spans="1:34">
      <c r="K598" s="56"/>
      <c r="L598" s="168"/>
      <c r="N598" s="168"/>
      <c r="O598" s="168"/>
      <c r="P598" s="319">
        <f>P611-P596</f>
        <v>5767.6922931594545</v>
      </c>
      <c r="Q598" s="147">
        <f>P598-'5-x'!X84</f>
        <v>9.8494076701172162E-4</v>
      </c>
      <c r="Y598" s="147"/>
      <c r="Z598" s="169">
        <f>AA598*AB598</f>
        <v>1787.01468046592</v>
      </c>
      <c r="AA598" s="207">
        <v>20.047243317394699</v>
      </c>
      <c r="AB598" s="184">
        <v>89.140170155731766</v>
      </c>
      <c r="AC598" s="187" t="s">
        <v>197</v>
      </c>
      <c r="AD598" s="342"/>
    </row>
    <row r="599" spans="1:34">
      <c r="J599" s="168">
        <f t="shared" ref="J599:O599" si="628">J586/41.868</f>
        <v>14.551036591191362</v>
      </c>
      <c r="K599" s="168">
        <f t="shared" si="628"/>
        <v>11902.327773717398</v>
      </c>
      <c r="L599" s="168">
        <f t="shared" si="628"/>
        <v>550.05682621572555</v>
      </c>
      <c r="M599" s="168">
        <f t="shared" si="628"/>
        <v>316.22471290723217</v>
      </c>
      <c r="N599" s="168">
        <f t="shared" si="628"/>
        <v>2612.1990073564539</v>
      </c>
      <c r="O599" s="168">
        <f t="shared" si="628"/>
        <v>912.41835005254597</v>
      </c>
      <c r="P599" s="320">
        <f>SUM(P596:P598)</f>
        <v>39108.3101659979</v>
      </c>
      <c r="Q599" s="320"/>
      <c r="Y599" s="147"/>
      <c r="Z599" s="169">
        <f>AA599*AB599</f>
        <v>0</v>
      </c>
      <c r="AA599" s="207">
        <v>1023.1642011512999</v>
      </c>
      <c r="AB599" s="207">
        <v>0</v>
      </c>
      <c r="AC599" s="186" t="s">
        <v>202</v>
      </c>
      <c r="AD599" s="342"/>
    </row>
    <row r="600" spans="1:34">
      <c r="J600" s="168">
        <f t="shared" ref="J600:O600" si="629">J611-(J604/J601)</f>
        <v>14.551036591191362</v>
      </c>
      <c r="K600" s="168">
        <f t="shared" si="629"/>
        <v>11902.327773717398</v>
      </c>
      <c r="L600" s="168">
        <f t="shared" si="629"/>
        <v>550.05682621572555</v>
      </c>
      <c r="M600" s="168">
        <f t="shared" si="629"/>
        <v>316.22471290723217</v>
      </c>
      <c r="N600" s="168">
        <f t="shared" si="629"/>
        <v>2612.1990073564539</v>
      </c>
      <c r="O600" s="168">
        <f t="shared" si="629"/>
        <v>912.41835005254597</v>
      </c>
      <c r="P600" s="168"/>
      <c r="Y600" s="147"/>
      <c r="Z600" s="169"/>
      <c r="AA600" s="207"/>
      <c r="AB600" s="207">
        <v>0</v>
      </c>
      <c r="AC600" s="186" t="s">
        <v>203</v>
      </c>
      <c r="AD600" s="342"/>
    </row>
    <row r="601" spans="1:34">
      <c r="A601" s="241" t="s">
        <v>374</v>
      </c>
      <c r="J601" s="281">
        <f>J604/(J611-J586/41.868)</f>
        <v>0.88975881718412897</v>
      </c>
      <c r="K601" s="281">
        <f t="shared" ref="K601:P601" si="630">K604/(K611-K586/41.868)</f>
        <v>0.89381906004629275</v>
      </c>
      <c r="L601" s="281">
        <f t="shared" si="630"/>
        <v>0.89941896298141388</v>
      </c>
      <c r="M601" s="281">
        <f t="shared" si="630"/>
        <v>0.90052739839024976</v>
      </c>
      <c r="N601" s="281">
        <f t="shared" si="630"/>
        <v>0.87018986396996933</v>
      </c>
      <c r="O601" s="281">
        <f t="shared" si="630"/>
        <v>0.88473019779089923</v>
      </c>
      <c r="P601" s="281">
        <f t="shared" si="630"/>
        <v>0.88886503291451946</v>
      </c>
      <c r="Y601" s="147"/>
      <c r="Z601" s="169">
        <f>AA601*AB601</f>
        <v>0</v>
      </c>
      <c r="AA601" s="207">
        <v>230.80747822259599</v>
      </c>
      <c r="AB601" s="207">
        <v>0</v>
      </c>
      <c r="AC601" s="186" t="s">
        <v>136</v>
      </c>
      <c r="AD601" s="342"/>
    </row>
    <row r="602" spans="1:34">
      <c r="A602" s="68" t="s">
        <v>252</v>
      </c>
      <c r="J602" s="168"/>
      <c r="K602" s="168"/>
      <c r="P602" s="168"/>
      <c r="R602" s="191" t="s">
        <v>361</v>
      </c>
      <c r="S602" s="165"/>
      <c r="T602" s="165"/>
      <c r="U602" s="165"/>
      <c r="V602" s="165"/>
      <c r="W602" s="165"/>
      <c r="X602" s="165"/>
      <c r="Y602" s="147"/>
      <c r="Z602" s="169">
        <f>AA602*AB602</f>
        <v>0</v>
      </c>
      <c r="AA602" s="207">
        <v>22.646333322059601</v>
      </c>
      <c r="AB602" s="207">
        <v>0</v>
      </c>
      <c r="AC602" s="186" t="s">
        <v>137</v>
      </c>
      <c r="AD602" s="342"/>
    </row>
    <row r="603" spans="1:34">
      <c r="A603" s="68" t="str">
        <f>$A$558</f>
        <v>Dati 2018 lorda</v>
      </c>
      <c r="J603" s="180" t="s">
        <v>5</v>
      </c>
      <c r="K603" s="180" t="s">
        <v>186</v>
      </c>
      <c r="L603" s="180" t="s">
        <v>187</v>
      </c>
      <c r="M603" s="180" t="s">
        <v>190</v>
      </c>
      <c r="N603" s="180" t="s">
        <v>192</v>
      </c>
      <c r="O603" s="180" t="s">
        <v>191</v>
      </c>
      <c r="P603" s="180" t="s">
        <v>189</v>
      </c>
      <c r="R603" s="191" t="s">
        <v>5</v>
      </c>
      <c r="S603" s="191" t="s">
        <v>186</v>
      </c>
      <c r="T603" s="191" t="s">
        <v>187</v>
      </c>
      <c r="U603" s="191" t="s">
        <v>190</v>
      </c>
      <c r="V603" s="191" t="s">
        <v>192</v>
      </c>
      <c r="W603" s="191" t="s">
        <v>191</v>
      </c>
      <c r="X603" s="191" t="s">
        <v>189</v>
      </c>
      <c r="Y603" s="147"/>
      <c r="Z603" s="169">
        <f>AA603*AB603</f>
        <v>0</v>
      </c>
      <c r="AA603" s="207">
        <v>5.2445582966387096</v>
      </c>
      <c r="AB603" s="207">
        <v>0</v>
      </c>
      <c r="AC603" s="188" t="s">
        <v>139</v>
      </c>
      <c r="AD603" s="342"/>
    </row>
    <row r="604" spans="1:34">
      <c r="A604" s="467" t="s">
        <v>251</v>
      </c>
      <c r="B604" s="459"/>
      <c r="C604" s="459"/>
      <c r="D604" s="459"/>
      <c r="E604" s="459"/>
      <c r="F604" s="459"/>
      <c r="G604" s="459"/>
      <c r="H604" s="459"/>
      <c r="I604" s="459"/>
      <c r="J604" s="460">
        <f t="shared" ref="J604:O604" si="631">SUM(J605:J609)</f>
        <v>46.4</v>
      </c>
      <c r="K604" s="460">
        <f t="shared" si="631"/>
        <v>3281.8999999999996</v>
      </c>
      <c r="L604" s="460">
        <f t="shared" si="631"/>
        <v>58.6</v>
      </c>
      <c r="M604" s="460">
        <f t="shared" si="631"/>
        <v>430.7</v>
      </c>
      <c r="N604" s="460">
        <f t="shared" si="631"/>
        <v>1095.0999999999999</v>
      </c>
      <c r="O604" s="460">
        <f t="shared" si="631"/>
        <v>214</v>
      </c>
      <c r="P604" s="461">
        <f t="shared" ref="P604:P609" si="632">SUM(J604:O604)</f>
        <v>5126.6999999999989</v>
      </c>
      <c r="Q604" s="193" t="s">
        <v>16</v>
      </c>
      <c r="R604" s="282">
        <f t="shared" ref="R604:X609" si="633">IFERROR(R579/J560*1000000,0)</f>
        <v>886.69849947404634</v>
      </c>
      <c r="S604" s="282">
        <f t="shared" si="633"/>
        <v>393.48107956024188</v>
      </c>
      <c r="T604" s="282">
        <f t="shared" si="633"/>
        <v>1621.2639350249053</v>
      </c>
      <c r="U604" s="282">
        <f t="shared" si="633"/>
        <v>725.78170149273865</v>
      </c>
      <c r="V604" s="282">
        <f t="shared" si="633"/>
        <v>473.64037483631859</v>
      </c>
      <c r="W604" s="282">
        <f t="shared" si="633"/>
        <v>10.854150439985656</v>
      </c>
      <c r="X604" s="282">
        <f t="shared" si="633"/>
        <v>552.21390649159514</v>
      </c>
      <c r="Y604" s="147"/>
      <c r="Z604" s="169">
        <f>AA604*AB604</f>
        <v>0</v>
      </c>
      <c r="AA604" s="207">
        <v>87.266962067966304</v>
      </c>
      <c r="AB604" s="207">
        <v>0</v>
      </c>
      <c r="AC604" s="186" t="s">
        <v>204</v>
      </c>
      <c r="AD604" s="342"/>
    </row>
    <row r="605" spans="1:34">
      <c r="A605" s="468" t="s">
        <v>24</v>
      </c>
      <c r="B605" s="459"/>
      <c r="C605" s="459"/>
      <c r="D605" s="459"/>
      <c r="E605" s="459"/>
      <c r="F605" s="459"/>
      <c r="G605" s="459"/>
      <c r="H605" s="459"/>
      <c r="I605" s="459"/>
      <c r="J605" s="459"/>
      <c r="K605" s="459">
        <v>671.9</v>
      </c>
      <c r="L605" s="459">
        <v>8.1999999999999993</v>
      </c>
      <c r="M605" s="459">
        <v>2.8</v>
      </c>
      <c r="N605" s="459">
        <v>214.1</v>
      </c>
      <c r="O605" s="459">
        <v>210.2</v>
      </c>
      <c r="P605" s="461">
        <f t="shared" si="632"/>
        <v>1107.2</v>
      </c>
      <c r="Q605" s="186" t="s">
        <v>17</v>
      </c>
      <c r="R605" s="283">
        <f t="shared" si="633"/>
        <v>0</v>
      </c>
      <c r="S605" s="283">
        <f t="shared" si="633"/>
        <v>567.55588697229734</v>
      </c>
      <c r="T605" s="283">
        <f t="shared" si="633"/>
        <v>1621.2639350249053</v>
      </c>
      <c r="U605" s="283">
        <f t="shared" si="633"/>
        <v>651.36325183509007</v>
      </c>
      <c r="V605" s="283">
        <f t="shared" si="633"/>
        <v>364.73233529447947</v>
      </c>
      <c r="W605" s="283">
        <f t="shared" si="633"/>
        <v>10.842676267549736</v>
      </c>
      <c r="X605" s="282">
        <f t="shared" si="633"/>
        <v>176.763708493108</v>
      </c>
      <c r="Y605" s="147"/>
      <c r="Z605" s="169">
        <f>AA605*AB605</f>
        <v>0</v>
      </c>
      <c r="AA605" s="207">
        <v>11.270355073468</v>
      </c>
      <c r="AB605" s="207">
        <v>0</v>
      </c>
      <c r="AC605" s="186" t="s">
        <v>138</v>
      </c>
      <c r="AD605" s="342"/>
    </row>
    <row r="606" spans="1:34">
      <c r="A606" s="468" t="s">
        <v>25</v>
      </c>
      <c r="B606" s="459"/>
      <c r="C606" s="459"/>
      <c r="D606" s="459"/>
      <c r="E606" s="459"/>
      <c r="F606" s="459"/>
      <c r="G606" s="459"/>
      <c r="H606" s="459"/>
      <c r="I606" s="459"/>
      <c r="J606" s="459"/>
      <c r="K606" s="459">
        <v>521.4</v>
      </c>
      <c r="L606" s="459"/>
      <c r="M606" s="459">
        <v>46.3</v>
      </c>
      <c r="N606" s="459">
        <v>8.8000000000000007</v>
      </c>
      <c r="O606" s="459">
        <v>0.5</v>
      </c>
      <c r="P606" s="461">
        <f t="shared" si="632"/>
        <v>576.99999999999989</v>
      </c>
      <c r="Q606" s="186" t="s">
        <v>18</v>
      </c>
      <c r="R606" s="283">
        <f t="shared" si="633"/>
        <v>0</v>
      </c>
      <c r="S606" s="283">
        <f t="shared" si="633"/>
        <v>648.56921327369196</v>
      </c>
      <c r="T606" s="283">
        <f t="shared" si="633"/>
        <v>0</v>
      </c>
      <c r="U606" s="283">
        <f t="shared" si="633"/>
        <v>1048.0367627070889</v>
      </c>
      <c r="V606" s="283">
        <f t="shared" si="633"/>
        <v>562.39183507272571</v>
      </c>
      <c r="W606" s="283">
        <f t="shared" si="633"/>
        <v>12.555319966485468</v>
      </c>
      <c r="X606" s="282">
        <f t="shared" si="633"/>
        <v>595.08294371714192</v>
      </c>
      <c r="Y606" s="147"/>
      <c r="Z606" s="169"/>
      <c r="AA606" s="207"/>
      <c r="AB606" s="207">
        <v>0</v>
      </c>
      <c r="AC606" s="186" t="s">
        <v>205</v>
      </c>
    </row>
    <row r="607" spans="1:34">
      <c r="A607" s="468" t="s">
        <v>26</v>
      </c>
      <c r="B607" s="459"/>
      <c r="C607" s="459"/>
      <c r="D607" s="459"/>
      <c r="E607" s="459"/>
      <c r="F607" s="459"/>
      <c r="G607" s="459"/>
      <c r="H607" s="459"/>
      <c r="I607" s="459"/>
      <c r="J607" s="459">
        <v>37.4</v>
      </c>
      <c r="K607" s="459">
        <v>1861.6</v>
      </c>
      <c r="L607" s="459">
        <v>43.8</v>
      </c>
      <c r="M607" s="459">
        <v>236.8</v>
      </c>
      <c r="N607" s="459">
        <v>171.9</v>
      </c>
      <c r="O607" s="459">
        <v>1.4</v>
      </c>
      <c r="P607" s="461">
        <f t="shared" si="632"/>
        <v>2352.9</v>
      </c>
      <c r="Q607" s="186" t="s">
        <v>19</v>
      </c>
      <c r="R607" s="283">
        <f t="shared" si="633"/>
        <v>886.69849947404634</v>
      </c>
      <c r="S607" s="283">
        <f t="shared" si="633"/>
        <v>518.1730313967148</v>
      </c>
      <c r="T607" s="283">
        <f t="shared" si="633"/>
        <v>0</v>
      </c>
      <c r="U607" s="283">
        <f t="shared" si="633"/>
        <v>738.04451279618468</v>
      </c>
      <c r="V607" s="283">
        <f t="shared" si="633"/>
        <v>563.02119030445408</v>
      </c>
      <c r="W607" s="283">
        <f t="shared" si="633"/>
        <v>10.091730811474937</v>
      </c>
      <c r="X607" s="282">
        <f t="shared" si="633"/>
        <v>838.37006567112621</v>
      </c>
      <c r="Y607" s="147"/>
      <c r="Z607" s="169">
        <f>AA607*AB607</f>
        <v>0</v>
      </c>
      <c r="AA607" s="207">
        <v>205.27592056082699</v>
      </c>
      <c r="AB607" s="207">
        <v>0</v>
      </c>
      <c r="AC607" s="186" t="s">
        <v>206</v>
      </c>
    </row>
    <row r="608" spans="1:34">
      <c r="A608" s="468" t="s">
        <v>27</v>
      </c>
      <c r="B608" s="459"/>
      <c r="C608" s="459"/>
      <c r="D608" s="459"/>
      <c r="E608" s="459"/>
      <c r="F608" s="459"/>
      <c r="G608" s="459"/>
      <c r="H608" s="459"/>
      <c r="I608" s="459"/>
      <c r="J608" s="459">
        <v>9</v>
      </c>
      <c r="K608" s="459">
        <v>180.5</v>
      </c>
      <c r="L608" s="459"/>
      <c r="M608" s="459">
        <v>75.5</v>
      </c>
      <c r="N608" s="459">
        <v>100.4</v>
      </c>
      <c r="O608" s="466">
        <v>0</v>
      </c>
      <c r="P608" s="461">
        <f t="shared" si="632"/>
        <v>365.4</v>
      </c>
      <c r="Q608" s="186" t="s">
        <v>20</v>
      </c>
      <c r="R608" s="283">
        <f t="shared" si="633"/>
        <v>0</v>
      </c>
      <c r="S608" s="283">
        <f t="shared" si="633"/>
        <v>390.55246669494602</v>
      </c>
      <c r="T608" s="283">
        <f t="shared" si="633"/>
        <v>0</v>
      </c>
      <c r="U608" s="283">
        <f t="shared" si="633"/>
        <v>555.60045141442811</v>
      </c>
      <c r="V608" s="283">
        <f t="shared" si="633"/>
        <v>324.24381538660271</v>
      </c>
      <c r="W608" s="283">
        <f t="shared" si="633"/>
        <v>9.9785898417265901</v>
      </c>
      <c r="X608" s="282">
        <f t="shared" si="633"/>
        <v>388.23927413732298</v>
      </c>
      <c r="Y608" s="147"/>
      <c r="AC608" s="403"/>
    </row>
    <row r="609" spans="1:34">
      <c r="A609" s="468" t="s">
        <v>28</v>
      </c>
      <c r="B609" s="459"/>
      <c r="C609" s="459"/>
      <c r="D609" s="459"/>
      <c r="E609" s="459"/>
      <c r="F609" s="459"/>
      <c r="G609" s="459"/>
      <c r="H609" s="459"/>
      <c r="I609" s="459"/>
      <c r="J609" s="459"/>
      <c r="K609" s="459">
        <v>46.5</v>
      </c>
      <c r="L609" s="459">
        <v>6.6</v>
      </c>
      <c r="M609" s="459">
        <v>69.3</v>
      </c>
      <c r="N609" s="459">
        <v>599.9</v>
      </c>
      <c r="O609" s="459">
        <v>1.9</v>
      </c>
      <c r="P609" s="461">
        <f t="shared" si="632"/>
        <v>724.19999999999993</v>
      </c>
      <c r="Q609" s="186" t="s">
        <v>22</v>
      </c>
      <c r="R609" s="283">
        <f t="shared" si="633"/>
        <v>0</v>
      </c>
      <c r="S609" s="283">
        <f t="shared" si="633"/>
        <v>0</v>
      </c>
      <c r="T609" s="283">
        <f t="shared" si="633"/>
        <v>0</v>
      </c>
      <c r="U609" s="283">
        <f t="shared" si="633"/>
        <v>0</v>
      </c>
      <c r="V609" s="283">
        <f t="shared" si="633"/>
        <v>0</v>
      </c>
      <c r="W609" s="283">
        <f t="shared" si="633"/>
        <v>0</v>
      </c>
      <c r="X609" s="282">
        <f t="shared" si="633"/>
        <v>0</v>
      </c>
      <c r="Y609" s="147"/>
    </row>
    <row r="610" spans="1:34">
      <c r="A610" s="468" t="s">
        <v>350</v>
      </c>
      <c r="B610" s="459"/>
      <c r="C610" s="459"/>
      <c r="D610" s="459"/>
      <c r="E610" s="459"/>
      <c r="F610" s="459"/>
      <c r="G610" s="459"/>
      <c r="H610" s="459"/>
      <c r="I610" s="459"/>
      <c r="J610" s="459"/>
      <c r="K610" s="459"/>
      <c r="L610" s="459"/>
      <c r="M610" s="459"/>
      <c r="N610" s="459"/>
      <c r="O610" s="459"/>
      <c r="P610" s="461"/>
      <c r="Q610" s="186"/>
      <c r="R610" s="283">
        <f t="shared" ref="R610:X610" si="634">IFERROR(R585/J566*1000000,0)</f>
        <v>0</v>
      </c>
      <c r="S610" s="283">
        <f t="shared" si="634"/>
        <v>0</v>
      </c>
      <c r="T610" s="283">
        <f t="shared" si="634"/>
        <v>0</v>
      </c>
      <c r="U610" s="283">
        <f t="shared" si="634"/>
        <v>0</v>
      </c>
      <c r="V610" s="283">
        <f t="shared" si="634"/>
        <v>0</v>
      </c>
      <c r="W610" s="283">
        <f t="shared" si="634"/>
        <v>0</v>
      </c>
      <c r="X610" s="282">
        <f t="shared" si="634"/>
        <v>0</v>
      </c>
      <c r="Y610" s="147"/>
      <c r="AA610" s="186"/>
      <c r="AB610" s="207"/>
      <c r="AC610" s="207"/>
      <c r="AE610" s="186"/>
      <c r="AF610" s="207"/>
      <c r="AG610" s="207"/>
      <c r="AH610" s="207"/>
    </row>
    <row r="611" spans="1:34">
      <c r="A611" s="193" t="s">
        <v>253</v>
      </c>
      <c r="J611" s="179">
        <f t="shared" ref="J611:O611" si="635">SUM(J612:J616)</f>
        <v>66.7</v>
      </c>
      <c r="K611" s="179">
        <f>SUM(K612:K616)</f>
        <v>15574.1</v>
      </c>
      <c r="L611" s="179">
        <f t="shared" si="635"/>
        <v>615.21</v>
      </c>
      <c r="M611" s="179">
        <f t="shared" si="635"/>
        <v>794.5</v>
      </c>
      <c r="N611" s="179">
        <f t="shared" si="635"/>
        <v>3870.66</v>
      </c>
      <c r="O611" s="179">
        <f t="shared" si="635"/>
        <v>1154.3</v>
      </c>
      <c r="P611" s="266">
        <f t="shared" ref="P611:P616" si="636">SUM(J611:O611)</f>
        <v>22075.47</v>
      </c>
      <c r="Q611" s="193" t="s">
        <v>23</v>
      </c>
      <c r="R611" s="282">
        <f t="shared" ref="R611:X616" si="637">IFERROR(R586/J567*1000000,0)</f>
        <v>420.0078492660092</v>
      </c>
      <c r="S611" s="282">
        <f t="shared" si="637"/>
        <v>355.21118064968596</v>
      </c>
      <c r="T611" s="282">
        <f t="shared" si="637"/>
        <v>1635.4171110016962</v>
      </c>
      <c r="U611" s="282">
        <f t="shared" si="637"/>
        <v>420.11093192006189</v>
      </c>
      <c r="V611" s="282">
        <f t="shared" si="637"/>
        <v>337.07146728090294</v>
      </c>
      <c r="W611" s="282">
        <f t="shared" si="637"/>
        <v>7.8198070152711878</v>
      </c>
      <c r="X611" s="282">
        <f t="shared" si="637"/>
        <v>366.73325193555809</v>
      </c>
      <c r="Y611" s="147"/>
      <c r="AA611" s="186"/>
      <c r="AB611" s="207"/>
      <c r="AC611" s="207"/>
      <c r="AE611" s="186"/>
      <c r="AF611" s="207"/>
      <c r="AG611" s="207"/>
      <c r="AH611" s="207"/>
    </row>
    <row r="612" spans="1:34">
      <c r="A612" s="186" t="s">
        <v>24</v>
      </c>
      <c r="K612">
        <v>2065.21</v>
      </c>
      <c r="L612">
        <v>34.81</v>
      </c>
      <c r="M612">
        <v>8.3000000000000007</v>
      </c>
      <c r="N612" s="147">
        <v>570.20000000000005</v>
      </c>
      <c r="O612" s="147">
        <v>1143.0999999999999</v>
      </c>
      <c r="P612" s="266">
        <f t="shared" si="636"/>
        <v>3821.6200000000003</v>
      </c>
      <c r="Q612" s="186" t="s">
        <v>24</v>
      </c>
      <c r="R612" s="283">
        <f t="shared" si="637"/>
        <v>0</v>
      </c>
      <c r="S612" s="283">
        <f t="shared" si="637"/>
        <v>327.86977882149017</v>
      </c>
      <c r="T612" s="283">
        <f t="shared" si="637"/>
        <v>1247.629855675825</v>
      </c>
      <c r="U612" s="283">
        <f t="shared" si="637"/>
        <v>438.96366477326796</v>
      </c>
      <c r="V612" s="283">
        <f t="shared" si="637"/>
        <v>312.66367912279549</v>
      </c>
      <c r="W612" s="283">
        <f t="shared" si="637"/>
        <v>7.814491488991087</v>
      </c>
      <c r="X612" s="282">
        <f t="shared" si="637"/>
        <v>234.16007939351388</v>
      </c>
      <c r="Y612" s="147"/>
      <c r="AA612" s="186"/>
      <c r="AB612" s="207"/>
      <c r="AC612" s="207"/>
    </row>
    <row r="613" spans="1:34">
      <c r="A613" s="186" t="s">
        <v>25</v>
      </c>
      <c r="K613">
        <v>1246.5999999999999</v>
      </c>
      <c r="M613">
        <v>91.6</v>
      </c>
      <c r="N613" s="147">
        <v>14</v>
      </c>
      <c r="O613" s="147">
        <v>1.2</v>
      </c>
      <c r="P613" s="266">
        <f t="shared" si="636"/>
        <v>1353.3999999999999</v>
      </c>
      <c r="Q613" s="186" t="s">
        <v>25</v>
      </c>
      <c r="R613" s="283">
        <f t="shared" si="637"/>
        <v>0</v>
      </c>
      <c r="S613" s="283">
        <f t="shared" si="637"/>
        <v>350.71079515914249</v>
      </c>
      <c r="T613" s="283">
        <f t="shared" si="637"/>
        <v>0</v>
      </c>
      <c r="U613" s="283">
        <f t="shared" si="637"/>
        <v>336.89800487693606</v>
      </c>
      <c r="V613" s="283">
        <f t="shared" si="637"/>
        <v>390.87155591894299</v>
      </c>
      <c r="W613" s="283">
        <f t="shared" si="637"/>
        <v>7.1988715065368574</v>
      </c>
      <c r="X613" s="282">
        <f t="shared" si="637"/>
        <v>349.63270360598796</v>
      </c>
      <c r="Y613" s="147"/>
      <c r="AA613" s="186"/>
      <c r="AB613" s="207"/>
      <c r="AC613" s="207"/>
      <c r="AE613" s="193"/>
      <c r="AF613" s="210"/>
      <c r="AG613" s="210"/>
      <c r="AH613" s="210"/>
    </row>
    <row r="614" spans="1:34">
      <c r="A614" s="186" t="s">
        <v>26</v>
      </c>
      <c r="J614">
        <v>54.7</v>
      </c>
      <c r="K614" s="147">
        <v>11780.55</v>
      </c>
      <c r="L614">
        <v>346.4</v>
      </c>
      <c r="M614">
        <v>482.4</v>
      </c>
      <c r="N614" s="147">
        <v>1315.25</v>
      </c>
      <c r="O614" s="147">
        <v>6.3</v>
      </c>
      <c r="P614" s="266">
        <f t="shared" si="636"/>
        <v>13985.599999999999</v>
      </c>
      <c r="Q614" s="186" t="s">
        <v>26</v>
      </c>
      <c r="R614" s="283">
        <f t="shared" si="637"/>
        <v>414.71716179252127</v>
      </c>
      <c r="S614" s="283">
        <f t="shared" si="637"/>
        <v>358.22809167533188</v>
      </c>
      <c r="T614" s="283">
        <f t="shared" si="637"/>
        <v>1575.2455263888271</v>
      </c>
      <c r="U614" s="283">
        <f t="shared" si="637"/>
        <v>441.40348134449499</v>
      </c>
      <c r="V614" s="283">
        <f t="shared" si="637"/>
        <v>262.14743252270887</v>
      </c>
      <c r="W614" s="283">
        <f t="shared" si="637"/>
        <v>8.2337786121761312</v>
      </c>
      <c r="X614" s="282">
        <f t="shared" si="637"/>
        <v>372.94090436121661</v>
      </c>
      <c r="Y614" s="147"/>
      <c r="AA614" s="186"/>
      <c r="AB614" s="207"/>
      <c r="AC614" s="207"/>
      <c r="AE614" s="209"/>
      <c r="AF614" s="185"/>
      <c r="AG614" s="207"/>
      <c r="AH614" s="207"/>
    </row>
    <row r="615" spans="1:34">
      <c r="A615" s="186" t="s">
        <v>27</v>
      </c>
      <c r="J615">
        <v>12</v>
      </c>
      <c r="K615">
        <v>276.54000000000002</v>
      </c>
      <c r="M615">
        <v>101.7</v>
      </c>
      <c r="N615" s="147">
        <v>205.71</v>
      </c>
      <c r="O615" s="147">
        <v>0</v>
      </c>
      <c r="P615" s="266">
        <f t="shared" si="636"/>
        <v>595.95000000000005</v>
      </c>
      <c r="Q615" s="186" t="s">
        <v>27</v>
      </c>
      <c r="R615" s="283">
        <f t="shared" si="637"/>
        <v>473.96247062002436</v>
      </c>
      <c r="S615" s="283">
        <f t="shared" si="637"/>
        <v>288.31723407477062</v>
      </c>
      <c r="T615" s="283">
        <f t="shared" si="637"/>
        <v>0</v>
      </c>
      <c r="U615" s="283">
        <f t="shared" si="637"/>
        <v>322.32687813210782</v>
      </c>
      <c r="V615" s="283">
        <f t="shared" si="637"/>
        <v>255.89583722087087</v>
      </c>
      <c r="W615" s="283">
        <f t="shared" si="637"/>
        <v>0</v>
      </c>
      <c r="X615" s="282">
        <f t="shared" si="637"/>
        <v>279.16895956048813</v>
      </c>
      <c r="AA615" s="186"/>
      <c r="AB615" s="207"/>
      <c r="AC615" s="207"/>
      <c r="AE615" s="209"/>
      <c r="AF615" s="185"/>
      <c r="AG615" s="207"/>
      <c r="AH615" s="207"/>
    </row>
    <row r="616" spans="1:34">
      <c r="A616" s="186" t="s">
        <v>28</v>
      </c>
      <c r="K616">
        <v>205.2</v>
      </c>
      <c r="L616">
        <v>234</v>
      </c>
      <c r="M616">
        <v>110.5</v>
      </c>
      <c r="N616">
        <v>1765.5</v>
      </c>
      <c r="O616">
        <v>3.7</v>
      </c>
      <c r="P616" s="266">
        <f t="shared" si="636"/>
        <v>2318.8999999999996</v>
      </c>
      <c r="Q616" s="186" t="s">
        <v>28</v>
      </c>
      <c r="R616" s="283">
        <f t="shared" si="637"/>
        <v>0</v>
      </c>
      <c r="S616" s="283">
        <f t="shared" si="637"/>
        <v>549.57220069125958</v>
      </c>
      <c r="T616" s="283">
        <f t="shared" si="637"/>
        <v>1788.1691632703732</v>
      </c>
      <c r="U616" s="283">
        <f t="shared" si="637"/>
        <v>485.79458840432056</v>
      </c>
      <c r="V616" s="283">
        <f t="shared" si="637"/>
        <v>508.81272634489284</v>
      </c>
      <c r="W616" s="283">
        <f t="shared" si="637"/>
        <v>10.812727187322233</v>
      </c>
      <c r="X616" s="282">
        <f t="shared" si="637"/>
        <v>727.72812430148019</v>
      </c>
      <c r="AA616" s="186"/>
      <c r="AB616" s="207"/>
      <c r="AC616" s="207"/>
      <c r="AE616" s="209"/>
      <c r="AF616" s="185"/>
      <c r="AG616" s="207"/>
      <c r="AH616" s="207"/>
    </row>
    <row r="617" spans="1:34">
      <c r="A617" s="186" t="s">
        <v>350</v>
      </c>
      <c r="P617" s="266"/>
      <c r="Q617" s="186"/>
      <c r="R617" s="283">
        <f t="shared" ref="R617:X617" si="638">IFERROR(R592/J573*1000000,0)</f>
        <v>0</v>
      </c>
      <c r="S617" s="283">
        <f t="shared" si="638"/>
        <v>0</v>
      </c>
      <c r="T617" s="283">
        <f t="shared" si="638"/>
        <v>0</v>
      </c>
      <c r="U617" s="283">
        <f t="shared" si="638"/>
        <v>0</v>
      </c>
      <c r="V617" s="283">
        <f t="shared" si="638"/>
        <v>0</v>
      </c>
      <c r="W617" s="283">
        <f t="shared" si="638"/>
        <v>0</v>
      </c>
      <c r="X617" s="282">
        <f t="shared" si="638"/>
        <v>0</v>
      </c>
      <c r="AA617" s="186"/>
      <c r="AB617" s="207"/>
      <c r="AC617" s="207"/>
      <c r="AE617" s="186"/>
      <c r="AF617" s="185"/>
      <c r="AG617" s="408"/>
      <c r="AH617" s="408"/>
    </row>
    <row r="618" spans="1:34">
      <c r="Q618" s="193" t="s">
        <v>9</v>
      </c>
      <c r="R618" s="282">
        <f t="shared" ref="R618:X618" si="639">R593/J574*1000000</f>
        <v>884.45535712721107</v>
      </c>
      <c r="S618" s="282">
        <f>S593/K574*1000000</f>
        <v>369.32797179917577</v>
      </c>
      <c r="T618" s="282">
        <f t="shared" si="639"/>
        <v>1635.2611008482413</v>
      </c>
      <c r="U618" s="282">
        <f t="shared" si="639"/>
        <v>527.26922681090946</v>
      </c>
      <c r="V618" s="282">
        <f t="shared" si="639"/>
        <v>384.80013812341468</v>
      </c>
      <c r="W618" s="282">
        <f t="shared" si="639"/>
        <v>8.8932671712576035</v>
      </c>
      <c r="X618" s="195">
        <f t="shared" si="639"/>
        <v>449.5171576503547</v>
      </c>
      <c r="AA618" s="186"/>
      <c r="AB618" s="207"/>
      <c r="AC618" s="207"/>
      <c r="AE618" s="186"/>
      <c r="AF618" s="185"/>
      <c r="AG618" s="408"/>
      <c r="AH618" s="408"/>
    </row>
    <row r="619" spans="1:34">
      <c r="J619" s="90">
        <f t="shared" ref="J619:O619" si="640">IFERROR((J567/11.63+J604)/J611,"")</f>
        <v>0.87205580356855106</v>
      </c>
      <c r="K619" s="90">
        <f t="shared" si="640"/>
        <v>0.65860959392184415</v>
      </c>
      <c r="L619" s="90">
        <f t="shared" si="640"/>
        <v>0.44360248441475486</v>
      </c>
      <c r="M619" s="90">
        <f t="shared" si="640"/>
        <v>0.7732525904934342</v>
      </c>
      <c r="N619" s="90">
        <f t="shared" si="640"/>
        <v>0.58534041748093124</v>
      </c>
      <c r="O619" s="90">
        <f t="shared" si="640"/>
        <v>0.58904053772096987</v>
      </c>
      <c r="P619" s="269">
        <f>P611-('5-x'!$X$82+'5-x'!$X$84)</f>
        <v>0</v>
      </c>
      <c r="R619" s="315">
        <f>'7'!AD6</f>
        <v>884.45511791307888</v>
      </c>
      <c r="S619" s="315">
        <f>'7'!AD7</f>
        <v>369.471765657204</v>
      </c>
      <c r="T619" s="204"/>
      <c r="U619" s="204"/>
      <c r="V619" s="204"/>
      <c r="W619" s="204"/>
      <c r="X619" s="196">
        <f>'7'!AD12</f>
        <v>449.51733448035259</v>
      </c>
      <c r="AE619" s="193"/>
      <c r="AF619" s="210"/>
      <c r="AG619" s="210"/>
      <c r="AH619" s="210"/>
    </row>
    <row r="620" spans="1:34">
      <c r="J620" s="90" t="str">
        <f t="shared" ref="J620:O620" si="641">IFERROR((J568/11.63+J605)/J612,"")</f>
        <v/>
      </c>
      <c r="K620" s="90">
        <f t="shared" si="641"/>
        <v>0.72981142039219671</v>
      </c>
      <c r="L620" s="90">
        <f t="shared" si="641"/>
        <v>0.61275026226390994</v>
      </c>
      <c r="M620" s="90">
        <f t="shared" si="641"/>
        <v>0.69061111168664335</v>
      </c>
      <c r="N620" s="90">
        <f t="shared" si="641"/>
        <v>0.65584430859968879</v>
      </c>
      <c r="O620" s="90">
        <f t="shared" si="641"/>
        <v>0.58867737811218113</v>
      </c>
      <c r="P620" s="272">
        <f>(P586/41.868)-'5-x'!$X$82</f>
        <v>-9.8494076701172162E-4</v>
      </c>
      <c r="R620" s="497">
        <f>R618-R619</f>
        <v>2.3921413219341048E-4</v>
      </c>
      <c r="S620" s="497">
        <f>S618-S619</f>
        <v>-0.14379385802823208</v>
      </c>
      <c r="T620" s="172"/>
      <c r="U620" s="172"/>
      <c r="V620" s="172"/>
      <c r="W620" s="172"/>
      <c r="X620" s="497">
        <f>X618-X619</f>
        <v>-1.7682999788348752E-4</v>
      </c>
      <c r="AE620" s="186"/>
      <c r="AF620" s="185"/>
      <c r="AG620" s="207"/>
      <c r="AH620" s="207"/>
    </row>
    <row r="621" spans="1:34">
      <c r="J621" s="90" t="str">
        <f t="shared" ref="J621:O621" si="642">IFERROR((J569/11.63+J606)/J613,"")</f>
        <v/>
      </c>
      <c r="K621" s="90">
        <f t="shared" si="642"/>
        <v>0.73539197727017835</v>
      </c>
      <c r="L621" s="90" t="str">
        <f t="shared" si="642"/>
        <v/>
      </c>
      <c r="M621" s="90">
        <f t="shared" si="642"/>
        <v>0.82358247567839526</v>
      </c>
      <c r="N621" s="90">
        <f t="shared" si="642"/>
        <v>0.74219383368136593</v>
      </c>
      <c r="O621" s="90">
        <f t="shared" si="642"/>
        <v>0.7104471195184866</v>
      </c>
      <c r="P621" s="272">
        <f>(P579/41.868)-'5-x'!$X$83</f>
        <v>-4.8170440422836691E-3</v>
      </c>
      <c r="AE621" s="186"/>
      <c r="AF621" s="185"/>
      <c r="AG621" s="207"/>
      <c r="AH621" s="207"/>
    </row>
    <row r="622" spans="1:34">
      <c r="J622" s="90">
        <f t="shared" ref="J622:O622" si="643">IFERROR((J570/11.63+J607)/J614,"")</f>
        <v>0.87962324002886061</v>
      </c>
      <c r="K622" s="90">
        <f t="shared" si="643"/>
        <v>0.63606393377766646</v>
      </c>
      <c r="L622" s="90">
        <f t="shared" si="643"/>
        <v>0.47405769501905365</v>
      </c>
      <c r="M622" s="90">
        <f t="shared" si="643"/>
        <v>0.74222324890309133</v>
      </c>
      <c r="N622" s="90">
        <f t="shared" si="643"/>
        <v>0.6099306321782817</v>
      </c>
      <c r="O622" s="90">
        <f t="shared" si="643"/>
        <v>0.58417611814000459</v>
      </c>
      <c r="AE622" s="186"/>
      <c r="AF622" s="185"/>
      <c r="AG622" s="207"/>
      <c r="AH622" s="207"/>
    </row>
    <row r="623" spans="1:34">
      <c r="J623" s="90">
        <f t="shared" ref="J623:O623" si="644">IFERROR((J571/11.63+J608)/J615,"")</f>
        <v>0.83756090570363995</v>
      </c>
      <c r="K623" s="90">
        <f t="shared" si="644"/>
        <v>0.85143302252170139</v>
      </c>
      <c r="L623" s="90" t="str">
        <f t="shared" si="644"/>
        <v/>
      </c>
      <c r="M623" s="90">
        <f t="shared" si="644"/>
        <v>0.87496649816405703</v>
      </c>
      <c r="N623" s="90">
        <f t="shared" si="644"/>
        <v>0.75738441359880482</v>
      </c>
      <c r="O623" s="90" t="str">
        <f t="shared" si="644"/>
        <v/>
      </c>
      <c r="AE623" s="186"/>
      <c r="AF623" s="185"/>
      <c r="AG623" s="207"/>
      <c r="AH623" s="207"/>
    </row>
    <row r="624" spans="1:34">
      <c r="J624" s="90" t="str">
        <f t="shared" ref="J624:O625" si="645">IFERROR((J572/11.63+J609)/J616,"")</f>
        <v/>
      </c>
      <c r="K624" s="90">
        <f t="shared" si="645"/>
        <v>0.51003865113246472</v>
      </c>
      <c r="L624" s="90">
        <f t="shared" si="645"/>
        <v>0.37335582159313879</v>
      </c>
      <c r="M624" s="90">
        <f t="shared" si="645"/>
        <v>0.77958704084848429</v>
      </c>
      <c r="N624" s="90">
        <f t="shared" si="645"/>
        <v>0.52296108195851843</v>
      </c>
      <c r="O624" s="90">
        <f>IFERROR((O572/11.63+O609)/O616,"")</f>
        <v>0.67014477934512329</v>
      </c>
    </row>
    <row r="625" spans="1:34">
      <c r="J625" s="90" t="str">
        <f t="shared" si="645"/>
        <v/>
      </c>
      <c r="K625" s="90" t="str">
        <f t="shared" si="645"/>
        <v/>
      </c>
      <c r="L625" s="90" t="str">
        <f t="shared" si="645"/>
        <v/>
      </c>
      <c r="M625" s="90" t="str">
        <f t="shared" si="645"/>
        <v/>
      </c>
      <c r="N625" s="90" t="str">
        <f t="shared" si="645"/>
        <v/>
      </c>
      <c r="O625" s="90" t="str">
        <f t="shared" si="645"/>
        <v/>
      </c>
    </row>
    <row r="626" spans="1:34">
      <c r="A626" s="68" t="str">
        <f>$A$558</f>
        <v>Dati 2018 lorda</v>
      </c>
      <c r="J626" s="469">
        <f t="shared" ref="J626:P626" si="646">(J604*11.63)/(J567)</f>
        <v>3.9435252850043852</v>
      </c>
      <c r="K626" s="469">
        <f t="shared" si="646"/>
        <v>0.47049957509145945</v>
      </c>
      <c r="L626" s="469">
        <f t="shared" si="646"/>
        <v>0.27343735581224599</v>
      </c>
      <c r="M626" s="469">
        <f t="shared" si="646"/>
        <v>2.3452323207730918</v>
      </c>
      <c r="N626" s="469">
        <f t="shared" si="646"/>
        <v>0.93554013136921021</v>
      </c>
      <c r="O626" s="469">
        <f t="shared" si="646"/>
        <v>0.4592969609283305</v>
      </c>
      <c r="P626" s="469">
        <f t="shared" si="646"/>
        <v>0.56827207549928405</v>
      </c>
    </row>
    <row r="627" spans="1:34">
      <c r="A627" s="68" t="s">
        <v>257</v>
      </c>
      <c r="B627" s="68"/>
      <c r="C627" s="68"/>
      <c r="D627" s="68"/>
      <c r="E627" s="68"/>
      <c r="J627" s="428">
        <v>0.20591314961486873</v>
      </c>
      <c r="K627" s="428">
        <v>8.8888557903026282</v>
      </c>
      <c r="L627" s="428">
        <v>0.40485007453500621</v>
      </c>
      <c r="M627" s="588">
        <v>1.2202797868340238</v>
      </c>
      <c r="N627" s="587">
        <v>2.0026946676726336</v>
      </c>
      <c r="O627" s="587">
        <v>1.4064806443259831E-3</v>
      </c>
      <c r="P627" s="566">
        <f>SUM(J627:O627)</f>
        <v>12.723999949603485</v>
      </c>
      <c r="Q627" t="s">
        <v>363</v>
      </c>
    </row>
    <row r="628" spans="1:34">
      <c r="A628" t="s">
        <v>258</v>
      </c>
      <c r="J628" s="181">
        <f t="shared" ref="J628:O628" si="647">J627/(J604*11.63)*1000000</f>
        <v>381.58068760723734</v>
      </c>
      <c r="K628" s="181">
        <f t="shared" si="647"/>
        <v>232.88461660679565</v>
      </c>
      <c r="L628" s="181">
        <f t="shared" si="647"/>
        <v>594.04164605337826</v>
      </c>
      <c r="M628" s="181">
        <f t="shared" si="647"/>
        <v>243.61545190666712</v>
      </c>
      <c r="N628" s="181">
        <f t="shared" si="647"/>
        <v>157.24659417924855</v>
      </c>
      <c r="O628" s="181">
        <f t="shared" si="647"/>
        <v>0.56511947200921842</v>
      </c>
      <c r="P628" s="181">
        <f>P627/(P604*11.63)*1000000</f>
        <v>213.40571197738365</v>
      </c>
    </row>
    <row r="630" spans="1:34">
      <c r="A630" s="68" t="s">
        <v>259</v>
      </c>
      <c r="J630" s="287">
        <f t="shared" ref="J630:P630" si="648">J627+R586</f>
        <v>0.26338702370842942</v>
      </c>
      <c r="K630" s="287">
        <f t="shared" si="648"/>
        <v>37.704773169948524</v>
      </c>
      <c r="L630" s="287">
        <f t="shared" si="648"/>
        <v>4.480980036166744</v>
      </c>
      <c r="M630" s="287">
        <f t="shared" si="648"/>
        <v>2.1175695196661684</v>
      </c>
      <c r="N630" s="287">
        <f t="shared" si="648"/>
        <v>6.591430570359897</v>
      </c>
      <c r="O630" s="287">
        <f t="shared" si="648"/>
        <v>4.3780138106396881E-2</v>
      </c>
      <c r="P630" s="287">
        <f t="shared" si="648"/>
        <v>51.201920457956149</v>
      </c>
    </row>
    <row r="631" spans="1:34">
      <c r="A631" t="s">
        <v>260</v>
      </c>
      <c r="J631" s="178">
        <f>J630/((J604*11.63)+J567)*1000000</f>
        <v>389.35391813471864</v>
      </c>
      <c r="K631" s="178">
        <f t="shared" ref="K631:P631" si="649">K630/((K604*11.63)+K567)*1000000</f>
        <v>316.0716954165818</v>
      </c>
      <c r="L631" s="178">
        <f t="shared" si="649"/>
        <v>1411.8089749253115</v>
      </c>
      <c r="M631" s="178">
        <f t="shared" si="649"/>
        <v>296.37575764609215</v>
      </c>
      <c r="N631" s="178">
        <f t="shared" si="649"/>
        <v>250.15341134477299</v>
      </c>
      <c r="O631" s="178">
        <f t="shared" si="649"/>
        <v>5.5364774186788983</v>
      </c>
      <c r="P631" s="178">
        <f t="shared" si="649"/>
        <v>311.17416832725536</v>
      </c>
    </row>
    <row r="632" spans="1:34">
      <c r="J632" s="181" t="str">
        <f>IFERROR((J$628*J603*11.63/1000000+R585)/(J603*11.63+J566)*1000000,"")</f>
        <v/>
      </c>
      <c r="K632" s="168"/>
      <c r="L632" s="168"/>
      <c r="M632" s="168"/>
      <c r="N632" s="168"/>
      <c r="O632" s="168"/>
      <c r="P632" s="168"/>
    </row>
    <row r="633" spans="1:34">
      <c r="A633" t="s">
        <v>261</v>
      </c>
      <c r="J633" s="281">
        <f>IFERROR((J628*J604*11.63/1000000+R586)/(J604*11.63+J567)*1000000,"")</f>
        <v>389.35391813471864</v>
      </c>
      <c r="K633" s="281">
        <f t="shared" ref="K633:P633" si="650">IFERROR((K628*K604*11.63/1000000+S586)/(K604*11.63+K567)*1000000,"")</f>
        <v>316.0716954165818</v>
      </c>
      <c r="L633" s="281">
        <f t="shared" si="650"/>
        <v>1411.8089749253115</v>
      </c>
      <c r="M633" s="281">
        <f t="shared" si="650"/>
        <v>296.37575764609215</v>
      </c>
      <c r="N633" s="281">
        <f t="shared" si="650"/>
        <v>250.15341134477299</v>
      </c>
      <c r="O633" s="281">
        <f t="shared" si="650"/>
        <v>5.5364774186788983</v>
      </c>
      <c r="P633" s="281">
        <f t="shared" si="650"/>
        <v>311.17416832725536</v>
      </c>
      <c r="R633" s="255">
        <f t="shared" ref="R633:X634" si="651">IFERROR(J633/R611-1,"")</f>
        <v>-7.298418633094661E-2</v>
      </c>
      <c r="S633" s="255">
        <f t="shared" si="651"/>
        <v>-0.11018652386312144</v>
      </c>
      <c r="T633" s="255">
        <f t="shared" si="651"/>
        <v>-0.13672850465617559</v>
      </c>
      <c r="U633" s="255">
        <f t="shared" si="651"/>
        <v>-0.29452976552753429</v>
      </c>
      <c r="V633" s="255">
        <f t="shared" si="651"/>
        <v>-0.2578623952875122</v>
      </c>
      <c r="W633" s="255">
        <f t="shared" si="651"/>
        <v>-0.29199308782597932</v>
      </c>
      <c r="X633" s="255">
        <f t="shared" si="651"/>
        <v>-0.1514972621519074</v>
      </c>
      <c r="AE633" s="186"/>
      <c r="AF633" s="185"/>
      <c r="AG633" s="207"/>
      <c r="AH633" s="207"/>
    </row>
    <row r="634" spans="1:34">
      <c r="A634" s="186" t="s">
        <v>24</v>
      </c>
      <c r="J634" s="181" t="str">
        <f t="shared" ref="J634:P634" si="652">IFERROR((J628*J605*11.63/1000000+R587)/(J605*11.63+J568)*1000000,"")</f>
        <v/>
      </c>
      <c r="K634" s="181">
        <f t="shared" si="652"/>
        <v>285.52639751104147</v>
      </c>
      <c r="L634" s="181">
        <f t="shared" si="652"/>
        <v>996.36570339838977</v>
      </c>
      <c r="M634" s="181">
        <f t="shared" si="652"/>
        <v>343.54005977224813</v>
      </c>
      <c r="N634" s="181">
        <f t="shared" si="652"/>
        <v>223.68469170861039</v>
      </c>
      <c r="O634" s="181">
        <f t="shared" si="652"/>
        <v>5.5499956495463527</v>
      </c>
      <c r="P634" s="181">
        <f t="shared" si="652"/>
        <v>225.25738542948039</v>
      </c>
      <c r="R634" s="254" t="str">
        <f t="shared" si="651"/>
        <v/>
      </c>
      <c r="S634" s="254">
        <f t="shared" si="651"/>
        <v>-0.12914694810436522</v>
      </c>
      <c r="T634" s="254">
        <f t="shared" si="651"/>
        <v>-0.2013931865563835</v>
      </c>
      <c r="U634" s="254">
        <f t="shared" si="651"/>
        <v>-0.21738383528920946</v>
      </c>
      <c r="V634" s="254">
        <f t="shared" si="651"/>
        <v>-0.28458370241092024</v>
      </c>
      <c r="W634" s="254">
        <f t="shared" si="651"/>
        <v>-0.28978159905029199</v>
      </c>
      <c r="X634" s="254">
        <f t="shared" si="651"/>
        <v>-3.8019691431143587E-2</v>
      </c>
    </row>
    <row r="635" spans="1:34">
      <c r="A635" s="186" t="s">
        <v>25</v>
      </c>
      <c r="J635" s="181" t="str">
        <f t="shared" ref="J635:P635" si="653">IFERROR((J628*J606*11.63/1000000+R588)/(J606*11.63+J569)*1000000,"")</f>
        <v/>
      </c>
      <c r="K635" s="181">
        <f t="shared" si="653"/>
        <v>283.69659953293996</v>
      </c>
      <c r="L635" s="181" t="str">
        <f t="shared" si="653"/>
        <v/>
      </c>
      <c r="M635" s="181">
        <f t="shared" si="653"/>
        <v>279.64756291312403</v>
      </c>
      <c r="N635" s="181">
        <f t="shared" si="653"/>
        <v>193.01222418309109</v>
      </c>
      <c r="O635" s="181">
        <f t="shared" si="653"/>
        <v>3.30827462496568</v>
      </c>
      <c r="P635" s="181">
        <f t="shared" si="653"/>
        <v>271.2978729966066</v>
      </c>
      <c r="R635" s="254" t="str">
        <f>IFERROR(J635/R613-1,"")</f>
        <v/>
      </c>
      <c r="S635" s="254">
        <f t="shared" ref="S635:X639" si="654">IFERROR(K635/S613-1,"")</f>
        <v>-0.1910810746381314</v>
      </c>
      <c r="T635" s="254" t="str">
        <f t="shared" si="654"/>
        <v/>
      </c>
      <c r="U635" s="254">
        <f t="shared" si="654"/>
        <v>-0.16993404868848894</v>
      </c>
      <c r="V635" s="254">
        <f t="shared" si="654"/>
        <v>-0.50620038408955748</v>
      </c>
      <c r="W635" s="254">
        <f t="shared" si="654"/>
        <v>-0.5404453848132118</v>
      </c>
      <c r="X635" s="254">
        <f t="shared" si="654"/>
        <v>-0.2240489227737098</v>
      </c>
    </row>
    <row r="636" spans="1:34">
      <c r="A636" s="186" t="s">
        <v>26</v>
      </c>
      <c r="J636" s="181">
        <f t="shared" ref="J636:P636" si="655">IFERROR((J628*J607*11.63/1000000+R589)/(J607*11.63+J570)*1000000,"")</f>
        <v>388.96024487135611</v>
      </c>
      <c r="K636" s="181">
        <f t="shared" si="655"/>
        <v>327.08786542380642</v>
      </c>
      <c r="L636" s="181">
        <f t="shared" si="655"/>
        <v>1313.5331363113135</v>
      </c>
      <c r="M636" s="181">
        <f t="shared" si="655"/>
        <v>310.59381173410418</v>
      </c>
      <c r="N636" s="181">
        <f t="shared" si="655"/>
        <v>239.66899707673224</v>
      </c>
      <c r="O636" s="181">
        <f t="shared" si="655"/>
        <v>5.316599318680554</v>
      </c>
      <c r="P636" s="181">
        <f t="shared" si="655"/>
        <v>330.61919685475988</v>
      </c>
      <c r="R636" s="254">
        <f>IFERROR(J636/R614-1,"")</f>
        <v>-6.2107188450646E-2</v>
      </c>
      <c r="S636" s="254">
        <f t="shared" si="654"/>
        <v>-8.6928487673569643E-2</v>
      </c>
      <c r="T636" s="254">
        <f t="shared" si="654"/>
        <v>-0.16614069723941793</v>
      </c>
      <c r="U636" s="254">
        <f t="shared" si="654"/>
        <v>-0.29634942889881721</v>
      </c>
      <c r="V636" s="254">
        <f t="shared" si="654"/>
        <v>-8.5747303453103219E-2</v>
      </c>
      <c r="W636" s="254">
        <f t="shared" si="654"/>
        <v>-0.35429411341976647</v>
      </c>
      <c r="X636" s="254">
        <f t="shared" si="654"/>
        <v>-0.11348100198058597</v>
      </c>
    </row>
    <row r="637" spans="1:34">
      <c r="A637" s="186" t="s">
        <v>27</v>
      </c>
      <c r="J637" s="181">
        <f t="shared" ref="J637:P637" si="656">IFERROR((J628*J608*11.63/1000000+R590)/(J608*11.63+J571)*1000000,"")</f>
        <v>391.23853163509483</v>
      </c>
      <c r="K637" s="181">
        <f t="shared" si="656"/>
        <v>245.82259513116233</v>
      </c>
      <c r="L637" s="181" t="str">
        <f t="shared" si="656"/>
        <v/>
      </c>
      <c r="M637" s="181">
        <f t="shared" si="656"/>
        <v>255.54288912014849</v>
      </c>
      <c r="N637" s="181">
        <f t="shared" si="656"/>
        <v>192.32532623282228</v>
      </c>
      <c r="O637" s="181" t="str">
        <f t="shared" si="656"/>
        <v/>
      </c>
      <c r="P637" s="181">
        <f t="shared" si="656"/>
        <v>230.15753911065045</v>
      </c>
      <c r="R637" s="254">
        <f>IFERROR(J637/R615-1,"")</f>
        <v>-0.1745368971444351</v>
      </c>
      <c r="S637" s="254">
        <f t="shared" si="654"/>
        <v>-0.14738848019257833</v>
      </c>
      <c r="T637" s="254" t="str">
        <f t="shared" si="654"/>
        <v/>
      </c>
      <c r="U637" s="254">
        <f t="shared" si="654"/>
        <v>-0.20719336035199487</v>
      </c>
      <c r="V637" s="254">
        <f t="shared" si="654"/>
        <v>-0.24842338851014256</v>
      </c>
      <c r="W637" s="254" t="str">
        <f t="shared" si="654"/>
        <v/>
      </c>
      <c r="X637" s="254">
        <f t="shared" si="654"/>
        <v>-0.1755618551826077</v>
      </c>
    </row>
    <row r="638" spans="1:34">
      <c r="A638" s="186" t="s">
        <v>28</v>
      </c>
      <c r="J638" s="181" t="str">
        <f t="shared" ref="J638:P638" si="657">IFERROR((J628*J609*11.63/1000000+R591)/(J609*11.63+J572)*1000000,"")</f>
        <v/>
      </c>
      <c r="K638" s="181">
        <f t="shared" si="657"/>
        <v>408.86913993685482</v>
      </c>
      <c r="L638" s="181">
        <f t="shared" si="657"/>
        <v>1697.9589193999032</v>
      </c>
      <c r="M638" s="181">
        <f t="shared" si="657"/>
        <v>290.97031206152951</v>
      </c>
      <c r="N638" s="181">
        <f t="shared" si="657"/>
        <v>280.38500865462089</v>
      </c>
      <c r="O638" s="181">
        <f t="shared" si="657"/>
        <v>2.9602672336075022</v>
      </c>
      <c r="P638" s="181">
        <f t="shared" si="657"/>
        <v>418.34953899890257</v>
      </c>
      <c r="R638" s="254" t="str">
        <f>IFERROR(J638/R616-1,"")</f>
        <v/>
      </c>
      <c r="S638" s="254">
        <f t="shared" si="654"/>
        <v>-0.25602288575991738</v>
      </c>
      <c r="T638" s="254">
        <f t="shared" si="654"/>
        <v>-5.0448383588879819E-2</v>
      </c>
      <c r="U638" s="254">
        <f t="shared" si="654"/>
        <v>-0.40104250025247568</v>
      </c>
      <c r="V638" s="254">
        <f t="shared" si="654"/>
        <v>-0.44894261849778272</v>
      </c>
      <c r="W638" s="254">
        <f t="shared" si="654"/>
        <v>-0.72622381178003148</v>
      </c>
      <c r="X638" s="254">
        <f t="shared" si="654"/>
        <v>-0.4251293511564348</v>
      </c>
    </row>
    <row r="639" spans="1:34">
      <c r="A639" s="186" t="s">
        <v>350</v>
      </c>
      <c r="J639" s="181" t="str">
        <f t="shared" ref="J639:P639" si="658">IFERROR((J$628*J610*11.63/1000000+R592)/(J610*11.63+J573)*1000000,"")</f>
        <v/>
      </c>
      <c r="K639" s="181" t="str">
        <f t="shared" si="658"/>
        <v/>
      </c>
      <c r="L639" s="181" t="str">
        <f t="shared" si="658"/>
        <v/>
      </c>
      <c r="M639" s="181" t="str">
        <f t="shared" si="658"/>
        <v/>
      </c>
      <c r="N639" s="181" t="str">
        <f t="shared" si="658"/>
        <v/>
      </c>
      <c r="O639" s="181" t="str">
        <f t="shared" si="658"/>
        <v/>
      </c>
      <c r="P639" s="181" t="str">
        <f t="shared" si="658"/>
        <v/>
      </c>
      <c r="R639" s="254" t="str">
        <f>IFERROR(J639/R617-1,"")</f>
        <v/>
      </c>
      <c r="S639" s="254" t="str">
        <f t="shared" si="654"/>
        <v/>
      </c>
      <c r="T639" s="254" t="str">
        <f t="shared" si="654"/>
        <v/>
      </c>
      <c r="U639" s="254" t="str">
        <f t="shared" si="654"/>
        <v/>
      </c>
      <c r="V639" s="254" t="str">
        <f t="shared" si="654"/>
        <v/>
      </c>
      <c r="W639" s="254" t="str">
        <f t="shared" si="654"/>
        <v/>
      </c>
      <c r="X639" s="254" t="str">
        <f t="shared" si="654"/>
        <v/>
      </c>
    </row>
    <row r="640" spans="1:34">
      <c r="J640" s="181"/>
      <c r="K640" s="181"/>
      <c r="L640" s="181"/>
      <c r="M640" s="181"/>
      <c r="N640" s="181"/>
      <c r="O640" s="181"/>
      <c r="P640" s="181"/>
    </row>
    <row r="641" spans="1:43">
      <c r="J641" s="181"/>
      <c r="K641" s="181"/>
      <c r="L641" s="181"/>
      <c r="M641" s="181"/>
      <c r="N641" s="181"/>
      <c r="O641" s="181"/>
      <c r="P641" s="181"/>
    </row>
    <row r="642" spans="1:43">
      <c r="J642" s="181"/>
      <c r="K642" s="181"/>
      <c r="L642" s="181"/>
      <c r="M642" s="181"/>
      <c r="N642" s="181"/>
      <c r="O642" s="181"/>
      <c r="P642" s="181"/>
    </row>
    <row r="643" spans="1:43">
      <c r="J643" s="181"/>
      <c r="K643" s="181"/>
      <c r="L643" s="181"/>
      <c r="M643" s="181"/>
      <c r="N643" s="181"/>
      <c r="O643" s="181"/>
      <c r="P643" s="181"/>
    </row>
    <row r="644" spans="1:43">
      <c r="J644" s="181"/>
      <c r="K644" s="181"/>
      <c r="L644" s="181"/>
      <c r="M644" s="181"/>
      <c r="N644" s="181"/>
      <c r="O644" s="181"/>
      <c r="P644" s="181"/>
    </row>
    <row r="645" spans="1:43">
      <c r="J645" s="181"/>
      <c r="K645" s="181"/>
      <c r="L645" s="181"/>
      <c r="M645" s="181"/>
      <c r="N645" s="181"/>
      <c r="O645" s="181"/>
      <c r="P645" s="181"/>
    </row>
    <row r="649" spans="1:43">
      <c r="J649" s="166">
        <f t="shared" ref="J649:P649" si="659">J698*((J658/11.63)/((J658/11.63)+J692))*41.868</f>
        <v>571.70944229969712</v>
      </c>
      <c r="K649" s="166">
        <f t="shared" si="659"/>
        <v>476804.91495306388</v>
      </c>
      <c r="L649" s="166">
        <f t="shared" si="659"/>
        <v>17354.70829658808</v>
      </c>
      <c r="M649" s="166">
        <f t="shared" si="659"/>
        <v>10094.484463661312</v>
      </c>
      <c r="N649" s="166">
        <f t="shared" si="659"/>
        <v>80882.831186835436</v>
      </c>
      <c r="O649" s="166">
        <f t="shared" si="659"/>
        <v>32439.454019112909</v>
      </c>
      <c r="P649" s="166">
        <f t="shared" si="659"/>
        <v>617366.03165745677</v>
      </c>
    </row>
    <row r="650" spans="1:43">
      <c r="A650" s="68" t="s">
        <v>337</v>
      </c>
      <c r="J650" s="68" t="s">
        <v>175</v>
      </c>
      <c r="R650" s="68" t="s">
        <v>122</v>
      </c>
      <c r="S650" s="68"/>
      <c r="AJ650" s="68" t="s">
        <v>264</v>
      </c>
    </row>
    <row r="651" spans="1:43" ht="15.5">
      <c r="A651" s="68"/>
      <c r="J651" s="180" t="s">
        <v>5</v>
      </c>
      <c r="K651" s="180" t="s">
        <v>186</v>
      </c>
      <c r="L651" s="180" t="s">
        <v>187</v>
      </c>
      <c r="M651" s="180" t="s">
        <v>190</v>
      </c>
      <c r="N651" s="180" t="s">
        <v>192</v>
      </c>
      <c r="O651" s="180" t="s">
        <v>191</v>
      </c>
      <c r="P651" s="180" t="s">
        <v>189</v>
      </c>
      <c r="Q651" s="2"/>
      <c r="R651" s="180" t="s">
        <v>5</v>
      </c>
      <c r="S651" s="180" t="s">
        <v>186</v>
      </c>
      <c r="T651" s="180" t="s">
        <v>187</v>
      </c>
      <c r="U651" s="180" t="s">
        <v>190</v>
      </c>
      <c r="V651" s="180" t="s">
        <v>192</v>
      </c>
      <c r="W651" s="180" t="s">
        <v>191</v>
      </c>
      <c r="X651" s="180" t="s">
        <v>189</v>
      </c>
      <c r="AA651" s="68" t="s">
        <v>194</v>
      </c>
      <c r="AB651" s="183" t="s">
        <v>193</v>
      </c>
      <c r="AJ651" s="68"/>
      <c r="AK651" s="180" t="s">
        <v>5</v>
      </c>
      <c r="AL651" s="180" t="s">
        <v>186</v>
      </c>
      <c r="AM651" s="180" t="s">
        <v>187</v>
      </c>
      <c r="AN651" s="180" t="s">
        <v>190</v>
      </c>
      <c r="AO651" s="180" t="s">
        <v>192</v>
      </c>
      <c r="AP651" s="180" t="s">
        <v>191</v>
      </c>
      <c r="AQ651" s="180" t="s">
        <v>189</v>
      </c>
    </row>
    <row r="652" spans="1:43" ht="15.5">
      <c r="A652" s="11" t="s">
        <v>16</v>
      </c>
      <c r="J652" s="179">
        <f t="shared" ref="J652:P652" si="660">SUM(J653:J657)</f>
        <v>32488.9</v>
      </c>
      <c r="K652" s="179">
        <f t="shared" si="660"/>
        <v>53568.840000000004</v>
      </c>
      <c r="L652" s="179">
        <f t="shared" si="660"/>
        <v>30.9</v>
      </c>
      <c r="M652" s="179">
        <f t="shared" si="660"/>
        <v>1915.97</v>
      </c>
      <c r="N652" s="179">
        <f t="shared" si="660"/>
        <v>7656.4</v>
      </c>
      <c r="O652" s="179">
        <f t="shared" si="660"/>
        <v>3034.4</v>
      </c>
      <c r="P652" s="179">
        <f t="shared" si="660"/>
        <v>98695.41</v>
      </c>
      <c r="Q652" s="2"/>
      <c r="R652" s="206">
        <v>9.2870000000000008</v>
      </c>
      <c r="S652" s="206">
        <v>6.7869999999999999</v>
      </c>
      <c r="T652" s="206">
        <v>9.3360000000000003</v>
      </c>
      <c r="U652" s="206">
        <v>10.294</v>
      </c>
      <c r="V652" s="206">
        <v>11.147</v>
      </c>
      <c r="W652" s="206">
        <v>9.843</v>
      </c>
      <c r="X652" s="206">
        <v>8.1110000000000007</v>
      </c>
      <c r="AA652" s="68" t="s">
        <v>5</v>
      </c>
      <c r="AJ652" s="11" t="s">
        <v>16</v>
      </c>
      <c r="AK652" s="256">
        <f>IFERROR(J652*3.6/J669,"")</f>
        <v>0.38762611307915107</v>
      </c>
      <c r="AL652" s="256">
        <f t="shared" ref="AL652:AL664" si="661">IFERROR(K652*3.6/K669,"")</f>
        <v>0.53045547436097129</v>
      </c>
      <c r="AM652" s="256">
        <f t="shared" ref="AM652:AM664" si="662">IFERROR(L652*3.6/L669,"")</f>
        <v>0.38560411311053983</v>
      </c>
      <c r="AN652" s="256">
        <f t="shared" ref="AN652:AN664" si="663">IFERROR(M652*3.6/M669,"")</f>
        <v>0.34970777601018127</v>
      </c>
      <c r="AO652" s="256">
        <f t="shared" ref="AO652:AO664" si="664">IFERROR(N652*3.6/N669,"")</f>
        <v>0.32296851350984079</v>
      </c>
      <c r="AP652" s="256">
        <f t="shared" ref="AP652:AP661" si="665">IFERROR(O652*3.6/O669,"")</f>
        <v>0.36575563084504203</v>
      </c>
      <c r="AQ652" s="256">
        <f t="shared" ref="AQ652:AQ657" si="666">IFERROR(P652*3.6/P669,"")</f>
        <v>0.44384809724387331</v>
      </c>
    </row>
    <row r="653" spans="1:43" ht="15.5">
      <c r="A653" s="10" t="s">
        <v>17</v>
      </c>
      <c r="J653" s="147">
        <v>0</v>
      </c>
      <c r="K653" s="147">
        <v>274.89</v>
      </c>
      <c r="L653" s="147">
        <v>30.9</v>
      </c>
      <c r="M653" s="147">
        <v>221.92</v>
      </c>
      <c r="N653" s="147">
        <v>1255</v>
      </c>
      <c r="O653" s="147">
        <v>2982.2</v>
      </c>
      <c r="P653" s="179">
        <f>SUM(J653:O653)</f>
        <v>4764.91</v>
      </c>
      <c r="Q653" s="2"/>
      <c r="R653" s="171">
        <v>0</v>
      </c>
      <c r="S653" s="171">
        <v>9.7729999999999997</v>
      </c>
      <c r="T653" s="171">
        <v>9.3360000000000003</v>
      </c>
      <c r="U653" s="171">
        <v>9.58</v>
      </c>
      <c r="V653" s="171">
        <v>8.8219999999999992</v>
      </c>
      <c r="W653" s="171">
        <v>9.83</v>
      </c>
      <c r="X653" s="206">
        <v>9.5459999999999994</v>
      </c>
      <c r="Z653" s="169">
        <f>AA653*AB653</f>
        <v>677482.04621983692</v>
      </c>
      <c r="AA653" s="185">
        <v>7216.0327931197498</v>
      </c>
      <c r="AB653" s="280">
        <v>93.885666216178194</v>
      </c>
      <c r="AC653" s="186" t="s">
        <v>58</v>
      </c>
      <c r="AJ653" s="10" t="s">
        <v>17</v>
      </c>
      <c r="AK653" s="56" t="str">
        <f t="shared" ref="AK653:AK660" si="667">IFERROR(J653*3.6/J670,"")</f>
        <v/>
      </c>
      <c r="AL653" s="56">
        <f t="shared" si="661"/>
        <v>0.36836181315870253</v>
      </c>
      <c r="AM653" s="56">
        <f t="shared" si="662"/>
        <v>0.38560411311053983</v>
      </c>
      <c r="AN653" s="56">
        <f t="shared" si="663"/>
        <v>0.37578288100208768</v>
      </c>
      <c r="AO653" s="56">
        <f t="shared" si="664"/>
        <v>0.40807073226025847</v>
      </c>
      <c r="AP653" s="56">
        <f t="shared" si="665"/>
        <v>0.36622583926754837</v>
      </c>
      <c r="AQ653" s="256">
        <f t="shared" si="666"/>
        <v>0.37710654081628192</v>
      </c>
    </row>
    <row r="654" spans="1:43" ht="15.5">
      <c r="A654" s="10" t="s">
        <v>18</v>
      </c>
      <c r="J654" s="147">
        <v>0</v>
      </c>
      <c r="K654" s="147">
        <v>540.48</v>
      </c>
      <c r="L654" s="147">
        <v>0</v>
      </c>
      <c r="M654" s="147">
        <v>7.82</v>
      </c>
      <c r="N654" s="147">
        <v>11.7</v>
      </c>
      <c r="O654" s="147">
        <v>32.9</v>
      </c>
      <c r="P654" s="179">
        <f>SUM(J654:O654)</f>
        <v>592.90000000000009</v>
      </c>
      <c r="Q654" s="2"/>
      <c r="R654" s="171">
        <v>0</v>
      </c>
      <c r="S654" s="171">
        <v>11.87</v>
      </c>
      <c r="T654" s="171">
        <v>0</v>
      </c>
      <c r="U654" s="171">
        <v>15.446</v>
      </c>
      <c r="V654" s="171">
        <v>13.443</v>
      </c>
      <c r="W654" s="171">
        <v>11.307</v>
      </c>
      <c r="X654" s="206">
        <v>11.917</v>
      </c>
      <c r="Z654" s="169">
        <f>AA654*AB654</f>
        <v>139.39370881055237</v>
      </c>
      <c r="AA654" s="185">
        <v>1.48471768299102</v>
      </c>
      <c r="AB654" s="184">
        <v>93.885666216178194</v>
      </c>
      <c r="AC654" s="186" t="s">
        <v>59</v>
      </c>
      <c r="AJ654" s="10" t="s">
        <v>18</v>
      </c>
      <c r="AK654" s="56" t="str">
        <f t="shared" si="667"/>
        <v/>
      </c>
      <c r="AL654" s="56">
        <f t="shared" si="661"/>
        <v>0.30328559393428817</v>
      </c>
      <c r="AM654" s="56" t="str">
        <f t="shared" si="662"/>
        <v/>
      </c>
      <c r="AN654" s="56">
        <f t="shared" si="663"/>
        <v>0.23307005049851093</v>
      </c>
      <c r="AO654" s="56">
        <f t="shared" si="664"/>
        <v>0.26779736665922788</v>
      </c>
      <c r="AP654" s="56">
        <f t="shared" si="665"/>
        <v>0.3183868400106129</v>
      </c>
      <c r="AQ654" s="256">
        <f t="shared" si="666"/>
        <v>0.30209033194429119</v>
      </c>
    </row>
    <row r="655" spans="1:43" ht="15.5">
      <c r="A655" s="10" t="s">
        <v>19</v>
      </c>
      <c r="J655" s="147">
        <v>32488.9</v>
      </c>
      <c r="K655" s="147">
        <v>364.89</v>
      </c>
      <c r="L655" s="147">
        <v>0</v>
      </c>
      <c r="M655" s="147">
        <v>1683.43</v>
      </c>
      <c r="N655" s="147">
        <v>4414.3999999999996</v>
      </c>
      <c r="O655" s="147">
        <v>8.3000000000000007</v>
      </c>
      <c r="P655" s="179">
        <f>SUM(J655:O655)</f>
        <v>38959.920000000006</v>
      </c>
      <c r="Q655" s="2"/>
      <c r="R655" s="171">
        <v>9.2873000000000001</v>
      </c>
      <c r="S655" s="171">
        <v>9.3360000000000003</v>
      </c>
      <c r="T655" s="171">
        <v>0</v>
      </c>
      <c r="U655" s="171">
        <v>10.367000000000001</v>
      </c>
      <c r="V655" s="171">
        <v>13.366</v>
      </c>
      <c r="W655" s="171">
        <v>9.2739999999999991</v>
      </c>
      <c r="X655" s="206">
        <v>9.7970000000000006</v>
      </c>
      <c r="Z655" s="169">
        <f>AA655*AB655</f>
        <v>0</v>
      </c>
      <c r="AA655" s="185"/>
      <c r="AB655" s="184">
        <v>101</v>
      </c>
      <c r="AC655" s="186" t="s">
        <v>60</v>
      </c>
      <c r="AJ655" s="10" t="s">
        <v>19</v>
      </c>
      <c r="AK655" s="56">
        <f t="shared" si="667"/>
        <v>0.38762611307915107</v>
      </c>
      <c r="AL655" s="56">
        <f t="shared" si="661"/>
        <v>0.38560411311053983</v>
      </c>
      <c r="AM655" s="56" t="str">
        <f t="shared" si="662"/>
        <v/>
      </c>
      <c r="AN655" s="56">
        <f t="shared" si="663"/>
        <v>0.3472557152503134</v>
      </c>
      <c r="AO655" s="56">
        <f t="shared" si="664"/>
        <v>0.26934011671405056</v>
      </c>
      <c r="AP655" s="56">
        <f t="shared" si="665"/>
        <v>0.38818201423334059</v>
      </c>
      <c r="AQ655" s="256">
        <f t="shared" si="666"/>
        <v>0.36747636980332687</v>
      </c>
    </row>
    <row r="656" spans="1:43" ht="15.5">
      <c r="A656" s="10" t="s">
        <v>20</v>
      </c>
      <c r="J656" s="147">
        <v>0</v>
      </c>
      <c r="K656" s="147">
        <v>52388.58</v>
      </c>
      <c r="L656" s="147">
        <v>0</v>
      </c>
      <c r="M656" s="147">
        <v>2.8</v>
      </c>
      <c r="N656" s="147">
        <v>1975.3</v>
      </c>
      <c r="O656" s="147">
        <v>11</v>
      </c>
      <c r="P656" s="179">
        <f>SUM(J656:O656)</f>
        <v>54377.680000000008</v>
      </c>
      <c r="Q656" s="2"/>
      <c r="R656" s="171">
        <v>0</v>
      </c>
      <c r="S656" s="171">
        <v>6.7007500000000002</v>
      </c>
      <c r="T656" s="171">
        <v>0</v>
      </c>
      <c r="U656" s="171">
        <v>8.8170000000000002</v>
      </c>
      <c r="V656" s="171">
        <v>7.65</v>
      </c>
      <c r="W656" s="171">
        <v>9.3179999999999996</v>
      </c>
      <c r="X656" s="206">
        <v>6.7359999999999998</v>
      </c>
      <c r="Z656" s="169">
        <f>AA656*AB656</f>
        <v>393.90751245892625</v>
      </c>
      <c r="AA656" s="185">
        <v>4.0989335323509497</v>
      </c>
      <c r="AB656" s="184">
        <v>96.1</v>
      </c>
      <c r="AC656" s="186" t="s">
        <v>61</v>
      </c>
      <c r="AJ656" s="10" t="s">
        <v>20</v>
      </c>
      <c r="AK656" s="56" t="str">
        <f t="shared" si="667"/>
        <v/>
      </c>
      <c r="AL656" s="56">
        <f t="shared" si="661"/>
        <v>0.5372532925418797</v>
      </c>
      <c r="AM656" s="56" t="str">
        <f t="shared" si="662"/>
        <v/>
      </c>
      <c r="AN656" s="56">
        <f t="shared" si="663"/>
        <v>0.40830214358625383</v>
      </c>
      <c r="AO656" s="56">
        <f t="shared" si="664"/>
        <v>0.47058823529411764</v>
      </c>
      <c r="AP656" s="56">
        <f t="shared" si="665"/>
        <v>0.38634900193174504</v>
      </c>
      <c r="AQ656" s="256">
        <f t="shared" si="666"/>
        <v>0.53445208379817011</v>
      </c>
    </row>
    <row r="657" spans="1:43" ht="15.5">
      <c r="A657" s="10" t="s">
        <v>22</v>
      </c>
      <c r="J657" s="147">
        <v>0</v>
      </c>
      <c r="K657" s="147">
        <v>0</v>
      </c>
      <c r="L657" s="147">
        <v>0</v>
      </c>
      <c r="M657" s="147">
        <v>0</v>
      </c>
      <c r="N657" s="147">
        <v>0</v>
      </c>
      <c r="O657" s="147">
        <v>0</v>
      </c>
      <c r="P657" s="179">
        <f>SUM(J657:O657)</f>
        <v>0</v>
      </c>
      <c r="Q657" s="2"/>
      <c r="R657" s="171">
        <v>0</v>
      </c>
      <c r="S657" s="171">
        <v>0</v>
      </c>
      <c r="T657" s="171">
        <v>0</v>
      </c>
      <c r="U657" s="171">
        <v>0</v>
      </c>
      <c r="V657" s="171">
        <v>0</v>
      </c>
      <c r="W657" s="171">
        <v>0</v>
      </c>
      <c r="X657" s="206">
        <v>0</v>
      </c>
      <c r="Z657" s="169"/>
      <c r="AA657" s="179" t="s">
        <v>213</v>
      </c>
      <c r="AJ657" s="10" t="s">
        <v>22</v>
      </c>
      <c r="AK657" s="56" t="str">
        <f t="shared" si="667"/>
        <v/>
      </c>
      <c r="AL657" s="56" t="str">
        <f t="shared" si="661"/>
        <v/>
      </c>
      <c r="AM657" s="56" t="str">
        <f t="shared" si="662"/>
        <v/>
      </c>
      <c r="AN657" s="56" t="str">
        <f t="shared" si="663"/>
        <v/>
      </c>
      <c r="AO657" s="56" t="str">
        <f t="shared" si="664"/>
        <v/>
      </c>
      <c r="AP657" s="56" t="str">
        <f t="shared" si="665"/>
        <v/>
      </c>
      <c r="AQ657" s="256" t="str">
        <f t="shared" si="666"/>
        <v/>
      </c>
    </row>
    <row r="658" spans="1:43" ht="15.5">
      <c r="A658" s="11" t="s">
        <v>23</v>
      </c>
      <c r="J658" s="179">
        <f t="shared" ref="J658:P658" si="668">SUM(J659:J663)</f>
        <v>138.5</v>
      </c>
      <c r="K658" s="179">
        <f t="shared" si="668"/>
        <v>86780.49</v>
      </c>
      <c r="L658" s="179">
        <f t="shared" si="668"/>
        <v>2470.4</v>
      </c>
      <c r="M658" s="179">
        <f t="shared" si="668"/>
        <v>2166.56</v>
      </c>
      <c r="N658" s="179">
        <f t="shared" si="668"/>
        <v>13221.92</v>
      </c>
      <c r="O658" s="179">
        <f t="shared" si="668"/>
        <v>5350.3</v>
      </c>
      <c r="P658" s="179">
        <f t="shared" si="668"/>
        <v>110128.17</v>
      </c>
      <c r="Q658" s="2"/>
      <c r="R658" s="206">
        <v>4.4539999999999997</v>
      </c>
      <c r="S658" s="206">
        <v>6.15</v>
      </c>
      <c r="T658" s="206">
        <v>8.4920000000000009</v>
      </c>
      <c r="U658" s="206">
        <v>6.2619999999999996</v>
      </c>
      <c r="V658" s="206">
        <v>8.0139999999999993</v>
      </c>
      <c r="W658" s="206">
        <v>7.0469999999999997</v>
      </c>
      <c r="X658" s="206">
        <v>6.47</v>
      </c>
      <c r="Z658" s="169">
        <f>AA658*AB658</f>
        <v>7156.7772069901894</v>
      </c>
      <c r="AA658" s="207">
        <v>35.917250958634099</v>
      </c>
      <c r="AB658" s="184">
        <v>199.2573767750948</v>
      </c>
      <c r="AC658" s="186" t="s">
        <v>140</v>
      </c>
      <c r="AJ658" s="11" t="s">
        <v>23</v>
      </c>
      <c r="AK658" s="256">
        <f t="shared" si="667"/>
        <v>0.80825516093452854</v>
      </c>
      <c r="AL658" s="256">
        <f t="shared" si="661"/>
        <v>0.58539223377480842</v>
      </c>
      <c r="AM658" s="256">
        <f t="shared" si="662"/>
        <v>0.42393776156024493</v>
      </c>
      <c r="AN658" s="256">
        <f t="shared" si="663"/>
        <v>0.57490969168793682</v>
      </c>
      <c r="AO658" s="256">
        <f t="shared" si="664"/>
        <v>0.44921732411086407</v>
      </c>
      <c r="AP658" s="256">
        <f t="shared" si="665"/>
        <v>0.51083861447235146</v>
      </c>
      <c r="AQ658" s="256">
        <f>IFERROR(P658*3.6/P675,"")</f>
        <v>0.5564353680372448</v>
      </c>
    </row>
    <row r="659" spans="1:43" ht="15.5">
      <c r="A659" s="10" t="s">
        <v>24</v>
      </c>
      <c r="J659" s="147">
        <v>0</v>
      </c>
      <c r="K659" s="147">
        <v>9046.64</v>
      </c>
      <c r="L659" s="147">
        <v>135.69999999999999</v>
      </c>
      <c r="M659" s="147">
        <v>36.700000000000003</v>
      </c>
      <c r="N659" s="147">
        <v>1737.64</v>
      </c>
      <c r="O659" s="147">
        <v>5314.2</v>
      </c>
      <c r="P659" s="179">
        <f>SUM(J659:O659)</f>
        <v>16270.880000000001</v>
      </c>
      <c r="Q659" s="2"/>
      <c r="R659" s="171">
        <v>0</v>
      </c>
      <c r="S659" s="171">
        <v>5.6660000000000004</v>
      </c>
      <c r="T659" s="171">
        <v>6.7009999999999996</v>
      </c>
      <c r="U659" s="171">
        <v>6.8769999999999998</v>
      </c>
      <c r="V659" s="171">
        <v>7.5449999999999999</v>
      </c>
      <c r="W659" s="171">
        <v>7.0419999999999998</v>
      </c>
      <c r="X659" s="206">
        <v>6.327</v>
      </c>
      <c r="Z659" s="169">
        <f>AA659*AB659</f>
        <v>73742.339026444461</v>
      </c>
      <c r="AA659" s="207">
        <v>295.05563719749802</v>
      </c>
      <c r="AB659" s="184">
        <v>249.92689421854496</v>
      </c>
      <c r="AC659" s="186" t="s">
        <v>141</v>
      </c>
      <c r="AJ659" s="10" t="s">
        <v>24</v>
      </c>
      <c r="AK659" s="56" t="str">
        <f t="shared" si="667"/>
        <v/>
      </c>
      <c r="AL659" s="56">
        <f t="shared" si="661"/>
        <v>0.63536886692552053</v>
      </c>
      <c r="AM659" s="56">
        <f t="shared" si="662"/>
        <v>0.53723324876884049</v>
      </c>
      <c r="AN659" s="56">
        <f t="shared" si="663"/>
        <v>0.52348407735931368</v>
      </c>
      <c r="AO659" s="56">
        <f t="shared" si="664"/>
        <v>0.47713717693836982</v>
      </c>
      <c r="AP659" s="56">
        <f t="shared" si="665"/>
        <v>0.51121840386253914</v>
      </c>
      <c r="AQ659" s="256">
        <f t="shared" ref="AQ659:AQ664" si="669">IFERROR(P659*3.6/P676,"")</f>
        <v>0.56895021577251936</v>
      </c>
    </row>
    <row r="660" spans="1:43" ht="15.5">
      <c r="A660" s="10" t="s">
        <v>25</v>
      </c>
      <c r="J660" s="147">
        <v>0</v>
      </c>
      <c r="K660" s="147">
        <v>4530.91</v>
      </c>
      <c r="L660" s="147">
        <v>0</v>
      </c>
      <c r="M660" s="147">
        <v>426.72</v>
      </c>
      <c r="N660" s="147">
        <v>14.64</v>
      </c>
      <c r="O660" s="147">
        <v>4</v>
      </c>
      <c r="P660" s="179">
        <f>SUM(J660:O660)</f>
        <v>4976.2700000000004</v>
      </c>
      <c r="Q660" s="2"/>
      <c r="R660" s="171">
        <v>0</v>
      </c>
      <c r="S660" s="171">
        <v>6.0810000000000004</v>
      </c>
      <c r="T660" s="171">
        <v>4.8730000000000002</v>
      </c>
      <c r="U660" s="171">
        <v>5.024</v>
      </c>
      <c r="V660" s="171">
        <v>8.9939999999999998</v>
      </c>
      <c r="W660" s="171">
        <v>7.3049999999999997</v>
      </c>
      <c r="X660" s="206">
        <v>6</v>
      </c>
      <c r="Z660" s="169">
        <f>AA660*AB660</f>
        <v>7451.8775522484866</v>
      </c>
      <c r="AA660" s="207">
        <v>169.83456190913699</v>
      </c>
      <c r="AB660" s="184">
        <v>43.8772736743379</v>
      </c>
      <c r="AC660" s="186" t="s">
        <v>142</v>
      </c>
      <c r="AJ660" s="10" t="s">
        <v>25</v>
      </c>
      <c r="AK660" s="56" t="str">
        <f t="shared" si="667"/>
        <v/>
      </c>
      <c r="AL660" s="56">
        <f t="shared" si="661"/>
        <v>0.59200789343857918</v>
      </c>
      <c r="AM660" s="56" t="str">
        <f t="shared" si="662"/>
        <v/>
      </c>
      <c r="AN660" s="56">
        <f t="shared" si="663"/>
        <v>0.71656050955414019</v>
      </c>
      <c r="AO660" s="56">
        <f t="shared" si="664"/>
        <v>0.40026684456304207</v>
      </c>
      <c r="AP660" s="56">
        <f t="shared" si="665"/>
        <v>0.49281314168377827</v>
      </c>
      <c r="AQ660" s="256">
        <f t="shared" si="669"/>
        <v>0.60000849744866303</v>
      </c>
    </row>
    <row r="661" spans="1:43" ht="15.5">
      <c r="A661" s="10" t="s">
        <v>26</v>
      </c>
      <c r="J661" s="147">
        <v>125.7</v>
      </c>
      <c r="K661" s="147">
        <v>71685.539999999994</v>
      </c>
      <c r="L661" s="147">
        <v>1326.6</v>
      </c>
      <c r="M661" s="147">
        <v>1354.84</v>
      </c>
      <c r="N661" s="147">
        <v>7092.6</v>
      </c>
      <c r="O661" s="147">
        <v>26.8</v>
      </c>
      <c r="P661" s="179">
        <f>SUM(J661:O661)</f>
        <v>81612.08</v>
      </c>
      <c r="Q661" s="2"/>
      <c r="R661" s="171">
        <v>4.3959999999999999</v>
      </c>
      <c r="S661" s="171">
        <v>6.1947999999999999</v>
      </c>
      <c r="T661" s="171">
        <v>8.1110000000000007</v>
      </c>
      <c r="U661" s="171">
        <v>6.4809999999999999</v>
      </c>
      <c r="V661" s="171">
        <v>6.1379999999999999</v>
      </c>
      <c r="W661" s="171">
        <v>7.46</v>
      </c>
      <c r="X661" s="206">
        <v>6.2229999999999999</v>
      </c>
      <c r="Z661" s="169">
        <f>AA661*AB661</f>
        <v>400.59811018394106</v>
      </c>
      <c r="AA661" s="207">
        <v>7.1407862777886102</v>
      </c>
      <c r="AB661" s="184">
        <v>56.1</v>
      </c>
      <c r="AC661" s="187" t="s">
        <v>196</v>
      </c>
      <c r="AJ661" s="10" t="s">
        <v>26</v>
      </c>
      <c r="AK661" s="56">
        <f>IFERROR(J661*3.6/J678,"")</f>
        <v>0.81892629663330319</v>
      </c>
      <c r="AL661" s="56">
        <f t="shared" si="661"/>
        <v>0.58113256279460201</v>
      </c>
      <c r="AM661" s="56">
        <f t="shared" si="662"/>
        <v>0.44384169646159533</v>
      </c>
      <c r="AN661" s="56">
        <f t="shared" si="663"/>
        <v>0.55546983490202129</v>
      </c>
      <c r="AO661" s="56">
        <f t="shared" si="664"/>
        <v>0.5865102639296188</v>
      </c>
      <c r="AP661" s="56">
        <f t="shared" si="665"/>
        <v>0.482573726541555</v>
      </c>
      <c r="AQ661" s="256">
        <f t="shared" si="669"/>
        <v>0.57846122881918682</v>
      </c>
    </row>
    <row r="662" spans="1:43" ht="15.5">
      <c r="A662" s="10" t="s">
        <v>27</v>
      </c>
      <c r="J662" s="147">
        <v>12.8</v>
      </c>
      <c r="K662" s="147">
        <v>690.1</v>
      </c>
      <c r="L662" s="147">
        <v>0</v>
      </c>
      <c r="M662" s="147">
        <v>114.1</v>
      </c>
      <c r="N662" s="147">
        <v>642.4</v>
      </c>
      <c r="O662" s="147">
        <v>0</v>
      </c>
      <c r="P662" s="179">
        <f>SUM(J662:O662)</f>
        <v>1459.4</v>
      </c>
      <c r="Q662" s="2"/>
      <c r="R662" s="171">
        <v>5.024</v>
      </c>
      <c r="S662" s="171">
        <v>4.9530000000000003</v>
      </c>
      <c r="T662" s="171">
        <v>0</v>
      </c>
      <c r="U662" s="171">
        <v>4.8150000000000004</v>
      </c>
      <c r="V662" s="171">
        <v>5.851</v>
      </c>
      <c r="W662" s="171">
        <v>0</v>
      </c>
      <c r="X662" s="206">
        <v>5.3380000000000001</v>
      </c>
      <c r="AA662" s="179" t="s">
        <v>214</v>
      </c>
      <c r="AJ662" s="10" t="s">
        <v>27</v>
      </c>
      <c r="AK662" s="56">
        <f>IFERROR(J662*3.6/J679,"")</f>
        <v>0.71656050955414008</v>
      </c>
      <c r="AL662" s="56">
        <f t="shared" si="661"/>
        <v>0.72683222289521499</v>
      </c>
      <c r="AM662" s="56" t="str">
        <f t="shared" si="662"/>
        <v/>
      </c>
      <c r="AN662" s="56">
        <f t="shared" si="663"/>
        <v>0.74766355140186902</v>
      </c>
      <c r="AO662" s="56">
        <f t="shared" si="664"/>
        <v>0.61527943941206631</v>
      </c>
      <c r="AP662" s="56" t="str">
        <f>IFERROR(O662*3.6/O679,"")</f>
        <v/>
      </c>
      <c r="AQ662" s="256">
        <f t="shared" si="669"/>
        <v>0.67439524389770522</v>
      </c>
    </row>
    <row r="663" spans="1:43" ht="15.5">
      <c r="A663" s="10" t="s">
        <v>28</v>
      </c>
      <c r="J663" s="147">
        <v>0</v>
      </c>
      <c r="K663" s="147">
        <v>827.3</v>
      </c>
      <c r="L663" s="147">
        <v>1008.1</v>
      </c>
      <c r="M663" s="147">
        <v>234.2</v>
      </c>
      <c r="N663" s="147">
        <v>3734.64</v>
      </c>
      <c r="O663" s="147">
        <v>5.3</v>
      </c>
      <c r="P663" s="179">
        <f>SUM(J663:O663)</f>
        <v>5809.54</v>
      </c>
      <c r="Q663" s="2"/>
      <c r="R663" s="171">
        <v>0</v>
      </c>
      <c r="S663" s="171">
        <v>8.9079999999999995</v>
      </c>
      <c r="T663" s="171">
        <v>9.234</v>
      </c>
      <c r="U663" s="171">
        <v>7.8579999999999997</v>
      </c>
      <c r="V663" s="171">
        <v>12.163</v>
      </c>
      <c r="W663" s="171">
        <v>10.015000000000001</v>
      </c>
      <c r="X663" s="206">
        <v>11.016</v>
      </c>
      <c r="Z663" s="169">
        <f t="shared" ref="Z663:Z669" si="670">AA663*AB663</f>
        <v>1.17837252623366</v>
      </c>
      <c r="AA663" s="207">
        <v>1.6480734632638602E-2</v>
      </c>
      <c r="AB663" s="184">
        <v>71.5</v>
      </c>
      <c r="AC663" s="186" t="s">
        <v>65</v>
      </c>
      <c r="AJ663" s="10" t="s">
        <v>28</v>
      </c>
      <c r="AK663" s="56" t="str">
        <f>IFERROR(J663*3.6/J680,"")</f>
        <v/>
      </c>
      <c r="AL663" s="56">
        <f t="shared" si="661"/>
        <v>0.40413111809609342</v>
      </c>
      <c r="AM663" s="56">
        <f t="shared" si="662"/>
        <v>0.38986354775828458</v>
      </c>
      <c r="AN663" s="56">
        <f t="shared" si="663"/>
        <v>0.45813184016289132</v>
      </c>
      <c r="AO663" s="56">
        <f t="shared" si="664"/>
        <v>0.29597961029351311</v>
      </c>
      <c r="AP663" s="56">
        <f>IFERROR(O663*3.6/O680,"")</f>
        <v>0.35946080878681974</v>
      </c>
      <c r="AQ663" s="256">
        <f t="shared" si="669"/>
        <v>0.32680585946523932</v>
      </c>
    </row>
    <row r="664" spans="1:43" ht="15.5">
      <c r="A664" s="11" t="s">
        <v>9</v>
      </c>
      <c r="J664" s="179">
        <f t="shared" ref="J664:O664" si="671">J652+J658</f>
        <v>32627.4</v>
      </c>
      <c r="K664" s="179">
        <f t="shared" si="671"/>
        <v>140349.33000000002</v>
      </c>
      <c r="L664" s="179">
        <f t="shared" si="671"/>
        <v>2501.3000000000002</v>
      </c>
      <c r="M664" s="179">
        <f t="shared" si="671"/>
        <v>4082.5299999999997</v>
      </c>
      <c r="N664" s="179">
        <f t="shared" si="671"/>
        <v>20878.32</v>
      </c>
      <c r="O664" s="179">
        <f t="shared" si="671"/>
        <v>8384.7000000000007</v>
      </c>
      <c r="P664" s="785">
        <f>P652+P658+'3'!$AC$27*1000</f>
        <v>209484.573172</v>
      </c>
      <c r="Q664" s="2"/>
      <c r="R664" s="206">
        <v>9.2669999999999995</v>
      </c>
      <c r="S664" s="206">
        <v>6.3929999999999998</v>
      </c>
      <c r="T664" s="206">
        <v>8.5020000000000007</v>
      </c>
      <c r="U664" s="206">
        <v>8.1539999999999999</v>
      </c>
      <c r="V664" s="206">
        <v>9.1630000000000003</v>
      </c>
      <c r="W664" s="206">
        <v>8.0589999999999993</v>
      </c>
      <c r="X664" s="206">
        <v>7.2450000000000001</v>
      </c>
      <c r="Z664" s="169">
        <f t="shared" si="670"/>
        <v>0</v>
      </c>
      <c r="AA664" s="207">
        <v>0</v>
      </c>
      <c r="AB664" s="184">
        <v>96.727224199727431</v>
      </c>
      <c r="AC664" s="186" t="s">
        <v>66</v>
      </c>
      <c r="AJ664" s="11" t="s">
        <v>9</v>
      </c>
      <c r="AK664" s="256">
        <f>IFERROR(J664*3.6/J681,"")</f>
        <v>0.38848431913394182</v>
      </c>
      <c r="AL664" s="256">
        <f t="shared" si="661"/>
        <v>0.56313217324516673</v>
      </c>
      <c r="AM664" s="256">
        <f t="shared" si="662"/>
        <v>0.42341776524048841</v>
      </c>
      <c r="AN664" s="256">
        <f t="shared" si="663"/>
        <v>0.44148361851354934</v>
      </c>
      <c r="AO664" s="256">
        <f t="shared" si="664"/>
        <v>0.39289589491983606</v>
      </c>
      <c r="AP664" s="256">
        <f>IFERROR(O664*3.6/O681,"")</f>
        <v>0.44671199153562824</v>
      </c>
      <c r="AQ664" s="256">
        <f t="shared" si="669"/>
        <v>0.49844013564304873</v>
      </c>
    </row>
    <row r="665" spans="1:43">
      <c r="J665" s="147">
        <f t="shared" ref="J665:P665" si="672">J658/11.63</f>
        <v>11.908856405846947</v>
      </c>
      <c r="K665" s="147">
        <f t="shared" si="672"/>
        <v>7461.7790197764398</v>
      </c>
      <c r="L665" s="147">
        <f t="shared" si="672"/>
        <v>212.41616509028376</v>
      </c>
      <c r="M665" s="147">
        <f t="shared" si="672"/>
        <v>186.29062768701633</v>
      </c>
      <c r="N665" s="147">
        <f t="shared" si="672"/>
        <v>1136.8804815133276</v>
      </c>
      <c r="O665" s="147">
        <f t="shared" si="672"/>
        <v>460.04299226139295</v>
      </c>
      <c r="P665" s="147">
        <f t="shared" si="672"/>
        <v>9469.3181427343079</v>
      </c>
      <c r="Z665" s="169">
        <f t="shared" si="670"/>
        <v>131.3427714811971</v>
      </c>
      <c r="AA665" s="207">
        <v>2.0815019252170699</v>
      </c>
      <c r="AB665" s="184">
        <v>63.1</v>
      </c>
      <c r="AC665" s="186" t="s">
        <v>68</v>
      </c>
    </row>
    <row r="666" spans="1:43">
      <c r="Z666" s="169">
        <f t="shared" si="670"/>
        <v>16186.493273938215</v>
      </c>
      <c r="AA666" s="207">
        <v>278.45486079719302</v>
      </c>
      <c r="AB666" s="184">
        <v>58.12968474530355</v>
      </c>
      <c r="AC666" s="186" t="s">
        <v>69</v>
      </c>
    </row>
    <row r="667" spans="1:43">
      <c r="A667" s="68" t="str">
        <f>$A$650</f>
        <v>Dati 2017 lorda</v>
      </c>
      <c r="J667" s="68" t="s">
        <v>165</v>
      </c>
      <c r="Z667" s="169">
        <f t="shared" si="670"/>
        <v>7911.0232371769162</v>
      </c>
      <c r="AA667" s="207">
        <v>106.76144719537</v>
      </c>
      <c r="AB667" s="184">
        <v>74.099999999999994</v>
      </c>
      <c r="AC667" s="186" t="s">
        <v>70</v>
      </c>
    </row>
    <row r="668" spans="1:43">
      <c r="J668" s="180" t="s">
        <v>5</v>
      </c>
      <c r="K668" s="180" t="s">
        <v>186</v>
      </c>
      <c r="L668" s="180" t="s">
        <v>187</v>
      </c>
      <c r="M668" s="180" t="s">
        <v>190</v>
      </c>
      <c r="N668" s="180" t="s">
        <v>192</v>
      </c>
      <c r="O668" s="180" t="s">
        <v>191</v>
      </c>
      <c r="P668" s="180" t="s">
        <v>189</v>
      </c>
      <c r="R668" s="68" t="s">
        <v>210</v>
      </c>
      <c r="Z668" s="169">
        <f t="shared" si="670"/>
        <v>0</v>
      </c>
      <c r="AA668" s="207">
        <v>0</v>
      </c>
      <c r="AB668" s="184">
        <v>74.099999999999994</v>
      </c>
      <c r="AC668" s="186" t="s">
        <v>71</v>
      </c>
      <c r="AJ668" s="68"/>
    </row>
    <row r="669" spans="1:43">
      <c r="A669" s="11" t="s">
        <v>16</v>
      </c>
      <c r="J669" s="179">
        <f t="shared" ref="J669:O669" si="673">SUM(J670:J674)</f>
        <v>301734.16097000003</v>
      </c>
      <c r="K669" s="179">
        <f t="shared" si="673"/>
        <v>363551.38804499997</v>
      </c>
      <c r="L669" s="179">
        <f t="shared" si="673"/>
        <v>288.48239999999998</v>
      </c>
      <c r="M669" s="179">
        <f t="shared" si="673"/>
        <v>19723.587730000003</v>
      </c>
      <c r="N669" s="179">
        <f t="shared" si="673"/>
        <v>85342.808499999985</v>
      </c>
      <c r="O669" s="179">
        <f t="shared" si="673"/>
        <v>29866.498499999998</v>
      </c>
      <c r="P669" s="182">
        <f t="shared" ref="P669:P680" si="674">SUM(J669:O669)</f>
        <v>800506.92614499992</v>
      </c>
      <c r="Q669" s="172"/>
      <c r="R669" s="179">
        <f t="shared" ref="R669:W669" si="675">SUM(R670:R674)</f>
        <v>28.329227493819598</v>
      </c>
      <c r="S669" s="179">
        <f t="shared" si="675"/>
        <v>21.083199784953262</v>
      </c>
      <c r="T669" s="179">
        <f t="shared" si="675"/>
        <v>5.040556431862421E-2</v>
      </c>
      <c r="U669" s="179">
        <f t="shared" si="675"/>
        <v>1.3767349274736067</v>
      </c>
      <c r="V669" s="179">
        <f t="shared" si="675"/>
        <v>3.4688310858678104</v>
      </c>
      <c r="W669" s="179">
        <f t="shared" si="675"/>
        <v>3.2003514780731629E-2</v>
      </c>
      <c r="X669" s="190">
        <f t="shared" ref="X669:X680" si="676">SUM(R669:W669)</f>
        <v>54.340402371213635</v>
      </c>
      <c r="Z669" s="169">
        <f t="shared" si="670"/>
        <v>31275.521468612533</v>
      </c>
      <c r="AA669" s="205">
        <v>407.82949971395999</v>
      </c>
      <c r="AB669" s="184">
        <v>76.687737131689332</v>
      </c>
      <c r="AC669" s="203" t="s">
        <v>72</v>
      </c>
      <c r="AJ669" s="68"/>
    </row>
    <row r="670" spans="1:43">
      <c r="A670" s="10" t="s">
        <v>17</v>
      </c>
      <c r="J670" s="167">
        <f t="shared" ref="J670:O674" si="677">IFERROR(J653*R653,"")</f>
        <v>0</v>
      </c>
      <c r="K670" s="167">
        <f t="shared" si="677"/>
        <v>2686.4999699999998</v>
      </c>
      <c r="L670" s="167">
        <f t="shared" si="677"/>
        <v>288.48239999999998</v>
      </c>
      <c r="M670" s="167">
        <f t="shared" si="677"/>
        <v>2125.9935999999998</v>
      </c>
      <c r="N670" s="167">
        <f t="shared" si="677"/>
        <v>11071.609999999999</v>
      </c>
      <c r="O670" s="167">
        <f t="shared" si="677"/>
        <v>29315.025999999998</v>
      </c>
      <c r="P670" s="182">
        <f t="shared" si="674"/>
        <v>45487.611969999998</v>
      </c>
      <c r="Q670" s="172"/>
      <c r="R670" s="181">
        <f t="shared" ref="R670:W674" si="678">J670*J$684/1000000</f>
        <v>0</v>
      </c>
      <c r="S670" s="181">
        <f t="shared" si="678"/>
        <v>0.15579644983440444</v>
      </c>
      <c r="T670" s="181">
        <f t="shared" si="678"/>
        <v>5.040556431862421E-2</v>
      </c>
      <c r="U670" s="181">
        <f t="shared" si="678"/>
        <v>0.14839742570026587</v>
      </c>
      <c r="V670" s="181">
        <f t="shared" si="678"/>
        <v>0.45001501138323691</v>
      </c>
      <c r="W670" s="181">
        <f t="shared" si="678"/>
        <v>3.1412583161984392E-2</v>
      </c>
      <c r="X670" s="190">
        <f t="shared" si="676"/>
        <v>0.83602703439851578</v>
      </c>
      <c r="Z670" s="169"/>
      <c r="AA670" s="179" t="s">
        <v>215</v>
      </c>
      <c r="AJ670" s="68"/>
    </row>
    <row r="671" spans="1:43">
      <c r="A671" s="10" t="s">
        <v>18</v>
      </c>
      <c r="J671" s="167">
        <f t="shared" si="677"/>
        <v>0</v>
      </c>
      <c r="K671" s="167">
        <f t="shared" si="677"/>
        <v>6415.4975999999997</v>
      </c>
      <c r="L671" s="167">
        <f t="shared" si="677"/>
        <v>0</v>
      </c>
      <c r="M671" s="167">
        <f t="shared" si="677"/>
        <v>120.78772000000001</v>
      </c>
      <c r="N671" s="167">
        <f t="shared" si="677"/>
        <v>157.28309999999999</v>
      </c>
      <c r="O671" s="167">
        <f t="shared" si="677"/>
        <v>372.00029999999998</v>
      </c>
      <c r="P671" s="182">
        <f t="shared" si="674"/>
        <v>7065.5687199999993</v>
      </c>
      <c r="Q671" s="172"/>
      <c r="R671" s="181">
        <f t="shared" si="678"/>
        <v>0</v>
      </c>
      <c r="S671" s="181">
        <f t="shared" si="678"/>
        <v>0.37204979012195633</v>
      </c>
      <c r="T671" s="181">
        <f t="shared" si="678"/>
        <v>0</v>
      </c>
      <c r="U671" s="181">
        <f t="shared" si="678"/>
        <v>8.4311574146810793E-3</v>
      </c>
      <c r="V671" s="181">
        <f t="shared" si="678"/>
        <v>6.3929054615264437E-3</v>
      </c>
      <c r="W671" s="181">
        <f t="shared" si="678"/>
        <v>3.9861777233399492E-4</v>
      </c>
      <c r="X671" s="190">
        <f t="shared" si="676"/>
        <v>0.38727247077049787</v>
      </c>
      <c r="Z671" s="169">
        <f t="shared" ref="Z671:Z686" si="679">AA671*AB671</f>
        <v>9.3134489061872617E-5</v>
      </c>
      <c r="AA671" s="202">
        <v>1.4759823940074899E-6</v>
      </c>
      <c r="AB671" s="184">
        <v>63.1</v>
      </c>
      <c r="AC671" s="187" t="s">
        <v>195</v>
      </c>
      <c r="AJ671" s="68"/>
    </row>
    <row r="672" spans="1:43">
      <c r="A672" s="10" t="s">
        <v>19</v>
      </c>
      <c r="J672" s="167">
        <f t="shared" si="677"/>
        <v>301734.16097000003</v>
      </c>
      <c r="K672" s="167">
        <f t="shared" si="677"/>
        <v>3406.6130400000002</v>
      </c>
      <c r="L672" s="167">
        <f t="shared" si="677"/>
        <v>0</v>
      </c>
      <c r="M672" s="167">
        <f t="shared" si="677"/>
        <v>17452.118810000004</v>
      </c>
      <c r="N672" s="167">
        <f t="shared" si="677"/>
        <v>59002.870399999993</v>
      </c>
      <c r="O672" s="167">
        <f t="shared" si="677"/>
        <v>76.974199999999996</v>
      </c>
      <c r="P672" s="182">
        <f t="shared" si="674"/>
        <v>381672.73742000008</v>
      </c>
      <c r="Q672" s="172"/>
      <c r="R672" s="181">
        <f t="shared" si="678"/>
        <v>28.329227493819598</v>
      </c>
      <c r="S672" s="181">
        <f t="shared" si="678"/>
        <v>0.19755749991375879</v>
      </c>
      <c r="T672" s="181">
        <f t="shared" si="678"/>
        <v>0</v>
      </c>
      <c r="U672" s="181">
        <f t="shared" si="678"/>
        <v>1.218183114200903</v>
      </c>
      <c r="V672" s="181">
        <f t="shared" si="678"/>
        <v>2.3982218841432865</v>
      </c>
      <c r="W672" s="181">
        <f t="shared" si="678"/>
        <v>8.2481880071578952E-5</v>
      </c>
      <c r="X672" s="190">
        <f t="shared" si="676"/>
        <v>32.143272473957623</v>
      </c>
      <c r="Z672" s="169">
        <f t="shared" si="679"/>
        <v>566.29404841252904</v>
      </c>
      <c r="AA672" s="207">
        <v>5.9873413447231796</v>
      </c>
      <c r="AB672" s="184">
        <v>94.581887987999991</v>
      </c>
      <c r="AC672" s="187" t="s">
        <v>198</v>
      </c>
      <c r="AJ672" s="68"/>
      <c r="AQ672" s="252"/>
    </row>
    <row r="673" spans="1:43">
      <c r="A673" s="10" t="s">
        <v>20</v>
      </c>
      <c r="J673" s="167">
        <f t="shared" si="677"/>
        <v>0</v>
      </c>
      <c r="K673" s="167">
        <f t="shared" si="677"/>
        <v>351042.777435</v>
      </c>
      <c r="L673" s="167">
        <f t="shared" si="677"/>
        <v>0</v>
      </c>
      <c r="M673" s="167">
        <f t="shared" si="677"/>
        <v>24.6876</v>
      </c>
      <c r="N673" s="167">
        <f t="shared" si="677"/>
        <v>15111.045</v>
      </c>
      <c r="O673" s="167">
        <f t="shared" si="677"/>
        <v>102.49799999999999</v>
      </c>
      <c r="P673" s="182">
        <f t="shared" si="674"/>
        <v>366281.00803500001</v>
      </c>
      <c r="Q673" s="172"/>
      <c r="R673" s="181">
        <f t="shared" si="678"/>
        <v>0</v>
      </c>
      <c r="S673" s="181">
        <f t="shared" si="678"/>
        <v>20.357796045083141</v>
      </c>
      <c r="T673" s="181">
        <f t="shared" si="678"/>
        <v>0</v>
      </c>
      <c r="U673" s="181">
        <f t="shared" si="678"/>
        <v>1.7232301577567704E-3</v>
      </c>
      <c r="V673" s="181">
        <f t="shared" si="678"/>
        <v>0.61420128487976056</v>
      </c>
      <c r="W673" s="181">
        <f t="shared" si="678"/>
        <v>1.0983196634166643E-4</v>
      </c>
      <c r="X673" s="190">
        <f t="shared" si="676"/>
        <v>20.973830392087002</v>
      </c>
      <c r="Z673" s="169">
        <f t="shared" si="679"/>
        <v>4335.517052336686</v>
      </c>
      <c r="AA673" s="207">
        <v>91.094485673278001</v>
      </c>
      <c r="AB673" s="184">
        <v>47.593627872125779</v>
      </c>
      <c r="AC673" s="187" t="s">
        <v>199</v>
      </c>
      <c r="AJ673" s="68" t="s">
        <v>265</v>
      </c>
    </row>
    <row r="674" spans="1:43">
      <c r="A674" s="10" t="s">
        <v>22</v>
      </c>
      <c r="J674" s="167">
        <f t="shared" si="677"/>
        <v>0</v>
      </c>
      <c r="K674" s="167">
        <f t="shared" si="677"/>
        <v>0</v>
      </c>
      <c r="L674" s="167">
        <f t="shared" si="677"/>
        <v>0</v>
      </c>
      <c r="M674" s="167">
        <f t="shared" si="677"/>
        <v>0</v>
      </c>
      <c r="N674" s="167">
        <f t="shared" si="677"/>
        <v>0</v>
      </c>
      <c r="O674" s="167">
        <f t="shared" si="677"/>
        <v>0</v>
      </c>
      <c r="P674" s="182">
        <f t="shared" si="674"/>
        <v>0</v>
      </c>
      <c r="Q674" s="172"/>
      <c r="R674" s="181">
        <f t="shared" si="678"/>
        <v>0</v>
      </c>
      <c r="S674" s="181">
        <f t="shared" si="678"/>
        <v>0</v>
      </c>
      <c r="T674" s="181">
        <f t="shared" si="678"/>
        <v>0</v>
      </c>
      <c r="U674" s="181">
        <f t="shared" si="678"/>
        <v>0</v>
      </c>
      <c r="V674" s="181">
        <f t="shared" si="678"/>
        <v>0</v>
      </c>
      <c r="W674" s="181">
        <f t="shared" si="678"/>
        <v>0</v>
      </c>
      <c r="X674" s="190">
        <f t="shared" si="676"/>
        <v>0</v>
      </c>
      <c r="Z674" s="169">
        <f t="shared" si="679"/>
        <v>88302.388337987388</v>
      </c>
      <c r="AA674" s="207">
        <v>1004.66010939644</v>
      </c>
      <c r="AB674" s="181">
        <v>87.892798282830157</v>
      </c>
      <c r="AC674" s="187" t="s">
        <v>212</v>
      </c>
    </row>
    <row r="675" spans="1:43">
      <c r="A675" s="11" t="s">
        <v>23</v>
      </c>
      <c r="J675" s="179">
        <f t="shared" ref="J675:O675" si="680">SUM(J676:J680)</f>
        <v>616.88439999999991</v>
      </c>
      <c r="K675" s="179">
        <f t="shared" si="680"/>
        <v>533675.96284199995</v>
      </c>
      <c r="L675" s="179">
        <f t="shared" si="680"/>
        <v>20978.173699999999</v>
      </c>
      <c r="M675" s="179">
        <f t="shared" si="680"/>
        <v>13566.680319999999</v>
      </c>
      <c r="N675" s="179">
        <f t="shared" si="680"/>
        <v>105959.65347999999</v>
      </c>
      <c r="O675" s="179">
        <f t="shared" si="680"/>
        <v>37704.823899999996</v>
      </c>
      <c r="P675" s="182">
        <f t="shared" si="674"/>
        <v>712502.17864199996</v>
      </c>
      <c r="Q675" s="172"/>
      <c r="R675" s="179">
        <f t="shared" ref="R675:W675" si="681">SUM(R676:R680)</f>
        <v>5.7918064195342955E-2</v>
      </c>
      <c r="S675" s="179">
        <f t="shared" si="681"/>
        <v>30.949123879104725</v>
      </c>
      <c r="T675" s="179">
        <f t="shared" si="681"/>
        <v>3.665446085177539</v>
      </c>
      <c r="U675" s="179">
        <f t="shared" si="681"/>
        <v>0.9469738924832416</v>
      </c>
      <c r="V675" s="179">
        <f t="shared" si="681"/>
        <v>4.3068202968643261</v>
      </c>
      <c r="W675" s="179">
        <f t="shared" si="681"/>
        <v>4.0402690291549692E-2</v>
      </c>
      <c r="X675" s="190">
        <f t="shared" si="676"/>
        <v>39.966684908116719</v>
      </c>
      <c r="Z675" s="169">
        <f t="shared" si="679"/>
        <v>0</v>
      </c>
      <c r="AA675" s="207">
        <v>135.478756091702</v>
      </c>
      <c r="AB675">
        <v>0</v>
      </c>
      <c r="AC675" s="186" t="s">
        <v>200</v>
      </c>
      <c r="AJ675" s="11" t="s">
        <v>23</v>
      </c>
      <c r="AK675" s="256">
        <f t="shared" ref="AK675:AQ680" si="682">IFERROR(((J658/11.63)+J692)/J698,"")</f>
        <v>0.87212133141335757</v>
      </c>
      <c r="AL675" s="256">
        <f t="shared" si="682"/>
        <v>0.65521506637731119</v>
      </c>
      <c r="AM675" s="256">
        <f t="shared" si="682"/>
        <v>0.51245113706396572</v>
      </c>
      <c r="AN675" s="256">
        <f t="shared" si="682"/>
        <v>0.77266115254102308</v>
      </c>
      <c r="AO675" s="256">
        <f t="shared" si="682"/>
        <v>0.58849215960367185</v>
      </c>
      <c r="AP675" s="256">
        <f t="shared" si="682"/>
        <v>0.59375475273571565</v>
      </c>
      <c r="AQ675" s="256">
        <f t="shared" si="682"/>
        <v>0.64218209566148465</v>
      </c>
    </row>
    <row r="676" spans="1:43">
      <c r="A676" s="10" t="s">
        <v>24</v>
      </c>
      <c r="J676" s="167">
        <f t="shared" ref="J676:O680" si="683">IFERROR(J659*R659,"")</f>
        <v>0</v>
      </c>
      <c r="K676" s="167">
        <f t="shared" si="683"/>
        <v>51258.262240000004</v>
      </c>
      <c r="L676" s="167">
        <f t="shared" si="683"/>
        <v>909.32569999999987</v>
      </c>
      <c r="M676" s="167">
        <f t="shared" si="683"/>
        <v>252.38590000000002</v>
      </c>
      <c r="N676" s="167">
        <f t="shared" si="683"/>
        <v>13110.4938</v>
      </c>
      <c r="O676" s="181">
        <f t="shared" si="683"/>
        <v>37422.596399999995</v>
      </c>
      <c r="P676" s="182">
        <f t="shared" si="674"/>
        <v>102953.06404</v>
      </c>
      <c r="Q676" s="172"/>
      <c r="R676" s="181">
        <f t="shared" ref="R676:W680" si="684">J676*J$684/1000000</f>
        <v>0</v>
      </c>
      <c r="S676" s="181">
        <f t="shared" si="684"/>
        <v>2.9725871471619287</v>
      </c>
      <c r="T676" s="181">
        <f t="shared" si="684"/>
        <v>0.15888343641736197</v>
      </c>
      <c r="U676" s="181">
        <f t="shared" si="684"/>
        <v>1.7616900560304953E-2</v>
      </c>
      <c r="V676" s="181">
        <f t="shared" si="684"/>
        <v>0.53288717870723934</v>
      </c>
      <c r="W676" s="181">
        <f t="shared" si="684"/>
        <v>4.0100268768391262E-2</v>
      </c>
      <c r="X676" s="190">
        <f t="shared" si="676"/>
        <v>3.7220749316152264</v>
      </c>
      <c r="Z676" s="169">
        <f t="shared" si="679"/>
        <v>0</v>
      </c>
      <c r="AA676" s="207">
        <v>672.15966010154102</v>
      </c>
      <c r="AB676">
        <v>0</v>
      </c>
      <c r="AC676" s="186" t="s">
        <v>201</v>
      </c>
      <c r="AJ676" s="10" t="s">
        <v>24</v>
      </c>
      <c r="AK676" s="56" t="str">
        <f t="shared" si="682"/>
        <v/>
      </c>
      <c r="AL676" s="56">
        <f t="shared" si="682"/>
        <v>0.72975406347549432</v>
      </c>
      <c r="AM676" s="56">
        <f t="shared" si="682"/>
        <v>0.64065471472463942</v>
      </c>
      <c r="AN676" s="56">
        <f t="shared" si="682"/>
        <v>0.64268545298209945</v>
      </c>
      <c r="AO676" s="56">
        <f t="shared" si="682"/>
        <v>0.65172504854170754</v>
      </c>
      <c r="AP676" s="56">
        <f t="shared" si="682"/>
        <v>0.59359028288555138</v>
      </c>
      <c r="AQ676" s="256">
        <f t="shared" si="682"/>
        <v>0.67443766355758017</v>
      </c>
    </row>
    <row r="677" spans="1:43">
      <c r="A677" s="10" t="s">
        <v>25</v>
      </c>
      <c r="J677" s="167">
        <f t="shared" si="683"/>
        <v>0</v>
      </c>
      <c r="K677" s="167">
        <f t="shared" si="683"/>
        <v>27552.46371</v>
      </c>
      <c r="L677" s="167">
        <f t="shared" si="683"/>
        <v>0</v>
      </c>
      <c r="M677" s="167">
        <f t="shared" si="683"/>
        <v>2143.8412800000001</v>
      </c>
      <c r="N677" s="167">
        <f t="shared" si="683"/>
        <v>131.67215999999999</v>
      </c>
      <c r="O677" s="167">
        <f t="shared" si="683"/>
        <v>29.22</v>
      </c>
      <c r="P677" s="182">
        <f t="shared" si="674"/>
        <v>29857.19715</v>
      </c>
      <c r="Q677" s="172"/>
      <c r="R677" s="181">
        <f t="shared" si="684"/>
        <v>0</v>
      </c>
      <c r="S677" s="181">
        <f t="shared" si="684"/>
        <v>1.5978321526686128</v>
      </c>
      <c r="T677" s="181">
        <f t="shared" si="684"/>
        <v>0</v>
      </c>
      <c r="U677" s="181">
        <f t="shared" si="684"/>
        <v>0.1496432195571816</v>
      </c>
      <c r="V677" s="181">
        <f t="shared" si="684"/>
        <v>5.3519270080191949E-3</v>
      </c>
      <c r="W677" s="181">
        <f t="shared" si="684"/>
        <v>3.1310757834333288E-5</v>
      </c>
      <c r="X677" s="190">
        <f t="shared" si="676"/>
        <v>1.7528586099916477</v>
      </c>
      <c r="Z677" s="169">
        <f t="shared" si="679"/>
        <v>0</v>
      </c>
      <c r="AA677" s="207">
        <v>0.13038940931165</v>
      </c>
      <c r="AB677">
        <v>0</v>
      </c>
      <c r="AC677" s="186" t="s">
        <v>134</v>
      </c>
      <c r="AJ677" s="10" t="s">
        <v>25</v>
      </c>
      <c r="AK677" s="56" t="str">
        <f t="shared" si="682"/>
        <v/>
      </c>
      <c r="AL677" s="56">
        <f t="shared" si="682"/>
        <v>0.73372442054736065</v>
      </c>
      <c r="AM677" s="56" t="str">
        <f t="shared" si="682"/>
        <v/>
      </c>
      <c r="AN677" s="56">
        <f t="shared" si="682"/>
        <v>0.8271984164461551</v>
      </c>
      <c r="AO677" s="56">
        <f t="shared" si="682"/>
        <v>0.70838440570059102</v>
      </c>
      <c r="AP677" s="56">
        <f t="shared" si="682"/>
        <v>0.67630735558508559</v>
      </c>
      <c r="AQ677" s="256">
        <f t="shared" si="682"/>
        <v>0.74230845641189425</v>
      </c>
    </row>
    <row r="678" spans="1:43">
      <c r="A678" s="10" t="s">
        <v>26</v>
      </c>
      <c r="J678" s="167">
        <f t="shared" si="683"/>
        <v>552.57719999999995</v>
      </c>
      <c r="K678" s="167">
        <f t="shared" si="683"/>
        <v>444077.58319199993</v>
      </c>
      <c r="L678" s="167">
        <f t="shared" si="683"/>
        <v>10760.052600000001</v>
      </c>
      <c r="M678" s="167">
        <f t="shared" si="683"/>
        <v>8780.7180399999997</v>
      </c>
      <c r="N678" s="167">
        <f t="shared" si="683"/>
        <v>43534.378799999999</v>
      </c>
      <c r="O678" s="167">
        <f t="shared" si="683"/>
        <v>199.928</v>
      </c>
      <c r="P678" s="182">
        <f t="shared" si="674"/>
        <v>507905.23783199996</v>
      </c>
      <c r="Q678" s="172"/>
      <c r="R678" s="181">
        <f t="shared" si="684"/>
        <v>5.1880387545029286E-2</v>
      </c>
      <c r="S678" s="181">
        <f t="shared" si="684"/>
        <v>25.753103176977135</v>
      </c>
      <c r="T678" s="181">
        <f t="shared" si="684"/>
        <v>1.880067981274004</v>
      </c>
      <c r="U678" s="181">
        <f t="shared" si="684"/>
        <v>0.61290680881442183</v>
      </c>
      <c r="V678" s="181">
        <f t="shared" si="684"/>
        <v>1.7694918779874065</v>
      </c>
      <c r="W678" s="181">
        <f t="shared" si="684"/>
        <v>2.1423330569139579E-4</v>
      </c>
      <c r="X678" s="190">
        <f t="shared" si="676"/>
        <v>30.067664465903686</v>
      </c>
      <c r="Z678" s="169">
        <f t="shared" si="679"/>
        <v>0</v>
      </c>
      <c r="AA678" s="207">
        <v>2.0013724738963199</v>
      </c>
      <c r="AB678">
        <v>0</v>
      </c>
      <c r="AC678" s="186" t="s">
        <v>128</v>
      </c>
      <c r="AJ678" s="10" t="s">
        <v>26</v>
      </c>
      <c r="AK678" s="56">
        <f t="shared" si="682"/>
        <v>0.88022609804773877</v>
      </c>
      <c r="AL678" s="56">
        <f t="shared" si="682"/>
        <v>0.63385682815721711</v>
      </c>
      <c r="AM678" s="56">
        <f t="shared" si="682"/>
        <v>0.55620841034537527</v>
      </c>
      <c r="AN678" s="56">
        <f t="shared" si="682"/>
        <v>0.7396397406492069</v>
      </c>
      <c r="AO678" s="56">
        <f t="shared" si="682"/>
        <v>0.62552503846132224</v>
      </c>
      <c r="AP678" s="56">
        <f t="shared" si="682"/>
        <v>0.57881018916595006</v>
      </c>
      <c r="AQ678" s="256">
        <f t="shared" si="682"/>
        <v>0.63544857750889228</v>
      </c>
    </row>
    <row r="679" spans="1:43">
      <c r="A679" s="10" t="s">
        <v>27</v>
      </c>
      <c r="J679" s="167">
        <f t="shared" si="683"/>
        <v>64.307200000000009</v>
      </c>
      <c r="K679" s="167">
        <f t="shared" si="683"/>
        <v>3418.0653000000002</v>
      </c>
      <c r="L679" s="167">
        <f t="shared" si="683"/>
        <v>0</v>
      </c>
      <c r="M679" s="167">
        <f t="shared" si="683"/>
        <v>549.39150000000006</v>
      </c>
      <c r="N679" s="167">
        <f t="shared" si="683"/>
        <v>3758.6823999999997</v>
      </c>
      <c r="O679" s="167">
        <f t="shared" si="683"/>
        <v>0</v>
      </c>
      <c r="P679" s="182">
        <f t="shared" si="674"/>
        <v>7790.4464000000007</v>
      </c>
      <c r="Q679" s="172"/>
      <c r="R679" s="181">
        <f t="shared" si="684"/>
        <v>6.0376766503136715E-3</v>
      </c>
      <c r="S679" s="181">
        <f t="shared" si="684"/>
        <v>0.19822164339803383</v>
      </c>
      <c r="T679" s="181">
        <f t="shared" si="684"/>
        <v>0</v>
      </c>
      <c r="U679" s="181">
        <f t="shared" si="684"/>
        <v>3.8348320663621774E-2</v>
      </c>
      <c r="V679" s="181">
        <f t="shared" si="684"/>
        <v>0.1527748451238774</v>
      </c>
      <c r="W679" s="181">
        <f t="shared" si="684"/>
        <v>0</v>
      </c>
      <c r="X679" s="190">
        <f t="shared" si="676"/>
        <v>0.39538248583584668</v>
      </c>
      <c r="Z679" s="169">
        <f t="shared" si="679"/>
        <v>0</v>
      </c>
      <c r="AA679" s="207"/>
      <c r="AB679">
        <v>0</v>
      </c>
      <c r="AC679" s="186" t="s">
        <v>131</v>
      </c>
      <c r="AJ679" s="10" t="s">
        <v>27</v>
      </c>
      <c r="AK679" s="56">
        <f t="shared" si="682"/>
        <v>0.83611490915241815</v>
      </c>
      <c r="AL679" s="56">
        <f t="shared" si="682"/>
        <v>0.85252093374465077</v>
      </c>
      <c r="AM679" s="56" t="str">
        <f t="shared" si="682"/>
        <v/>
      </c>
      <c r="AN679" s="56">
        <f t="shared" si="682"/>
        <v>0.87864747696200018</v>
      </c>
      <c r="AO679" s="56">
        <f t="shared" si="682"/>
        <v>0.77486317084209599</v>
      </c>
      <c r="AP679" s="56" t="str">
        <f t="shared" si="682"/>
        <v/>
      </c>
      <c r="AQ679" s="256">
        <f t="shared" si="682"/>
        <v>0.829764013999575</v>
      </c>
    </row>
    <row r="680" spans="1:43">
      <c r="A680" s="10" t="s">
        <v>28</v>
      </c>
      <c r="J680" s="167">
        <f t="shared" si="683"/>
        <v>0</v>
      </c>
      <c r="K680" s="167">
        <f t="shared" si="683"/>
        <v>7369.5883999999987</v>
      </c>
      <c r="L680" s="167">
        <f t="shared" si="683"/>
        <v>9308.7954000000009</v>
      </c>
      <c r="M680" s="167">
        <f t="shared" si="683"/>
        <v>1840.3435999999999</v>
      </c>
      <c r="N680" s="167">
        <f t="shared" si="683"/>
        <v>45424.426319999999</v>
      </c>
      <c r="O680" s="167">
        <f t="shared" si="683"/>
        <v>53.079500000000003</v>
      </c>
      <c r="P680" s="182">
        <f t="shared" si="674"/>
        <v>63996.233220000002</v>
      </c>
      <c r="Q680" s="172"/>
      <c r="R680" s="181">
        <f t="shared" si="684"/>
        <v>0</v>
      </c>
      <c r="S680" s="181">
        <f t="shared" si="684"/>
        <v>0.42737975889901408</v>
      </c>
      <c r="T680" s="181">
        <f t="shared" si="684"/>
        <v>1.6264946674861733</v>
      </c>
      <c r="U680" s="181">
        <f t="shared" si="684"/>
        <v>0.12845864288771136</v>
      </c>
      <c r="V680" s="181">
        <f t="shared" si="684"/>
        <v>1.8463144680377839</v>
      </c>
      <c r="W680" s="181">
        <f t="shared" si="684"/>
        <v>5.6877459632699995E-5</v>
      </c>
      <c r="X680" s="190">
        <f t="shared" si="676"/>
        <v>4.0287044147703153</v>
      </c>
      <c r="Z680" s="169">
        <f t="shared" si="679"/>
        <v>0</v>
      </c>
      <c r="AA680" s="207">
        <v>13.2651405596283</v>
      </c>
      <c r="AB680">
        <v>0</v>
      </c>
      <c r="AC680" s="186" t="s">
        <v>129</v>
      </c>
      <c r="AJ680" s="10" t="s">
        <v>28</v>
      </c>
      <c r="AK680" s="56" t="str">
        <f t="shared" si="682"/>
        <v/>
      </c>
      <c r="AL680" s="56">
        <f t="shared" si="682"/>
        <v>0.55792058058480298</v>
      </c>
      <c r="AM680" s="56">
        <f t="shared" si="682"/>
        <v>0.43516802221501766</v>
      </c>
      <c r="AN680" s="56">
        <f t="shared" si="682"/>
        <v>0.76500746173808076</v>
      </c>
      <c r="AO680" s="56">
        <f t="shared" si="682"/>
        <v>0.51909526543101903</v>
      </c>
      <c r="AP680" s="56">
        <f t="shared" si="682"/>
        <v>0.66275641813045083</v>
      </c>
      <c r="AQ680" s="256">
        <f t="shared" si="682"/>
        <v>0.5296534010398648</v>
      </c>
    </row>
    <row r="681" spans="1:43">
      <c r="A681" s="11" t="s">
        <v>9</v>
      </c>
      <c r="J681" s="182">
        <f t="shared" ref="J681:P681" si="685">J669+J675</f>
        <v>302351.04537000001</v>
      </c>
      <c r="K681" s="182">
        <f t="shared" si="685"/>
        <v>897227.35088699986</v>
      </c>
      <c r="L681" s="182">
        <f t="shared" si="685"/>
        <v>21266.6561</v>
      </c>
      <c r="M681" s="182">
        <f t="shared" si="685"/>
        <v>33290.268049999999</v>
      </c>
      <c r="N681" s="182">
        <f t="shared" si="685"/>
        <v>191302.46197999996</v>
      </c>
      <c r="O681" s="182">
        <f t="shared" si="685"/>
        <v>67571.32239999999</v>
      </c>
      <c r="P681" s="182">
        <f t="shared" si="685"/>
        <v>1513009.104787</v>
      </c>
      <c r="Q681" s="172"/>
      <c r="R681" s="281">
        <f t="shared" ref="R681:W681" si="686">R669+R675</f>
        <v>28.387145558014939</v>
      </c>
      <c r="S681" s="199">
        <f t="shared" si="686"/>
        <v>52.032323664057984</v>
      </c>
      <c r="T681" s="199">
        <f t="shared" si="686"/>
        <v>3.7158516494961633</v>
      </c>
      <c r="U681" s="199">
        <f t="shared" si="686"/>
        <v>2.3237088199568481</v>
      </c>
      <c r="V681" s="199">
        <f t="shared" si="686"/>
        <v>7.7756513827321365</v>
      </c>
      <c r="W681" s="199">
        <f t="shared" si="686"/>
        <v>7.2406205072281321E-2</v>
      </c>
      <c r="X681" s="199">
        <f>X669+X675</f>
        <v>94.307087279330347</v>
      </c>
      <c r="Z681" s="169">
        <f t="shared" si="679"/>
        <v>0</v>
      </c>
      <c r="AA681" s="207">
        <v>1181.2885925431899</v>
      </c>
      <c r="AB681">
        <v>0</v>
      </c>
      <c r="AC681" s="186" t="s">
        <v>207</v>
      </c>
      <c r="AJ681" s="275" t="s">
        <v>266</v>
      </c>
      <c r="AK681" s="274">
        <f t="shared" ref="AK681:AQ681" si="687">IFERROR(((J664/11.63)+J692)/(J698+J669/41.868),"")</f>
        <v>0.39204926897185316</v>
      </c>
      <c r="AL681" s="274">
        <f t="shared" si="687"/>
        <v>0.61217311073180647</v>
      </c>
      <c r="AM681" s="274">
        <f t="shared" si="687"/>
        <v>0.51104730534580445</v>
      </c>
      <c r="AN681" s="274">
        <f t="shared" si="687"/>
        <v>0.6194268339655884</v>
      </c>
      <c r="AO681" s="274">
        <f t="shared" si="687"/>
        <v>0.49533079126723389</v>
      </c>
      <c r="AP681" s="274">
        <f t="shared" si="687"/>
        <v>0.50673100075082855</v>
      </c>
      <c r="AQ681" s="274">
        <f t="shared" si="687"/>
        <v>0.55333955918675493</v>
      </c>
    </row>
    <row r="682" spans="1:43">
      <c r="E682" s="68" t="s">
        <v>176</v>
      </c>
      <c r="F682" s="68"/>
      <c r="G682" s="68"/>
      <c r="H682" s="68"/>
      <c r="I682" s="68"/>
      <c r="J682" s="321">
        <f>J681/41.868</f>
        <v>7221.5306527658349</v>
      </c>
      <c r="K682" s="321">
        <f t="shared" ref="K682:P682" si="688">K681/41.868</f>
        <v>21429.907110131837</v>
      </c>
      <c r="L682" s="321">
        <f t="shared" si="688"/>
        <v>507.94535444731059</v>
      </c>
      <c r="M682" s="321">
        <f t="shared" si="688"/>
        <v>795.12439213719301</v>
      </c>
      <c r="N682" s="321">
        <f t="shared" si="688"/>
        <v>4569.1808058660545</v>
      </c>
      <c r="O682" s="321">
        <f t="shared" si="688"/>
        <v>1613.9133084933599</v>
      </c>
      <c r="P682" s="321">
        <f t="shared" si="688"/>
        <v>36137.601623841598</v>
      </c>
      <c r="R682" s="197">
        <v>28.38714555801495</v>
      </c>
      <c r="S682" s="197">
        <v>52.032323664057976</v>
      </c>
      <c r="T682" s="197">
        <v>3.6990794078189819</v>
      </c>
      <c r="U682" s="197">
        <v>2.3237088199568481</v>
      </c>
      <c r="V682" s="197">
        <v>7.7756513827321356</v>
      </c>
      <c r="W682" s="197">
        <v>7.2406205072281377E-2</v>
      </c>
      <c r="X682" s="197">
        <v>94.307087279330361</v>
      </c>
      <c r="Z682" s="169">
        <f t="shared" si="679"/>
        <v>9373.8566943236819</v>
      </c>
      <c r="AA682" s="207">
        <v>191.872812096394</v>
      </c>
      <c r="AB682" s="147">
        <v>48.854533333333322</v>
      </c>
      <c r="AC682" s="189" t="s">
        <v>130</v>
      </c>
    </row>
    <row r="683" spans="1:43">
      <c r="T683" s="198">
        <v>1.6772241677181242E-2</v>
      </c>
      <c r="U683" s="198"/>
      <c r="Z683" s="169">
        <f t="shared" si="679"/>
        <v>0</v>
      </c>
      <c r="AA683" s="207">
        <v>12.985564151813</v>
      </c>
      <c r="AB683">
        <v>0</v>
      </c>
      <c r="AC683" s="186" t="s">
        <v>132</v>
      </c>
    </row>
    <row r="684" spans="1:43">
      <c r="A684" s="183" t="s">
        <v>193</v>
      </c>
      <c r="J684" s="168">
        <f>SUM(Z653:Z656)/SUM(AA653:AA656)+J685</f>
        <v>93.888035092706119</v>
      </c>
      <c r="K684" s="185">
        <f>57.6177126758938+K685</f>
        <v>57.99235122805694</v>
      </c>
      <c r="L684" s="147">
        <f>SUM(Z658:Z661)/SUM(AA658:AA661)+L685</f>
        <v>174.72665340632292</v>
      </c>
      <c r="M684" s="168">
        <f>SUM(Z663:Z669)/SUM(AA663:AA669)+M685</f>
        <v>69.801445169103943</v>
      </c>
      <c r="N684" s="168">
        <f>SUM(Z671:Z686)/SUM(AA671:AA686)+N685</f>
        <v>40.645851089700322</v>
      </c>
      <c r="O684" s="168">
        <f>SUM(Z688:Z697)/SUM(AA688:AA697)+O685</f>
        <v>1.0715522872804</v>
      </c>
      <c r="P684" s="317">
        <f>P675/41.868</f>
        <v>17017.822170679276</v>
      </c>
      <c r="Q684" s="147"/>
      <c r="Z684" s="169">
        <f t="shared" si="679"/>
        <v>3710.5067498633562</v>
      </c>
      <c r="AA684" s="207">
        <v>25.9475996493941</v>
      </c>
      <c r="AB684">
        <v>143</v>
      </c>
      <c r="AC684" s="186" t="s">
        <v>133</v>
      </c>
    </row>
    <row r="685" spans="1:43">
      <c r="A685" s="453" t="s">
        <v>376</v>
      </c>
      <c r="B685" s="452"/>
      <c r="C685" s="452"/>
      <c r="D685" s="452"/>
      <c r="E685" s="452"/>
      <c r="F685" s="452"/>
      <c r="G685" s="452"/>
      <c r="H685" s="452"/>
      <c r="I685" s="452"/>
      <c r="J685" s="452">
        <v>1.112037831429713E-3</v>
      </c>
      <c r="K685" s="452">
        <v>0.3746385521631399</v>
      </c>
      <c r="L685" s="452">
        <v>9.9132935869450378E-4</v>
      </c>
      <c r="M685" s="452">
        <v>-4.2425520567839214E-3</v>
      </c>
      <c r="N685" s="452">
        <v>5.0179887502902654</v>
      </c>
      <c r="O685" s="452">
        <v>-2.8811211746417875E-3</v>
      </c>
      <c r="P685" s="318">
        <f>P669/41.868</f>
        <v>19119.779453162319</v>
      </c>
      <c r="Q685" s="147"/>
      <c r="R685" s="455">
        <f>R681-R682</f>
        <v>0</v>
      </c>
      <c r="S685" s="455">
        <f>S681-S682</f>
        <v>0</v>
      </c>
      <c r="T685" s="455">
        <f>T681-SUM(T682:T683)</f>
        <v>0</v>
      </c>
      <c r="U685" s="455">
        <f>U681-U682</f>
        <v>0</v>
      </c>
      <c r="V685" s="455">
        <f>V681-V682</f>
        <v>0</v>
      </c>
      <c r="W685" s="455">
        <f>W681-W682</f>
        <v>0</v>
      </c>
      <c r="X685" s="172">
        <f>X681-X682</f>
        <v>0</v>
      </c>
      <c r="Z685" s="169">
        <f t="shared" si="679"/>
        <v>0</v>
      </c>
      <c r="AA685" s="207"/>
      <c r="AB685">
        <v>45.85</v>
      </c>
      <c r="AC685" s="186" t="s">
        <v>208</v>
      </c>
    </row>
    <row r="686" spans="1:43">
      <c r="K686" s="168"/>
      <c r="L686" s="168"/>
      <c r="N686" s="168"/>
      <c r="O686" s="168"/>
      <c r="P686" s="319">
        <f>P698-P684</f>
        <v>5906.0778293207259</v>
      </c>
      <c r="Q686" s="147"/>
      <c r="Z686" s="169">
        <f t="shared" si="679"/>
        <v>56502.33114973989</v>
      </c>
      <c r="AA686" s="207">
        <v>1232.3300141709899</v>
      </c>
      <c r="AB686">
        <v>45.85</v>
      </c>
      <c r="AC686" s="186" t="s">
        <v>209</v>
      </c>
    </row>
    <row r="687" spans="1:43">
      <c r="J687" s="168">
        <f t="shared" ref="J687:O687" si="689">J675/41.868</f>
        <v>14.734030763351482</v>
      </c>
      <c r="K687" s="168">
        <f t="shared" si="689"/>
        <v>12746.631385353969</v>
      </c>
      <c r="L687" s="168">
        <f t="shared" si="689"/>
        <v>501.05507069838535</v>
      </c>
      <c r="M687" s="168">
        <f t="shared" si="689"/>
        <v>324.0345925289003</v>
      </c>
      <c r="N687" s="168">
        <f t="shared" si="689"/>
        <v>2530.8028441769366</v>
      </c>
      <c r="O687" s="168">
        <f t="shared" si="689"/>
        <v>900.56424715773369</v>
      </c>
      <c r="P687" s="320">
        <f>SUM(P684:P686)</f>
        <v>42043.679453162316</v>
      </c>
      <c r="Q687" s="320"/>
      <c r="AA687" s="179" t="s">
        <v>216</v>
      </c>
      <c r="AE687" s="168"/>
    </row>
    <row r="688" spans="1:43">
      <c r="J688" s="168">
        <f t="shared" ref="J688:O688" si="690">J698-(J692/J689)</f>
        <v>14.734030763351484</v>
      </c>
      <c r="K688" s="168">
        <f t="shared" si="690"/>
        <v>12746.631385353969</v>
      </c>
      <c r="L688" s="168">
        <f t="shared" si="690"/>
        <v>501.05507069838535</v>
      </c>
      <c r="M688" s="168">
        <f t="shared" si="690"/>
        <v>324.0345925289003</v>
      </c>
      <c r="N688" s="168">
        <f t="shared" si="690"/>
        <v>2530.8028441769366</v>
      </c>
      <c r="O688" s="168">
        <f t="shared" si="690"/>
        <v>900.56424715773369</v>
      </c>
      <c r="P688" s="168"/>
      <c r="Z688" s="169">
        <f>AA688*AB688</f>
        <v>1733.9972003968892</v>
      </c>
      <c r="AA688" s="207">
        <v>19.728546983076601</v>
      </c>
      <c r="AB688" s="184">
        <v>87.892798282830157</v>
      </c>
      <c r="AC688" s="187" t="s">
        <v>197</v>
      </c>
    </row>
    <row r="689" spans="1:29">
      <c r="A689" s="68" t="s">
        <v>374</v>
      </c>
      <c r="J689" s="281">
        <f t="shared" ref="J689:P689" si="691">J692/(J698-J675/41.868)</f>
        <v>0.89033459895630007</v>
      </c>
      <c r="K689" s="281">
        <f t="shared" si="691"/>
        <v>0.89324383802894725</v>
      </c>
      <c r="L689" s="281">
        <f t="shared" si="691"/>
        <v>0.89929838701159115</v>
      </c>
      <c r="M689" s="281">
        <f t="shared" si="691"/>
        <v>0.89950735596636433</v>
      </c>
      <c r="N689" s="281">
        <f t="shared" si="691"/>
        <v>0.87263400397058311</v>
      </c>
      <c r="O689" s="281">
        <f t="shared" si="691"/>
        <v>0.88654236702191991</v>
      </c>
      <c r="P689" s="281">
        <f t="shared" si="691"/>
        <v>0.88925343549088443</v>
      </c>
      <c r="Z689" s="169">
        <f>AA689*AB689</f>
        <v>0</v>
      </c>
      <c r="AA689" s="207">
        <v>1023.2392361613</v>
      </c>
      <c r="AB689">
        <v>0</v>
      </c>
      <c r="AC689" s="186" t="s">
        <v>202</v>
      </c>
    </row>
    <row r="690" spans="1:29">
      <c r="A690" s="68" t="s">
        <v>252</v>
      </c>
      <c r="J690" s="168"/>
      <c r="K690" s="168"/>
      <c r="P690" s="168"/>
      <c r="R690" s="191" t="s">
        <v>362</v>
      </c>
      <c r="S690" s="165"/>
      <c r="T690" s="165"/>
      <c r="U690" s="165"/>
      <c r="V690" s="165"/>
      <c r="W690" s="165"/>
      <c r="X690" s="165"/>
      <c r="Z690" s="169"/>
      <c r="AA690" s="207"/>
      <c r="AB690">
        <v>0</v>
      </c>
      <c r="AC690" s="186" t="s">
        <v>203</v>
      </c>
    </row>
    <row r="691" spans="1:29">
      <c r="A691" s="68" t="str">
        <f>$A$650</f>
        <v>Dati 2017 lorda</v>
      </c>
      <c r="J691" s="180" t="s">
        <v>5</v>
      </c>
      <c r="K691" s="180" t="s">
        <v>186</v>
      </c>
      <c r="L691" s="180" t="s">
        <v>187</v>
      </c>
      <c r="M691" s="180" t="s">
        <v>190</v>
      </c>
      <c r="N691" s="180" t="s">
        <v>192</v>
      </c>
      <c r="O691" s="180" t="s">
        <v>191</v>
      </c>
      <c r="P691" s="180" t="s">
        <v>189</v>
      </c>
      <c r="R691" s="191" t="s">
        <v>5</v>
      </c>
      <c r="S691" s="191" t="s">
        <v>186</v>
      </c>
      <c r="T691" s="191" t="s">
        <v>187</v>
      </c>
      <c r="U691" s="191" t="s">
        <v>190</v>
      </c>
      <c r="V691" s="191" t="s">
        <v>192</v>
      </c>
      <c r="W691" s="191" t="s">
        <v>191</v>
      </c>
      <c r="X691" s="191" t="s">
        <v>189</v>
      </c>
      <c r="Z691" s="169">
        <f>AA691*AB691</f>
        <v>0</v>
      </c>
      <c r="AA691" s="207">
        <v>223.39277317252899</v>
      </c>
      <c r="AB691">
        <v>0</v>
      </c>
      <c r="AC691" s="186" t="s">
        <v>136</v>
      </c>
    </row>
    <row r="692" spans="1:29">
      <c r="A692" s="193" t="s">
        <v>251</v>
      </c>
      <c r="J692" s="179">
        <f t="shared" ref="J692:O692" si="692">SUM(J693:J697)</f>
        <v>46</v>
      </c>
      <c r="K692" s="179">
        <f t="shared" si="692"/>
        <v>3339.9000000000005</v>
      </c>
      <c r="L692" s="179">
        <f t="shared" si="692"/>
        <v>103.1</v>
      </c>
      <c r="M692" s="179">
        <f t="shared" si="692"/>
        <v>454.4</v>
      </c>
      <c r="N692" s="179">
        <f t="shared" si="692"/>
        <v>1082.5</v>
      </c>
      <c r="O692" s="179">
        <f t="shared" si="692"/>
        <v>226.10000000000002</v>
      </c>
      <c r="P692" s="266">
        <f t="shared" ref="P692:P703" si="693">SUM(J692:O692)</f>
        <v>5252.0000000000009</v>
      </c>
      <c r="Q692" s="193" t="s">
        <v>16</v>
      </c>
      <c r="R692" s="282">
        <f t="shared" ref="R692:R697" si="694">IFERROR(R669/J652*1000000,0)</f>
        <v>871.96634831648953</v>
      </c>
      <c r="S692" s="282">
        <f t="shared" ref="S692:S697" si="695">IFERROR(S669/K652*1000000,0)</f>
        <v>393.57208005536916</v>
      </c>
      <c r="T692" s="282">
        <f t="shared" ref="T692:T697" si="696">IFERROR(T669/L652*1000000,0)</f>
        <v>1631.2480362014308</v>
      </c>
      <c r="U692" s="282">
        <f t="shared" ref="U692:U697" si="697">IFERROR(U669/M652*1000000,0)</f>
        <v>718.55766398931439</v>
      </c>
      <c r="V692" s="282">
        <f t="shared" ref="V692:V697" si="698">IFERROR(V669/N652*1000000,0)</f>
        <v>453.06293896188947</v>
      </c>
      <c r="W692" s="282">
        <f t="shared" ref="W692:W697" si="699">IFERROR(W669/O652*1000000,0)</f>
        <v>10.546900468208419</v>
      </c>
      <c r="X692" s="282">
        <f t="shared" ref="X692:X697" si="700">IFERROR(X669/P652*1000000,0)</f>
        <v>550.58692568594256</v>
      </c>
      <c r="Z692" s="169">
        <f>AA692*AB692</f>
        <v>0</v>
      </c>
      <c r="AA692" s="207">
        <v>24.758974559059698</v>
      </c>
      <c r="AB692">
        <v>0</v>
      </c>
      <c r="AC692" s="186" t="s">
        <v>137</v>
      </c>
    </row>
    <row r="693" spans="1:29">
      <c r="A693" s="186" t="s">
        <v>24</v>
      </c>
      <c r="K693">
        <v>622.6</v>
      </c>
      <c r="L693">
        <v>8</v>
      </c>
      <c r="M693">
        <v>2.5</v>
      </c>
      <c r="N693">
        <v>202</v>
      </c>
      <c r="O693">
        <v>222.9</v>
      </c>
      <c r="P693" s="266">
        <f t="shared" si="693"/>
        <v>1058</v>
      </c>
      <c r="Q693" s="186" t="s">
        <v>17</v>
      </c>
      <c r="R693" s="283">
        <f t="shared" si="694"/>
        <v>0</v>
      </c>
      <c r="S693" s="283">
        <f t="shared" si="695"/>
        <v>566.75924855180062</v>
      </c>
      <c r="T693" s="283">
        <f t="shared" si="696"/>
        <v>1631.2480362014308</v>
      </c>
      <c r="U693" s="283">
        <f t="shared" si="697"/>
        <v>668.69784472001572</v>
      </c>
      <c r="V693" s="283">
        <f t="shared" si="698"/>
        <v>358.57769831333621</v>
      </c>
      <c r="W693" s="283">
        <f t="shared" si="699"/>
        <v>10.533358983966332</v>
      </c>
      <c r="X693" s="282">
        <f t="shared" si="700"/>
        <v>175.454947606254</v>
      </c>
      <c r="Z693" s="169">
        <f>AA693*AB693</f>
        <v>0</v>
      </c>
      <c r="AA693" s="207">
        <v>4.5715401479433604</v>
      </c>
      <c r="AB693">
        <v>0</v>
      </c>
      <c r="AC693" s="188" t="s">
        <v>139</v>
      </c>
    </row>
    <row r="694" spans="1:29">
      <c r="A694" s="186" t="s">
        <v>25</v>
      </c>
      <c r="K694">
        <v>513.70000000000005</v>
      </c>
      <c r="M694">
        <v>70.099999999999994</v>
      </c>
      <c r="N694">
        <v>5.4</v>
      </c>
      <c r="O694">
        <v>0.4</v>
      </c>
      <c r="P694" s="266">
        <f t="shared" si="693"/>
        <v>589.6</v>
      </c>
      <c r="Q694" s="186" t="s">
        <v>18</v>
      </c>
      <c r="R694" s="283">
        <f t="shared" si="694"/>
        <v>0</v>
      </c>
      <c r="S694" s="283">
        <f t="shared" si="695"/>
        <v>688.36920907703586</v>
      </c>
      <c r="T694" s="283">
        <f t="shared" si="696"/>
        <v>0</v>
      </c>
      <c r="U694" s="283">
        <f t="shared" si="697"/>
        <v>1078.1531220819793</v>
      </c>
      <c r="V694" s="283">
        <f t="shared" si="698"/>
        <v>546.4021761988414</v>
      </c>
      <c r="W694" s="283">
        <f t="shared" si="699"/>
        <v>12.116041712279481</v>
      </c>
      <c r="X694" s="282">
        <f t="shared" si="700"/>
        <v>653.18345550767037</v>
      </c>
      <c r="Z694" s="169">
        <f>AA694*AB694</f>
        <v>0</v>
      </c>
      <c r="AA694" s="207">
        <v>88.109102946278597</v>
      </c>
      <c r="AB694">
        <v>0</v>
      </c>
      <c r="AC694" s="186" t="s">
        <v>204</v>
      </c>
    </row>
    <row r="695" spans="1:29">
      <c r="A695" s="186" t="s">
        <v>26</v>
      </c>
      <c r="J695">
        <v>36.9</v>
      </c>
      <c r="K695">
        <v>1940.9</v>
      </c>
      <c r="L695">
        <v>75.599999999999994</v>
      </c>
      <c r="M695">
        <v>217.6</v>
      </c>
      <c r="N695">
        <v>184</v>
      </c>
      <c r="O695">
        <v>1.4</v>
      </c>
      <c r="P695" s="266">
        <f t="shared" si="693"/>
        <v>2456.4</v>
      </c>
      <c r="Q695" s="186" t="s">
        <v>19</v>
      </c>
      <c r="R695" s="283">
        <f t="shared" si="694"/>
        <v>871.96634831648953</v>
      </c>
      <c r="S695" s="283">
        <f t="shared" si="695"/>
        <v>541.41659106513964</v>
      </c>
      <c r="T695" s="283">
        <f t="shared" si="696"/>
        <v>0</v>
      </c>
      <c r="U695" s="283">
        <f t="shared" si="697"/>
        <v>723.63158206810078</v>
      </c>
      <c r="V695" s="283">
        <f t="shared" si="698"/>
        <v>543.27244566493448</v>
      </c>
      <c r="W695" s="283">
        <f t="shared" si="699"/>
        <v>9.9375759122384277</v>
      </c>
      <c r="X695" s="282">
        <f t="shared" si="700"/>
        <v>825.03435515159219</v>
      </c>
      <c r="Z695" s="169">
        <f>AA695*AB695</f>
        <v>0</v>
      </c>
      <c r="AA695" s="207">
        <v>11.085331084608701</v>
      </c>
      <c r="AB695">
        <v>0</v>
      </c>
      <c r="AC695" s="186" t="s">
        <v>138</v>
      </c>
    </row>
    <row r="696" spans="1:29">
      <c r="A696" s="186" t="s">
        <v>27</v>
      </c>
      <c r="J696">
        <v>9.1</v>
      </c>
      <c r="K696">
        <v>191.9</v>
      </c>
      <c r="M696">
        <v>74.099999999999994</v>
      </c>
      <c r="N696">
        <v>106.4</v>
      </c>
      <c r="O696" s="147">
        <v>0</v>
      </c>
      <c r="P696" s="266">
        <f t="shared" si="693"/>
        <v>381.5</v>
      </c>
      <c r="Q696" s="186" t="s">
        <v>20</v>
      </c>
      <c r="R696" s="283">
        <f t="shared" si="694"/>
        <v>0</v>
      </c>
      <c r="S696" s="283">
        <f t="shared" si="695"/>
        <v>388.59224749140253</v>
      </c>
      <c r="T696" s="283">
        <f t="shared" si="696"/>
        <v>0</v>
      </c>
      <c r="U696" s="283">
        <f t="shared" si="697"/>
        <v>615.43934205598953</v>
      </c>
      <c r="V696" s="283">
        <f t="shared" si="698"/>
        <v>310.94076083620746</v>
      </c>
      <c r="W696" s="283">
        <f t="shared" si="699"/>
        <v>9.984724212878767</v>
      </c>
      <c r="X696" s="282">
        <f t="shared" si="700"/>
        <v>385.70660594727468</v>
      </c>
      <c r="Z696" s="169"/>
      <c r="AA696" s="207"/>
      <c r="AB696">
        <v>0</v>
      </c>
      <c r="AC696" s="186" t="s">
        <v>205</v>
      </c>
    </row>
    <row r="697" spans="1:29">
      <c r="A697" s="186" t="s">
        <v>28</v>
      </c>
      <c r="K697">
        <v>70.8</v>
      </c>
      <c r="L697">
        <v>19.5</v>
      </c>
      <c r="M697">
        <v>90.1</v>
      </c>
      <c r="N697">
        <v>584.70000000000005</v>
      </c>
      <c r="O697">
        <v>1.4</v>
      </c>
      <c r="P697" s="266">
        <f t="shared" si="693"/>
        <v>766.5</v>
      </c>
      <c r="Q697" s="186" t="s">
        <v>22</v>
      </c>
      <c r="R697" s="283">
        <f t="shared" si="694"/>
        <v>0</v>
      </c>
      <c r="S697" s="283">
        <f t="shared" si="695"/>
        <v>0</v>
      </c>
      <c r="T697" s="283">
        <f t="shared" si="696"/>
        <v>0</v>
      </c>
      <c r="U697" s="283">
        <f t="shared" si="697"/>
        <v>0</v>
      </c>
      <c r="V697" s="283">
        <f t="shared" si="698"/>
        <v>0</v>
      </c>
      <c r="W697" s="283">
        <f t="shared" si="699"/>
        <v>0</v>
      </c>
      <c r="X697" s="282">
        <f t="shared" si="700"/>
        <v>0</v>
      </c>
      <c r="Z697" s="169">
        <f>AA697*AB697</f>
        <v>0</v>
      </c>
      <c r="AA697" s="207">
        <v>218.985756534373</v>
      </c>
      <c r="AB697">
        <v>0</v>
      </c>
      <c r="AC697" s="186" t="s">
        <v>206</v>
      </c>
    </row>
    <row r="698" spans="1:29">
      <c r="A698" s="193" t="s">
        <v>253</v>
      </c>
      <c r="J698" s="179">
        <f t="shared" ref="J698:O698" si="701">SUM(J699:J703)</f>
        <v>66.400000000000006</v>
      </c>
      <c r="K698" s="179">
        <f t="shared" si="701"/>
        <v>16485.7</v>
      </c>
      <c r="L698" s="179">
        <f t="shared" si="701"/>
        <v>615.70000000000005</v>
      </c>
      <c r="M698" s="179">
        <f t="shared" si="701"/>
        <v>829.2</v>
      </c>
      <c r="N698" s="179">
        <f t="shared" si="701"/>
        <v>3771.2999999999997</v>
      </c>
      <c r="O698" s="179">
        <f t="shared" si="701"/>
        <v>1155.5999999999999</v>
      </c>
      <c r="P698" s="266">
        <f t="shared" si="693"/>
        <v>22923.9</v>
      </c>
      <c r="Q698" s="193" t="s">
        <v>23</v>
      </c>
      <c r="R698" s="282">
        <f t="shared" ref="R698:X703" si="702">IFERROR(R675/J658*1000000,0)</f>
        <v>418.18096891944373</v>
      </c>
      <c r="S698" s="282">
        <f t="shared" si="702"/>
        <v>356.63688784316292</v>
      </c>
      <c r="T698" s="282">
        <f t="shared" si="702"/>
        <v>1483.7459865517887</v>
      </c>
      <c r="U698" s="282">
        <f t="shared" si="702"/>
        <v>437.08639155308026</v>
      </c>
      <c r="V698" s="282">
        <f t="shared" si="702"/>
        <v>325.73335013858247</v>
      </c>
      <c r="W698" s="282">
        <f t="shared" si="702"/>
        <v>7.5514812798440634</v>
      </c>
      <c r="X698" s="282">
        <f t="shared" si="702"/>
        <v>362.91064228268499</v>
      </c>
    </row>
    <row r="699" spans="1:29">
      <c r="A699" s="186" t="s">
        <v>24</v>
      </c>
      <c r="J699">
        <v>0</v>
      </c>
      <c r="K699">
        <v>1919.1</v>
      </c>
      <c r="L699">
        <v>30.7</v>
      </c>
      <c r="M699">
        <v>8.8000000000000007</v>
      </c>
      <c r="N699" s="147">
        <v>539.20000000000005</v>
      </c>
      <c r="O699" s="147">
        <v>1145.3</v>
      </c>
      <c r="P699" s="266">
        <f t="shared" si="693"/>
        <v>3643.1000000000004</v>
      </c>
      <c r="Q699" s="186" t="s">
        <v>24</v>
      </c>
      <c r="R699" s="283">
        <f t="shared" si="702"/>
        <v>0</v>
      </c>
      <c r="S699" s="283">
        <f t="shared" si="702"/>
        <v>328.58466205817064</v>
      </c>
      <c r="T699" s="283">
        <f t="shared" si="702"/>
        <v>1170.8433044757699</v>
      </c>
      <c r="U699" s="283">
        <f t="shared" si="702"/>
        <v>480.02453842792784</v>
      </c>
      <c r="V699" s="283">
        <f t="shared" si="702"/>
        <v>306.67294647178892</v>
      </c>
      <c r="W699" s="283">
        <f t="shared" si="702"/>
        <v>7.5458712070285765</v>
      </c>
      <c r="X699" s="282">
        <f t="shared" si="702"/>
        <v>228.75683009248584</v>
      </c>
    </row>
    <row r="700" spans="1:29">
      <c r="A700" s="186" t="s">
        <v>25</v>
      </c>
      <c r="K700">
        <v>1231.0999999999999</v>
      </c>
      <c r="L700">
        <v>0</v>
      </c>
      <c r="M700">
        <v>129.1</v>
      </c>
      <c r="N700" s="147">
        <v>9.4</v>
      </c>
      <c r="O700" s="147">
        <v>1.1000000000000001</v>
      </c>
      <c r="P700" s="266">
        <f t="shared" si="693"/>
        <v>1370.6999999999998</v>
      </c>
      <c r="Q700" s="186" t="s">
        <v>25</v>
      </c>
      <c r="R700" s="283">
        <f t="shared" si="702"/>
        <v>0</v>
      </c>
      <c r="S700" s="283">
        <f t="shared" si="702"/>
        <v>352.65148781781426</v>
      </c>
      <c r="T700" s="283">
        <f t="shared" si="702"/>
        <v>0</v>
      </c>
      <c r="U700" s="283">
        <f t="shared" si="702"/>
        <v>350.68246052957818</v>
      </c>
      <c r="V700" s="283">
        <f t="shared" si="702"/>
        <v>365.5687847007647</v>
      </c>
      <c r="W700" s="283">
        <f t="shared" si="702"/>
        <v>7.8276894585833219</v>
      </c>
      <c r="X700" s="282">
        <f t="shared" si="702"/>
        <v>352.24346950459829</v>
      </c>
    </row>
    <row r="701" spans="1:29">
      <c r="A701" s="186" t="s">
        <v>26</v>
      </c>
      <c r="J701">
        <v>54.2</v>
      </c>
      <c r="K701">
        <v>12786.4</v>
      </c>
      <c r="L701">
        <v>341</v>
      </c>
      <c r="M701">
        <v>451.7</v>
      </c>
      <c r="N701" s="147">
        <v>1269.0999999999999</v>
      </c>
      <c r="O701" s="147">
        <v>6.4</v>
      </c>
      <c r="P701" s="266">
        <f t="shared" si="693"/>
        <v>14908.800000000001</v>
      </c>
      <c r="Q701" s="186" t="s">
        <v>26</v>
      </c>
      <c r="R701" s="283">
        <f t="shared" si="702"/>
        <v>412.73180226753612</v>
      </c>
      <c r="S701" s="283">
        <f t="shared" si="702"/>
        <v>359.25101738756706</v>
      </c>
      <c r="T701" s="283">
        <f t="shared" si="702"/>
        <v>1417.2078857786853</v>
      </c>
      <c r="U701" s="283">
        <f t="shared" si="702"/>
        <v>452.38316614096271</v>
      </c>
      <c r="V701" s="283">
        <f t="shared" si="702"/>
        <v>249.48423398858054</v>
      </c>
      <c r="W701" s="283">
        <f t="shared" si="702"/>
        <v>7.9937800631117826</v>
      </c>
      <c r="X701" s="282">
        <f t="shared" si="702"/>
        <v>368.4217393540722</v>
      </c>
    </row>
    <row r="702" spans="1:29">
      <c r="A702" s="186" t="s">
        <v>27</v>
      </c>
      <c r="J702">
        <v>12.2</v>
      </c>
      <c r="K702">
        <v>294.7</v>
      </c>
      <c r="M702">
        <v>95.5</v>
      </c>
      <c r="N702" s="147">
        <v>208.6</v>
      </c>
      <c r="O702" s="147">
        <v>0</v>
      </c>
      <c r="P702" s="266">
        <f t="shared" si="693"/>
        <v>611</v>
      </c>
      <c r="Q702" s="186" t="s">
        <v>27</v>
      </c>
      <c r="R702" s="283">
        <f t="shared" si="702"/>
        <v>471.69348830575558</v>
      </c>
      <c r="S702" s="283">
        <f t="shared" si="702"/>
        <v>287.23611563256605</v>
      </c>
      <c r="T702" s="283">
        <f t="shared" si="702"/>
        <v>0</v>
      </c>
      <c r="U702" s="283">
        <f t="shared" si="702"/>
        <v>336.09395848923555</v>
      </c>
      <c r="V702" s="283">
        <f t="shared" si="702"/>
        <v>237.81887472583657</v>
      </c>
      <c r="W702" s="283">
        <f t="shared" si="702"/>
        <v>0</v>
      </c>
      <c r="X702" s="282">
        <f t="shared" si="702"/>
        <v>270.92125930920014</v>
      </c>
    </row>
    <row r="703" spans="1:29">
      <c r="A703" s="186" t="s">
        <v>28</v>
      </c>
      <c r="K703">
        <v>254.4</v>
      </c>
      <c r="L703">
        <v>244</v>
      </c>
      <c r="M703">
        <v>144.1</v>
      </c>
      <c r="N703">
        <v>1745</v>
      </c>
      <c r="O703">
        <v>2.8</v>
      </c>
      <c r="P703" s="266">
        <f t="shared" si="693"/>
        <v>2390.3000000000002</v>
      </c>
      <c r="Q703" s="186" t="s">
        <v>28</v>
      </c>
      <c r="R703" s="283">
        <f t="shared" si="702"/>
        <v>0</v>
      </c>
      <c r="S703" s="283">
        <f t="shared" si="702"/>
        <v>516.59586473953118</v>
      </c>
      <c r="T703" s="283">
        <f t="shared" si="702"/>
        <v>1613.425917553986</v>
      </c>
      <c r="U703" s="283">
        <f t="shared" si="702"/>
        <v>548.49975613881884</v>
      </c>
      <c r="V703" s="283">
        <f t="shared" si="702"/>
        <v>494.37548680402494</v>
      </c>
      <c r="W703" s="283">
        <f t="shared" si="702"/>
        <v>10.731596157113207</v>
      </c>
      <c r="X703" s="282">
        <f t="shared" si="702"/>
        <v>693.46358141441749</v>
      </c>
    </row>
    <row r="704" spans="1:29">
      <c r="Q704" s="193" t="s">
        <v>9</v>
      </c>
      <c r="R704" s="282">
        <f t="shared" ref="R704:X704" si="703">R681/J664*1000000</f>
        <v>870.04007545850845</v>
      </c>
      <c r="S704" s="282">
        <f t="shared" si="703"/>
        <v>370.73439298967781</v>
      </c>
      <c r="T704" s="282">
        <f t="shared" si="703"/>
        <v>1485.5681643530017</v>
      </c>
      <c r="U704" s="282">
        <f t="shared" si="703"/>
        <v>569.18352589126073</v>
      </c>
      <c r="V704" s="282">
        <f t="shared" si="703"/>
        <v>372.42706226995932</v>
      </c>
      <c r="W704" s="282">
        <f t="shared" si="703"/>
        <v>8.6355152924113359</v>
      </c>
      <c r="X704" s="195">
        <f t="shared" si="703"/>
        <v>450.18631134187768</v>
      </c>
    </row>
    <row r="705" spans="1:24">
      <c r="J705" s="90">
        <f t="shared" ref="J705:O710" si="704">IFERROR((J658/11.63+J692)/J698,"")</f>
        <v>0.87212133141335757</v>
      </c>
      <c r="K705" s="90">
        <f t="shared" si="704"/>
        <v>0.65521506637731119</v>
      </c>
      <c r="L705" s="90">
        <f t="shared" si="704"/>
        <v>0.51245113706396572</v>
      </c>
      <c r="M705" s="90">
        <f t="shared" si="704"/>
        <v>0.77266115254102308</v>
      </c>
      <c r="N705" s="90">
        <f t="shared" si="704"/>
        <v>0.58849215960367185</v>
      </c>
      <c r="O705" s="90">
        <f t="shared" si="704"/>
        <v>0.59375475273571565</v>
      </c>
      <c r="P705" s="269">
        <f>P698-('5-x'!$W$82+'5-x'!$W$84)</f>
        <v>0</v>
      </c>
      <c r="R705" s="315">
        <f>'7'!AC6</f>
        <v>870.03937835503643</v>
      </c>
      <c r="S705" s="315">
        <f>'7'!AC7</f>
        <v>370.77783966316287</v>
      </c>
      <c r="T705" s="204"/>
      <c r="U705" s="204"/>
      <c r="V705" s="204"/>
      <c r="W705" s="204"/>
      <c r="X705" s="196">
        <f>'7'!AC12</f>
        <v>450.18648326345703</v>
      </c>
    </row>
    <row r="706" spans="1:24">
      <c r="J706" s="90" t="str">
        <f t="shared" si="704"/>
        <v/>
      </c>
      <c r="K706" s="90">
        <f t="shared" si="704"/>
        <v>0.72975406347549432</v>
      </c>
      <c r="L706" s="90">
        <f t="shared" si="704"/>
        <v>0.64065471472463942</v>
      </c>
      <c r="M706" s="90">
        <f t="shared" si="704"/>
        <v>0.64268545298209945</v>
      </c>
      <c r="N706" s="90">
        <f t="shared" si="704"/>
        <v>0.65172504854170754</v>
      </c>
      <c r="O706" s="90">
        <f t="shared" si="704"/>
        <v>0.59359028288555138</v>
      </c>
      <c r="P706" s="272">
        <f>(P675/41.868)-'5-x'!$W$82</f>
        <v>3.1711641313449945E-3</v>
      </c>
      <c r="R706" s="222">
        <f>R704-R705</f>
        <v>6.9710347202089906E-4</v>
      </c>
      <c r="S706" s="222">
        <f>S704-S705</f>
        <v>-4.3446673485050269E-2</v>
      </c>
      <c r="T706" s="222"/>
      <c r="U706" s="222"/>
      <c r="V706" s="222"/>
      <c r="W706" s="222"/>
      <c r="X706" s="222">
        <f>X704-X705</f>
        <v>-1.719215793514195E-4</v>
      </c>
    </row>
    <row r="707" spans="1:24">
      <c r="J707" s="90" t="str">
        <f t="shared" si="704"/>
        <v/>
      </c>
      <c r="K707" s="90">
        <f t="shared" si="704"/>
        <v>0.73372442054736065</v>
      </c>
      <c r="L707" s="90" t="str">
        <f t="shared" si="704"/>
        <v/>
      </c>
      <c r="M707" s="90">
        <f t="shared" si="704"/>
        <v>0.8271984164461551</v>
      </c>
      <c r="N707" s="90">
        <f t="shared" si="704"/>
        <v>0.70838440570059102</v>
      </c>
      <c r="O707" s="90">
        <f t="shared" si="704"/>
        <v>0.67630735558508559</v>
      </c>
      <c r="P707" s="272">
        <f>(P669/41.868)-'5-x'!$W$83</f>
        <v>-2.7057418556069024E-3</v>
      </c>
    </row>
    <row r="708" spans="1:24">
      <c r="J708" s="90">
        <f t="shared" si="704"/>
        <v>0.88022609804773877</v>
      </c>
      <c r="K708" s="90">
        <f t="shared" si="704"/>
        <v>0.63385682815721711</v>
      </c>
      <c r="L708" s="90">
        <f t="shared" si="704"/>
        <v>0.55620841034537527</v>
      </c>
      <c r="M708" s="90">
        <f t="shared" si="704"/>
        <v>0.7396397406492069</v>
      </c>
      <c r="N708" s="90">
        <f t="shared" si="704"/>
        <v>0.62552503846132224</v>
      </c>
      <c r="O708" s="90">
        <f t="shared" si="704"/>
        <v>0.57881018916595006</v>
      </c>
    </row>
    <row r="709" spans="1:24">
      <c r="J709" s="90">
        <f t="shared" si="704"/>
        <v>0.83611490915241815</v>
      </c>
      <c r="K709" s="90">
        <f t="shared" si="704"/>
        <v>0.85252093374465077</v>
      </c>
      <c r="L709" s="90" t="str">
        <f t="shared" si="704"/>
        <v/>
      </c>
      <c r="M709" s="90">
        <f t="shared" si="704"/>
        <v>0.87864747696200018</v>
      </c>
      <c r="N709" s="90">
        <f t="shared" si="704"/>
        <v>0.77486317084209599</v>
      </c>
      <c r="O709" s="90" t="str">
        <f t="shared" si="704"/>
        <v/>
      </c>
    </row>
    <row r="710" spans="1:24">
      <c r="J710" s="90" t="str">
        <f t="shared" si="704"/>
        <v/>
      </c>
      <c r="K710" s="90">
        <f t="shared" si="704"/>
        <v>0.55792058058480298</v>
      </c>
      <c r="L710" s="90">
        <f t="shared" si="704"/>
        <v>0.43516802221501766</v>
      </c>
      <c r="M710" s="90">
        <f t="shared" si="704"/>
        <v>0.76500746173808076</v>
      </c>
      <c r="N710" s="90">
        <f t="shared" si="704"/>
        <v>0.51909526543101903</v>
      </c>
      <c r="O710" s="90">
        <f t="shared" si="704"/>
        <v>0.66275641813045083</v>
      </c>
    </row>
    <row r="711" spans="1:24">
      <c r="A711" s="68" t="str">
        <f>$A$650</f>
        <v>Dati 2017 lorda</v>
      </c>
    </row>
    <row r="712" spans="1:24">
      <c r="A712" s="68" t="s">
        <v>257</v>
      </c>
      <c r="B712" s="68"/>
      <c r="C712" s="68"/>
      <c r="D712" s="68"/>
      <c r="E712" s="68"/>
      <c r="J712" s="428">
        <v>0.20320213156557898</v>
      </c>
      <c r="K712" s="428">
        <v>9.0796748714022613</v>
      </c>
      <c r="L712" s="428">
        <v>0.84616339944470365</v>
      </c>
      <c r="M712" s="588">
        <v>1.2920455739803629</v>
      </c>
      <c r="N712" s="587">
        <v>1.9414737646345013</v>
      </c>
      <c r="O712" s="587">
        <v>7.8971999416557748E-4</v>
      </c>
      <c r="P712" s="287">
        <f>SUM(J712:O712)</f>
        <v>13.363349461021574</v>
      </c>
    </row>
    <row r="713" spans="1:24">
      <c r="A713" t="s">
        <v>258</v>
      </c>
      <c r="J713" s="181">
        <f t="shared" ref="J713:P713" si="705">J712/(J692*11.63)*1000000</f>
        <v>379.8312676466017</v>
      </c>
      <c r="K713" s="181">
        <f t="shared" si="705"/>
        <v>233.75295992953019</v>
      </c>
      <c r="L713" s="181">
        <f t="shared" si="705"/>
        <v>705.69307565612485</v>
      </c>
      <c r="M713" s="181">
        <f t="shared" si="705"/>
        <v>244.48926517679109</v>
      </c>
      <c r="N713" s="181">
        <f t="shared" si="705"/>
        <v>154.21403709324665</v>
      </c>
      <c r="O713" s="181">
        <f t="shared" si="705"/>
        <v>0.30032594795581485</v>
      </c>
      <c r="P713" s="181">
        <f t="shared" si="705"/>
        <v>218.78165008132791</v>
      </c>
    </row>
    <row r="715" spans="1:24">
      <c r="A715" s="68" t="s">
        <v>259</v>
      </c>
      <c r="J715" s="287">
        <f t="shared" ref="J715:O715" si="706">J712+R675</f>
        <v>0.26112019576092194</v>
      </c>
      <c r="K715" s="287">
        <f t="shared" si="706"/>
        <v>40.028798750506986</v>
      </c>
      <c r="L715" s="287">
        <f t="shared" si="706"/>
        <v>4.5116094846222428</v>
      </c>
      <c r="M715" s="287">
        <f t="shared" si="706"/>
        <v>2.2390194664636045</v>
      </c>
      <c r="N715" s="287">
        <f t="shared" si="706"/>
        <v>6.2482940614988269</v>
      </c>
      <c r="O715" s="287">
        <f t="shared" si="706"/>
        <v>4.119241028571527E-2</v>
      </c>
      <c r="P715" s="287">
        <f>P712+X675</f>
        <v>53.330034369138289</v>
      </c>
    </row>
    <row r="716" spans="1:24">
      <c r="A716" t="s">
        <v>260</v>
      </c>
      <c r="J716" s="90">
        <f t="shared" ref="J716:P716" si="707">J715/((J692*11.63)+J658)*1000000</f>
        <v>387.71781754606212</v>
      </c>
      <c r="K716" s="90">
        <f t="shared" si="707"/>
        <v>318.6409401680545</v>
      </c>
      <c r="L716" s="90">
        <f t="shared" si="707"/>
        <v>1229.5046385993339</v>
      </c>
      <c r="M716" s="90">
        <f t="shared" si="707"/>
        <v>300.48983395814332</v>
      </c>
      <c r="N716" s="90">
        <f t="shared" si="707"/>
        <v>242.07502389928274</v>
      </c>
      <c r="O716" s="90">
        <f t="shared" si="707"/>
        <v>5.1620577354360568</v>
      </c>
      <c r="P716" s="90">
        <f t="shared" si="707"/>
        <v>311.49096235306348</v>
      </c>
    </row>
    <row r="717" spans="1:24">
      <c r="J717" s="168"/>
      <c r="K717" s="168"/>
      <c r="L717" s="168"/>
      <c r="M717" s="168"/>
      <c r="N717" s="168"/>
      <c r="O717" s="168"/>
      <c r="P717" s="168"/>
    </row>
    <row r="718" spans="1:24">
      <c r="A718" t="s">
        <v>261</v>
      </c>
      <c r="J718" s="266">
        <f>IFERROR((J713*J692*11.63/1000000+R675)/(J692*11.63+J658)*1000000,"")</f>
        <v>387.71781754606212</v>
      </c>
      <c r="K718" s="266">
        <f t="shared" ref="K718:P718" si="708">IFERROR((K713*K692*11.63/1000000+S675)/(K692*11.63+K658)*1000000,"")</f>
        <v>318.6409401680545</v>
      </c>
      <c r="L718" s="266">
        <f t="shared" si="708"/>
        <v>1229.5046385993339</v>
      </c>
      <c r="M718" s="266">
        <f t="shared" si="708"/>
        <v>300.48983395814332</v>
      </c>
      <c r="N718" s="266">
        <f t="shared" si="708"/>
        <v>242.07502389928277</v>
      </c>
      <c r="O718" s="266">
        <f t="shared" si="708"/>
        <v>5.1620577354360568</v>
      </c>
      <c r="P718" s="266">
        <f t="shared" si="708"/>
        <v>311.49096235306348</v>
      </c>
      <c r="R718" s="255">
        <f t="shared" ref="R718:X723" si="709">IFERROR(J718/R698-1,"")</f>
        <v>-7.2846814268226256E-2</v>
      </c>
      <c r="S718" s="255">
        <f t="shared" si="709"/>
        <v>-0.10653958962264665</v>
      </c>
      <c r="T718" s="255">
        <f t="shared" si="709"/>
        <v>-0.17135099286321187</v>
      </c>
      <c r="U718" s="255">
        <f t="shared" si="709"/>
        <v>-0.31251615294993351</v>
      </c>
      <c r="V718" s="255">
        <f t="shared" si="709"/>
        <v>-0.25683070586326961</v>
      </c>
      <c r="W718" s="255">
        <f t="shared" si="709"/>
        <v>-0.3164178597364341</v>
      </c>
      <c r="X718" s="255">
        <f t="shared" si="709"/>
        <v>-0.14168688910910676</v>
      </c>
    </row>
    <row r="719" spans="1:24">
      <c r="A719" s="186" t="s">
        <v>24</v>
      </c>
      <c r="J719" s="181" t="str">
        <f t="shared" ref="J719:P723" si="710">IFERROR((J$713*J693*11.63/1000000+R676)/(J693*11.63+J659)*1000000,"")</f>
        <v/>
      </c>
      <c r="K719" s="181">
        <f t="shared" si="710"/>
        <v>286.42583351653025</v>
      </c>
      <c r="L719" s="181">
        <f t="shared" si="710"/>
        <v>981.64343873571647</v>
      </c>
      <c r="M719" s="181">
        <f t="shared" si="710"/>
        <v>375.90917438723147</v>
      </c>
      <c r="N719" s="181">
        <f t="shared" si="710"/>
        <v>219.03546636544078</v>
      </c>
      <c r="O719" s="181">
        <f t="shared" si="710"/>
        <v>5.170261460193295</v>
      </c>
      <c r="P719" s="181">
        <f t="shared" si="710"/>
        <v>224.46153009498823</v>
      </c>
      <c r="R719" s="254" t="str">
        <f t="shared" si="709"/>
        <v/>
      </c>
      <c r="S719" s="254">
        <f t="shared" si="709"/>
        <v>-0.12830431060770831</v>
      </c>
      <c r="T719" s="254">
        <f t="shared" si="709"/>
        <v>-0.16159281521002955</v>
      </c>
      <c r="U719" s="254">
        <f t="shared" si="709"/>
        <v>-0.21689592032455762</v>
      </c>
      <c r="V719" s="254">
        <f t="shared" si="709"/>
        <v>-0.2857685397900267</v>
      </c>
      <c r="W719" s="254">
        <f t="shared" si="709"/>
        <v>-0.31482246140412884</v>
      </c>
      <c r="X719" s="254">
        <f t="shared" si="709"/>
        <v>-1.8776707107547419E-2</v>
      </c>
    </row>
    <row r="720" spans="1:24">
      <c r="A720" s="186" t="s">
        <v>25</v>
      </c>
      <c r="J720" s="181" t="str">
        <f t="shared" si="710"/>
        <v/>
      </c>
      <c r="K720" s="181">
        <f t="shared" si="710"/>
        <v>285.03388999046877</v>
      </c>
      <c r="L720" s="181" t="str">
        <f t="shared" si="710"/>
        <v/>
      </c>
      <c r="M720" s="181">
        <f t="shared" si="710"/>
        <v>280.97507884810648</v>
      </c>
      <c r="N720" s="181">
        <f t="shared" si="710"/>
        <v>194.16953288330973</v>
      </c>
      <c r="O720" s="181">
        <f t="shared" si="710"/>
        <v>3.7803830494941906</v>
      </c>
      <c r="P720" s="181">
        <f t="shared" si="710"/>
        <v>274.90640293098835</v>
      </c>
      <c r="R720" s="254" t="str">
        <f t="shared" si="709"/>
        <v/>
      </c>
      <c r="S720" s="254">
        <f t="shared" si="709"/>
        <v>-0.19174057153638857</v>
      </c>
      <c r="T720" s="254" t="str">
        <f t="shared" si="709"/>
        <v/>
      </c>
      <c r="U720" s="254">
        <f t="shared" si="709"/>
        <v>-0.19877635618332345</v>
      </c>
      <c r="V720" s="254">
        <f t="shared" si="709"/>
        <v>-0.46885636572540879</v>
      </c>
      <c r="W720" s="254">
        <f t="shared" si="709"/>
        <v>-0.51704994564534301</v>
      </c>
      <c r="X720" s="254">
        <f t="shared" si="709"/>
        <v>-0.21955571435398991</v>
      </c>
    </row>
    <row r="721" spans="1:43">
      <c r="A721" s="186" t="s">
        <v>26</v>
      </c>
      <c r="J721" s="181">
        <f t="shared" si="710"/>
        <v>387.28484890747444</v>
      </c>
      <c r="K721" s="181">
        <f t="shared" si="710"/>
        <v>329.19712658793486</v>
      </c>
      <c r="L721" s="181">
        <f t="shared" si="710"/>
        <v>1133.6029340442626</v>
      </c>
      <c r="M721" s="181">
        <f t="shared" si="710"/>
        <v>316.97953491163747</v>
      </c>
      <c r="N721" s="181">
        <f t="shared" si="710"/>
        <v>227.40244053021135</v>
      </c>
      <c r="O721" s="181">
        <f t="shared" si="710"/>
        <v>5.0861894242609988</v>
      </c>
      <c r="P721" s="181">
        <f t="shared" si="710"/>
        <v>329.62243431480891</v>
      </c>
      <c r="R721" s="254">
        <f t="shared" si="709"/>
        <v>-6.1654937226200857E-2</v>
      </c>
      <c r="S721" s="254">
        <f t="shared" si="709"/>
        <v>-8.365707915924836E-2</v>
      </c>
      <c r="T721" s="254">
        <f t="shared" si="709"/>
        <v>-0.20011527919109473</v>
      </c>
      <c r="U721" s="254">
        <f t="shared" si="709"/>
        <v>-0.29931182538108292</v>
      </c>
      <c r="V721" s="254">
        <f t="shared" si="709"/>
        <v>-8.8509775168317595E-2</v>
      </c>
      <c r="W721" s="254">
        <f t="shared" si="709"/>
        <v>-0.36373162832790396</v>
      </c>
      <c r="X721" s="254">
        <f t="shared" si="709"/>
        <v>-0.10531220309444111</v>
      </c>
    </row>
    <row r="722" spans="1:43">
      <c r="A722" s="186" t="s">
        <v>27</v>
      </c>
      <c r="J722" s="181">
        <f t="shared" si="710"/>
        <v>389.74281354392508</v>
      </c>
      <c r="K722" s="181">
        <f t="shared" si="710"/>
        <v>246.38472817826215</v>
      </c>
      <c r="L722" s="181" t="str">
        <f t="shared" si="710"/>
        <v/>
      </c>
      <c r="M722" s="181">
        <f t="shared" si="710"/>
        <v>255.19966335664452</v>
      </c>
      <c r="N722" s="181">
        <f t="shared" si="710"/>
        <v>182.78454110380488</v>
      </c>
      <c r="O722" s="181" t="str">
        <f t="shared" si="710"/>
        <v/>
      </c>
      <c r="P722" s="181">
        <f t="shared" si="710"/>
        <v>231.68690515589768</v>
      </c>
      <c r="R722" s="254">
        <f t="shared" si="709"/>
        <v>-0.17373713395150669</v>
      </c>
      <c r="S722" s="254">
        <f t="shared" si="709"/>
        <v>-0.14222232244137856</v>
      </c>
      <c r="T722" s="254" t="str">
        <f t="shared" si="709"/>
        <v/>
      </c>
      <c r="U722" s="254">
        <f t="shared" si="709"/>
        <v>-0.24068952472759764</v>
      </c>
      <c r="V722" s="254">
        <f t="shared" si="709"/>
        <v>-0.23141280811069609</v>
      </c>
      <c r="W722" s="254" t="str">
        <f t="shared" si="709"/>
        <v/>
      </c>
      <c r="X722" s="254">
        <f t="shared" si="709"/>
        <v>-0.14481829241951305</v>
      </c>
    </row>
    <row r="723" spans="1:43">
      <c r="A723" s="186" t="s">
        <v>28</v>
      </c>
      <c r="J723" s="181" t="str">
        <f t="shared" si="710"/>
        <v/>
      </c>
      <c r="K723" s="181">
        <f t="shared" si="710"/>
        <v>375.50819596779854</v>
      </c>
      <c r="L723" s="181">
        <f t="shared" si="710"/>
        <v>1446.7219794951332</v>
      </c>
      <c r="M723" s="181">
        <f t="shared" si="710"/>
        <v>300.02417803466687</v>
      </c>
      <c r="N723" s="181">
        <f t="shared" si="710"/>
        <v>274.80412850142818</v>
      </c>
      <c r="O723" s="181">
        <f t="shared" si="710"/>
        <v>2.8619852987358243</v>
      </c>
      <c r="P723" s="181">
        <f t="shared" si="710"/>
        <v>406.07422284511944</v>
      </c>
      <c r="R723" s="254" t="str">
        <f t="shared" si="709"/>
        <v/>
      </c>
      <c r="S723" s="254">
        <f t="shared" si="709"/>
        <v>-0.27311033324447798</v>
      </c>
      <c r="T723" s="254">
        <f t="shared" si="709"/>
        <v>-0.10332295784090428</v>
      </c>
      <c r="U723" s="254">
        <f t="shared" si="709"/>
        <v>-0.45300945957260497</v>
      </c>
      <c r="V723" s="254">
        <f t="shared" si="709"/>
        <v>-0.44413884620787625</v>
      </c>
      <c r="W723" s="254">
        <f t="shared" si="709"/>
        <v>-0.73331224387913452</v>
      </c>
      <c r="X723" s="254">
        <f t="shared" si="709"/>
        <v>-0.41442602938589312</v>
      </c>
    </row>
    <row r="725" spans="1:43">
      <c r="J725" s="181"/>
      <c r="K725" s="181"/>
      <c r="L725" s="181"/>
      <c r="M725" s="181"/>
      <c r="N725" s="181"/>
      <c r="O725" s="181"/>
      <c r="P725" s="181"/>
    </row>
    <row r="726" spans="1:43">
      <c r="J726" s="181"/>
      <c r="K726" s="181"/>
      <c r="L726" s="181"/>
      <c r="M726" s="181"/>
      <c r="N726" s="181"/>
      <c r="O726" s="181"/>
      <c r="P726" s="181"/>
    </row>
    <row r="727" spans="1:43">
      <c r="J727" s="181"/>
      <c r="K727" s="181"/>
      <c r="L727" s="181"/>
      <c r="M727" s="181"/>
      <c r="N727" s="181"/>
      <c r="O727" s="181"/>
      <c r="P727" s="181"/>
    </row>
    <row r="728" spans="1:43">
      <c r="J728" s="181"/>
      <c r="K728" s="181"/>
      <c r="L728" s="181"/>
      <c r="M728" s="181"/>
      <c r="N728" s="181"/>
      <c r="O728" s="181"/>
      <c r="P728" s="181"/>
    </row>
    <row r="729" spans="1:43">
      <c r="J729" s="181"/>
      <c r="K729" s="181"/>
      <c r="L729" s="181"/>
      <c r="M729" s="181"/>
      <c r="N729" s="181"/>
      <c r="O729" s="181"/>
      <c r="P729" s="181"/>
    </row>
    <row r="730" spans="1:43">
      <c r="J730" s="181"/>
      <c r="K730" s="181"/>
      <c r="L730" s="181"/>
      <c r="M730" s="181"/>
      <c r="N730" s="181"/>
      <c r="O730" s="181"/>
      <c r="P730" s="181"/>
    </row>
    <row r="734" spans="1:43">
      <c r="J734" s="166">
        <f>J783*((J743/11.63)/((J743/11.63)+J777))*41.868</f>
        <v>571.11442068255064</v>
      </c>
      <c r="K734" s="166">
        <f t="shared" ref="K734:P734" si="711">K783*((K743/11.63)/((K743/11.63)+K777))*41.868</f>
        <v>442129.81715714716</v>
      </c>
      <c r="L734" s="166">
        <f t="shared" si="711"/>
        <v>19484.137156008066</v>
      </c>
      <c r="M734" s="166">
        <f t="shared" si="711"/>
        <v>10292.364947095528</v>
      </c>
      <c r="N734" s="166">
        <f t="shared" si="711"/>
        <v>83270.751021985052</v>
      </c>
      <c r="O734" s="166">
        <f t="shared" si="711"/>
        <v>32236.611989794565</v>
      </c>
      <c r="P734" s="166">
        <f t="shared" si="711"/>
        <v>587056.93140308151</v>
      </c>
    </row>
    <row r="735" spans="1:43">
      <c r="A735" s="68" t="s">
        <v>229</v>
      </c>
      <c r="J735" s="68" t="s">
        <v>175</v>
      </c>
      <c r="R735" s="68" t="s">
        <v>122</v>
      </c>
      <c r="S735" s="68"/>
      <c r="AJ735" s="68" t="s">
        <v>264</v>
      </c>
    </row>
    <row r="736" spans="1:43" ht="15.5">
      <c r="A736" s="68"/>
      <c r="J736" s="180" t="s">
        <v>5</v>
      </c>
      <c r="K736" s="180" t="s">
        <v>186</v>
      </c>
      <c r="L736" s="180" t="s">
        <v>187</v>
      </c>
      <c r="M736" s="180" t="s">
        <v>190</v>
      </c>
      <c r="N736" s="180" t="s">
        <v>192</v>
      </c>
      <c r="O736" s="180" t="s">
        <v>191</v>
      </c>
      <c r="P736" s="180" t="s">
        <v>189</v>
      </c>
      <c r="Q736" s="2"/>
      <c r="R736" s="180" t="s">
        <v>5</v>
      </c>
      <c r="S736" s="180" t="s">
        <v>186</v>
      </c>
      <c r="T736" s="180" t="s">
        <v>187</v>
      </c>
      <c r="U736" s="180" t="s">
        <v>190</v>
      </c>
      <c r="V736" s="180" t="s">
        <v>192</v>
      </c>
      <c r="W736" s="180" t="s">
        <v>191</v>
      </c>
      <c r="X736" s="180" t="s">
        <v>189</v>
      </c>
      <c r="AA736" s="68" t="s">
        <v>194</v>
      </c>
      <c r="AB736" s="183" t="s">
        <v>193</v>
      </c>
      <c r="AJ736" s="68"/>
      <c r="AK736" s="180" t="s">
        <v>5</v>
      </c>
      <c r="AL736" s="180" t="s">
        <v>186</v>
      </c>
      <c r="AM736" s="180" t="s">
        <v>187</v>
      </c>
      <c r="AN736" s="180" t="s">
        <v>190</v>
      </c>
      <c r="AO736" s="180" t="s">
        <v>192</v>
      </c>
      <c r="AP736" s="180" t="s">
        <v>191</v>
      </c>
      <c r="AQ736" s="180" t="s">
        <v>189</v>
      </c>
    </row>
    <row r="737" spans="1:43" ht="15.5">
      <c r="A737" s="11" t="s">
        <v>16</v>
      </c>
      <c r="J737" s="179">
        <f t="shared" ref="J737:P737" si="712">SUM(J738:J742)</f>
        <v>35469.199999999997</v>
      </c>
      <c r="K737" s="179">
        <f t="shared" si="712"/>
        <v>44988.799999999996</v>
      </c>
      <c r="L737" s="179">
        <f t="shared" si="712"/>
        <v>35.1</v>
      </c>
      <c r="M737" s="179">
        <f t="shared" si="712"/>
        <v>1911.6000000000001</v>
      </c>
      <c r="N737" s="179">
        <f t="shared" si="712"/>
        <v>8014.4000000000005</v>
      </c>
      <c r="O737" s="179">
        <f t="shared" si="712"/>
        <v>3148.2999999999997</v>
      </c>
      <c r="P737" s="179">
        <f t="shared" si="712"/>
        <v>93567.4</v>
      </c>
      <c r="Q737" s="2"/>
      <c r="R737" s="68">
        <v>9.4350000000000005</v>
      </c>
      <c r="S737" s="68">
        <v>6.8220000000000001</v>
      </c>
      <c r="T737" s="68">
        <v>8.9250000000000007</v>
      </c>
      <c r="U737" s="68">
        <v>10.314</v>
      </c>
      <c r="V737" s="68">
        <v>11.378</v>
      </c>
      <c r="W737" s="68">
        <v>9.859</v>
      </c>
      <c r="X737" s="68">
        <v>8.3770000000000007</v>
      </c>
      <c r="AA737" s="68" t="s">
        <v>5</v>
      </c>
      <c r="AJ737" s="11" t="s">
        <v>16</v>
      </c>
      <c r="AK737" s="256">
        <f>IFERROR(J737*3.6/J754,"")</f>
        <v>0.38154185302159954</v>
      </c>
      <c r="AL737" s="256">
        <f t="shared" ref="AL737:AQ737" si="713">IFERROR(K737*3.6/K754,"")</f>
        <v>0.52767694076486116</v>
      </c>
      <c r="AM737" s="256">
        <f t="shared" si="713"/>
        <v>0.40336134453781514</v>
      </c>
      <c r="AN737" s="256">
        <f t="shared" si="713"/>
        <v>0.3490246641844173</v>
      </c>
      <c r="AO737" s="256">
        <f t="shared" si="713"/>
        <v>0.31640108174984594</v>
      </c>
      <c r="AP737" s="256">
        <f t="shared" si="713"/>
        <v>0.36513987228126421</v>
      </c>
      <c r="AQ737" s="256">
        <f t="shared" si="713"/>
        <v>0.42972653996244708</v>
      </c>
    </row>
    <row r="738" spans="1:43" ht="15.5">
      <c r="A738" s="10" t="s">
        <v>17</v>
      </c>
      <c r="K738">
        <v>242.6</v>
      </c>
      <c r="L738">
        <v>35.1</v>
      </c>
      <c r="M738">
        <v>259.2</v>
      </c>
      <c r="N738">
        <v>1285.9000000000001</v>
      </c>
      <c r="O738">
        <v>3091.2</v>
      </c>
      <c r="P738" s="68">
        <f>SUM(J738:O738)</f>
        <v>4914</v>
      </c>
      <c r="Q738" s="2"/>
      <c r="S738">
        <v>9.9320000000000004</v>
      </c>
      <c r="T738">
        <v>8.9250000000000007</v>
      </c>
      <c r="U738">
        <v>9.641</v>
      </c>
      <c r="V738">
        <v>8.9260000000000002</v>
      </c>
      <c r="W738">
        <v>9.8460000000000001</v>
      </c>
      <c r="X738" s="68">
        <v>9.5920000000000005</v>
      </c>
      <c r="Z738" s="169">
        <f>AA738*AB738</f>
        <v>756123.43301262904</v>
      </c>
      <c r="AA738" s="185">
        <v>7948.8</v>
      </c>
      <c r="AB738" s="184">
        <v>95.124224161210378</v>
      </c>
      <c r="AC738" s="186" t="s">
        <v>58</v>
      </c>
      <c r="AJ738" s="10" t="s">
        <v>17</v>
      </c>
      <c r="AK738" s="56" t="str">
        <f t="shared" ref="AK738:AQ738" si="714">IFERROR(J738*3.6/J755,"")</f>
        <v/>
      </c>
      <c r="AL738" s="56">
        <f t="shared" si="714"/>
        <v>0.3624647603705195</v>
      </c>
      <c r="AM738" s="56">
        <f t="shared" si="714"/>
        <v>0.40336134453781514</v>
      </c>
      <c r="AN738" s="56">
        <f t="shared" si="714"/>
        <v>0.37340524841821388</v>
      </c>
      <c r="AO738" s="56">
        <f t="shared" si="714"/>
        <v>0.40331615505265522</v>
      </c>
      <c r="AP738" s="56">
        <f t="shared" si="714"/>
        <v>0.36563071297989036</v>
      </c>
      <c r="AQ738" s="256">
        <f t="shared" si="714"/>
        <v>0.3753085525040285</v>
      </c>
    </row>
    <row r="739" spans="1:43" ht="15.5">
      <c r="A739" s="10" t="s">
        <v>18</v>
      </c>
      <c r="K739">
        <v>363.9</v>
      </c>
      <c r="M739">
        <v>4.7</v>
      </c>
      <c r="N739">
        <v>15.5</v>
      </c>
      <c r="O739">
        <v>37.799999999999997</v>
      </c>
      <c r="P739" s="68">
        <f>SUM(J739:O739)</f>
        <v>421.9</v>
      </c>
      <c r="Q739" s="2"/>
      <c r="S739">
        <v>11.444000000000001</v>
      </c>
      <c r="U739">
        <v>15.141999999999999</v>
      </c>
      <c r="V739">
        <v>13.505000000000001</v>
      </c>
      <c r="W739">
        <v>11.365</v>
      </c>
      <c r="X739" s="68">
        <v>11.554</v>
      </c>
      <c r="Z739" s="169">
        <f>AA739*AB739</f>
        <v>0</v>
      </c>
      <c r="AA739" s="185">
        <v>0</v>
      </c>
      <c r="AB739" s="184">
        <v>95.124224161210378</v>
      </c>
      <c r="AC739" s="186" t="s">
        <v>59</v>
      </c>
      <c r="AJ739" s="10" t="s">
        <v>18</v>
      </c>
      <c r="AK739" s="56" t="str">
        <f t="shared" ref="AK739:AQ739" si="715">IFERROR(J739*3.6/J756,"")</f>
        <v/>
      </c>
      <c r="AL739" s="56">
        <f t="shared" si="715"/>
        <v>0.31457532331352672</v>
      </c>
      <c r="AM739" s="56" t="str">
        <f t="shared" si="715"/>
        <v/>
      </c>
      <c r="AN739" s="56">
        <f t="shared" si="715"/>
        <v>0.23774930656452253</v>
      </c>
      <c r="AO739" s="56">
        <f t="shared" si="715"/>
        <v>0.2665679378008145</v>
      </c>
      <c r="AP739" s="56">
        <f t="shared" si="715"/>
        <v>0.31676198856137261</v>
      </c>
      <c r="AQ739" s="256">
        <f t="shared" si="715"/>
        <v>0.31158482190251491</v>
      </c>
    </row>
    <row r="740" spans="1:43" ht="15.5">
      <c r="A740" s="10" t="s">
        <v>19</v>
      </c>
      <c r="J740">
        <v>35469.199999999997</v>
      </c>
      <c r="K740">
        <v>350.6</v>
      </c>
      <c r="M740">
        <v>1644</v>
      </c>
      <c r="N740">
        <v>4545.2</v>
      </c>
      <c r="O740">
        <v>8.6</v>
      </c>
      <c r="P740" s="68">
        <f>SUM(J740:O740)</f>
        <v>42017.599999999991</v>
      </c>
      <c r="Q740" s="2"/>
      <c r="R740">
        <v>9.4353999999999996</v>
      </c>
      <c r="S740">
        <v>9.5310000000000006</v>
      </c>
      <c r="U740">
        <v>10.412000000000001</v>
      </c>
      <c r="V740">
        <v>13.872</v>
      </c>
      <c r="W740">
        <v>9.0299999999999994</v>
      </c>
      <c r="X740" s="68">
        <v>9.9540000000000006</v>
      </c>
      <c r="Z740" s="169">
        <f>AA740*AB740</f>
        <v>0</v>
      </c>
      <c r="AA740" s="185">
        <v>0</v>
      </c>
      <c r="AB740" s="184">
        <v>101</v>
      </c>
      <c r="AC740" s="186" t="s">
        <v>60</v>
      </c>
      <c r="AJ740" s="10" t="s">
        <v>19</v>
      </c>
      <c r="AK740" s="56">
        <f t="shared" ref="AK740:AQ740" si="716">IFERROR(J740*3.6/J757,"")</f>
        <v>0.38154185302159954</v>
      </c>
      <c r="AL740" s="56">
        <f t="shared" si="716"/>
        <v>0.37771482530689326</v>
      </c>
      <c r="AM740" s="56" t="str">
        <f t="shared" si="716"/>
        <v/>
      </c>
      <c r="AN740" s="56">
        <f t="shared" si="716"/>
        <v>0.34575489819439109</v>
      </c>
      <c r="AO740" s="56">
        <f t="shared" si="716"/>
        <v>0.25951557093425603</v>
      </c>
      <c r="AP740" s="56">
        <f t="shared" si="716"/>
        <v>0.39867109634551501</v>
      </c>
      <c r="AQ740" s="256">
        <f t="shared" si="716"/>
        <v>0.36165460088833196</v>
      </c>
    </row>
    <row r="741" spans="1:43" ht="15.5">
      <c r="A741" s="10" t="s">
        <v>20</v>
      </c>
      <c r="K741">
        <v>44031.7</v>
      </c>
      <c r="M741">
        <v>3.7</v>
      </c>
      <c r="N741">
        <v>2167.8000000000002</v>
      </c>
      <c r="O741">
        <v>10.7</v>
      </c>
      <c r="P741" s="68">
        <f>SUM(J741:O741)</f>
        <v>46213.899999999994</v>
      </c>
      <c r="Q741" s="2"/>
      <c r="S741" s="171">
        <v>6.7454599999999996</v>
      </c>
      <c r="U741" s="171">
        <v>8.02</v>
      </c>
      <c r="V741">
        <v>7.5880000000000001</v>
      </c>
      <c r="W741">
        <v>9.0299999999999994</v>
      </c>
      <c r="X741" s="68">
        <v>6.7850000000000001</v>
      </c>
      <c r="Z741" s="169">
        <f>AA741*AB741</f>
        <v>5631.55</v>
      </c>
      <c r="AA741" s="185">
        <v>59</v>
      </c>
      <c r="AB741" s="280">
        <v>95.45</v>
      </c>
      <c r="AC741" s="186" t="s">
        <v>61</v>
      </c>
      <c r="AJ741" s="10" t="s">
        <v>20</v>
      </c>
      <c r="AK741" s="56" t="str">
        <f t="shared" ref="AK741:AQ741" si="717">IFERROR(J741*3.6/J758,"")</f>
        <v/>
      </c>
      <c r="AL741" s="56">
        <f t="shared" si="717"/>
        <v>0.53369229081485925</v>
      </c>
      <c r="AM741" s="56" t="str">
        <f t="shared" si="717"/>
        <v/>
      </c>
      <c r="AN741" s="56">
        <f t="shared" si="717"/>
        <v>0.44887780548628431</v>
      </c>
      <c r="AO741" s="56">
        <f t="shared" si="717"/>
        <v>0.47443331576172909</v>
      </c>
      <c r="AP741" s="56">
        <f t="shared" si="717"/>
        <v>0.39867109634551501</v>
      </c>
      <c r="AQ741" s="256">
        <f t="shared" si="717"/>
        <v>0.53053424848013619</v>
      </c>
    </row>
    <row r="742" spans="1:43" ht="15.5">
      <c r="A742" s="10" t="s">
        <v>22</v>
      </c>
      <c r="P742" s="68">
        <f>SUM(J742:O742)</f>
        <v>0</v>
      </c>
      <c r="Q742" s="2"/>
      <c r="X742" s="68">
        <v>0</v>
      </c>
      <c r="Z742" s="169"/>
      <c r="AA742" s="179" t="s">
        <v>213</v>
      </c>
      <c r="AJ742" s="10" t="s">
        <v>22</v>
      </c>
      <c r="AK742" s="56" t="str">
        <f t="shared" ref="AK742:AQ742" si="718">IFERROR(J742*3.6/J759,"")</f>
        <v/>
      </c>
      <c r="AL742" s="56" t="str">
        <f t="shared" si="718"/>
        <v/>
      </c>
      <c r="AM742" s="56" t="str">
        <f t="shared" si="718"/>
        <v/>
      </c>
      <c r="AN742" s="56" t="str">
        <f t="shared" si="718"/>
        <v/>
      </c>
      <c r="AO742" s="56" t="str">
        <f t="shared" si="718"/>
        <v/>
      </c>
      <c r="AP742" s="56" t="str">
        <f t="shared" si="718"/>
        <v/>
      </c>
      <c r="AQ742" s="256" t="str">
        <f t="shared" si="718"/>
        <v/>
      </c>
    </row>
    <row r="743" spans="1:43" ht="15.5">
      <c r="A743" s="11" t="s">
        <v>23</v>
      </c>
      <c r="J743" s="179">
        <f t="shared" ref="J743:P743" si="719">SUM(J744:J748)</f>
        <v>138.5</v>
      </c>
      <c r="K743" s="179">
        <f t="shared" si="719"/>
        <v>81159.3</v>
      </c>
      <c r="L743" s="179">
        <f t="shared" si="719"/>
        <v>2796.8</v>
      </c>
      <c r="M743" s="179">
        <f t="shared" si="719"/>
        <v>2215.2000000000003</v>
      </c>
      <c r="N743" s="179">
        <f t="shared" si="719"/>
        <v>13618.9</v>
      </c>
      <c r="O743" s="179">
        <f t="shared" si="719"/>
        <v>5198.1000000000004</v>
      </c>
      <c r="P743" s="179">
        <f t="shared" si="719"/>
        <v>105126.8</v>
      </c>
      <c r="Q743" s="2"/>
      <c r="R743" s="68">
        <v>4.4470000000000001</v>
      </c>
      <c r="S743" s="68">
        <v>6.1189999999999998</v>
      </c>
      <c r="T743" s="68">
        <v>8.5579999999999998</v>
      </c>
      <c r="U743" s="68">
        <v>6.2430000000000003</v>
      </c>
      <c r="V743" s="68">
        <v>8.0030000000000001</v>
      </c>
      <c r="W743" s="68">
        <v>7.0410000000000004</v>
      </c>
      <c r="X743" s="68">
        <v>6.4740000000000002</v>
      </c>
      <c r="Z743" s="169">
        <f>AA743*AB743</f>
        <v>387.34864914820065</v>
      </c>
      <c r="AA743" s="207">
        <v>1.9</v>
      </c>
      <c r="AB743" s="184">
        <v>203.86771007800036</v>
      </c>
      <c r="AC743" s="186" t="s">
        <v>140</v>
      </c>
      <c r="AJ743" s="11" t="s">
        <v>23</v>
      </c>
      <c r="AK743" s="256">
        <f t="shared" ref="AK743:AP743" si="720">IFERROR(J743*3.6/J760,"")</f>
        <v>0.80957381929844741</v>
      </c>
      <c r="AL743" s="256">
        <f t="shared" si="720"/>
        <v>0.58832531075882899</v>
      </c>
      <c r="AM743" s="256">
        <f t="shared" si="720"/>
        <v>0.42062998820750619</v>
      </c>
      <c r="AN743" s="256">
        <f t="shared" si="720"/>
        <v>0.576621414215298</v>
      </c>
      <c r="AO743" s="256">
        <f t="shared" si="720"/>
        <v>0.44983746368544653</v>
      </c>
      <c r="AP743" s="256">
        <f t="shared" si="720"/>
        <v>0.51133952442076369</v>
      </c>
      <c r="AQ743" s="256">
        <f>IFERROR(P743*3.6/P760,"")</f>
        <v>0.55607243051807154</v>
      </c>
    </row>
    <row r="744" spans="1:43" ht="15.5">
      <c r="A744" s="10" t="s">
        <v>24</v>
      </c>
      <c r="K744">
        <v>8131</v>
      </c>
      <c r="L744">
        <v>129.69999999999999</v>
      </c>
      <c r="M744">
        <v>28.9</v>
      </c>
      <c r="N744">
        <v>1752.6</v>
      </c>
      <c r="O744">
        <v>5164.2</v>
      </c>
      <c r="P744" s="68">
        <f>SUM(J744:O744)</f>
        <v>15206.400000000001</v>
      </c>
      <c r="Q744" s="2"/>
      <c r="S744" s="171">
        <v>5.59</v>
      </c>
      <c r="T744">
        <v>7.7480000000000002</v>
      </c>
      <c r="U744">
        <v>6.7519999999999998</v>
      </c>
      <c r="V744">
        <v>7.5629999999999997</v>
      </c>
      <c r="W744">
        <v>7.0339999999999998</v>
      </c>
      <c r="X744" s="68">
        <v>6.3280000000000003</v>
      </c>
      <c r="Z744" s="169">
        <f>AA744*AB744</f>
        <v>102255.78905202427</v>
      </c>
      <c r="AA744" s="207">
        <v>412.5</v>
      </c>
      <c r="AB744" s="184">
        <v>247.89282194430126</v>
      </c>
      <c r="AC744" s="186" t="s">
        <v>141</v>
      </c>
      <c r="AJ744" s="10" t="s">
        <v>24</v>
      </c>
      <c r="AK744" s="56" t="str">
        <f t="shared" ref="AK744:AQ744" si="721">IFERROR(J744*3.6/J761,"")</f>
        <v/>
      </c>
      <c r="AL744" s="56">
        <f t="shared" si="721"/>
        <v>0.64400715563506261</v>
      </c>
      <c r="AM744" s="56">
        <f t="shared" si="721"/>
        <v>0.46463603510583373</v>
      </c>
      <c r="AN744" s="56">
        <f t="shared" si="721"/>
        <v>0.53317535545023698</v>
      </c>
      <c r="AO744" s="56">
        <f t="shared" si="721"/>
        <v>0.47600158667195558</v>
      </c>
      <c r="AP744" s="56">
        <f t="shared" si="721"/>
        <v>0.51179982940005686</v>
      </c>
      <c r="AQ744" s="256">
        <f t="shared" si="721"/>
        <v>0.56886385315689703</v>
      </c>
    </row>
    <row r="745" spans="1:43" ht="15.5">
      <c r="A745" s="10" t="s">
        <v>25</v>
      </c>
      <c r="K745">
        <v>4456.8</v>
      </c>
      <c r="L745">
        <v>0.1</v>
      </c>
      <c r="M745">
        <v>409.1</v>
      </c>
      <c r="N745">
        <v>13</v>
      </c>
      <c r="O745">
        <v>4.0999999999999996</v>
      </c>
      <c r="P745" s="68">
        <f>SUM(J745:O745)</f>
        <v>4883.1000000000013</v>
      </c>
      <c r="Q745" s="2"/>
      <c r="S745">
        <v>6.0510000000000002</v>
      </c>
      <c r="T745">
        <v>4.8730000000000002</v>
      </c>
      <c r="U745">
        <v>5.0170000000000003</v>
      </c>
      <c r="V745">
        <v>8.7439999999999998</v>
      </c>
      <c r="W745">
        <v>8.3849999999999998</v>
      </c>
      <c r="X745" s="68">
        <v>5.9740000000000002</v>
      </c>
      <c r="Z745" s="169">
        <f>AA745*AB745</f>
        <v>6873.9996861155923</v>
      </c>
      <c r="AA745" s="207">
        <v>157.30000000000001</v>
      </c>
      <c r="AB745" s="184">
        <v>43.699934431758372</v>
      </c>
      <c r="AC745" s="186" t="s">
        <v>142</v>
      </c>
      <c r="AJ745" s="10" t="s">
        <v>25</v>
      </c>
      <c r="AK745" s="56" t="str">
        <f t="shared" ref="AK745:AQ745" si="722">IFERROR(J745*3.6/J762,"")</f>
        <v/>
      </c>
      <c r="AL745" s="56">
        <f t="shared" si="722"/>
        <v>0.59494298463063955</v>
      </c>
      <c r="AM745" s="56">
        <f t="shared" si="722"/>
        <v>0.73876462138313148</v>
      </c>
      <c r="AN745" s="56">
        <f t="shared" si="722"/>
        <v>0.71756029499701024</v>
      </c>
      <c r="AO745" s="56">
        <f t="shared" si="722"/>
        <v>0.41171088746569079</v>
      </c>
      <c r="AP745" s="56">
        <f t="shared" si="722"/>
        <v>0.42933810375670844</v>
      </c>
      <c r="AQ745" s="256">
        <f t="shared" si="722"/>
        <v>0.6026639988379755</v>
      </c>
    </row>
    <row r="746" spans="1:43" ht="15.5">
      <c r="A746" s="10" t="s">
        <v>26</v>
      </c>
      <c r="J746">
        <v>127.3</v>
      </c>
      <c r="K746">
        <v>67150.399999999994</v>
      </c>
      <c r="L746">
        <v>1390.4</v>
      </c>
      <c r="M746">
        <v>1507.5</v>
      </c>
      <c r="N746">
        <v>7654.7</v>
      </c>
      <c r="O746">
        <v>26.3</v>
      </c>
      <c r="P746" s="68">
        <f>SUM(J746:O746)</f>
        <v>77856.599999999991</v>
      </c>
      <c r="Q746" s="2"/>
      <c r="R746">
        <v>4.3959999999999999</v>
      </c>
      <c r="S746" s="171">
        <v>6.1746400000000001</v>
      </c>
      <c r="T746">
        <v>8.1639999999999997</v>
      </c>
      <c r="U746">
        <v>6.4989999999999997</v>
      </c>
      <c r="V746">
        <v>6.1970000000000001</v>
      </c>
      <c r="W746">
        <v>7.665</v>
      </c>
      <c r="X746" s="68">
        <v>6.2160000000000002</v>
      </c>
      <c r="Z746" s="169">
        <f>AA746*AB746</f>
        <v>420.75</v>
      </c>
      <c r="AA746" s="207">
        <v>7.5</v>
      </c>
      <c r="AB746" s="184">
        <v>56.1</v>
      </c>
      <c r="AC746" s="187" t="s">
        <v>196</v>
      </c>
      <c r="AJ746" s="10" t="s">
        <v>26</v>
      </c>
      <c r="AK746" s="56">
        <f>IFERROR(J746*3.6/J763,"")</f>
        <v>0.81892629663330307</v>
      </c>
      <c r="AL746" s="56">
        <f t="shared" ref="AL746:AQ746" si="723">IFERROR(K746*3.6/K763,"")</f>
        <v>0.58302994182656798</v>
      </c>
      <c r="AM746" s="56">
        <f t="shared" si="723"/>
        <v>0.44096031357177862</v>
      </c>
      <c r="AN746" s="56">
        <f t="shared" si="723"/>
        <v>0.55393137405754733</v>
      </c>
      <c r="AO746" s="56">
        <f t="shared" si="723"/>
        <v>0.58092625463934155</v>
      </c>
      <c r="AP746" s="56">
        <f t="shared" si="723"/>
        <v>0.46966731898238745</v>
      </c>
      <c r="AQ746" s="256">
        <f t="shared" si="723"/>
        <v>0.57912812448925544</v>
      </c>
    </row>
    <row r="747" spans="1:43" ht="15.5">
      <c r="A747" s="10" t="s">
        <v>27</v>
      </c>
      <c r="J747">
        <v>11.2</v>
      </c>
      <c r="K747">
        <v>747.3</v>
      </c>
      <c r="M747">
        <v>111.8</v>
      </c>
      <c r="N747">
        <v>655.20000000000005</v>
      </c>
      <c r="O747">
        <v>0.1</v>
      </c>
      <c r="P747" s="68">
        <f>SUM(J747:O747)</f>
        <v>1525.6</v>
      </c>
      <c r="Q747" s="2"/>
      <c r="R747">
        <v>5.024</v>
      </c>
      <c r="S747">
        <v>4.9459999999999997</v>
      </c>
      <c r="U747">
        <v>5.1849999999999996</v>
      </c>
      <c r="V747">
        <v>5.8339999999999996</v>
      </c>
      <c r="W747">
        <v>4.9779999999999998</v>
      </c>
      <c r="X747" s="68">
        <v>5.3460000000000001</v>
      </c>
      <c r="AA747" s="179" t="s">
        <v>214</v>
      </c>
      <c r="AJ747" s="10" t="s">
        <v>27</v>
      </c>
      <c r="AK747" s="56">
        <f t="shared" ref="AK747:AQ747" si="724">IFERROR(J747*3.6/J764,"")</f>
        <v>0.71656050955414019</v>
      </c>
      <c r="AL747" s="56">
        <f t="shared" si="724"/>
        <v>0.72786089769510709</v>
      </c>
      <c r="AM747" s="56" t="str">
        <f t="shared" si="724"/>
        <v/>
      </c>
      <c r="AN747" s="56">
        <f t="shared" si="724"/>
        <v>0.69431051108968178</v>
      </c>
      <c r="AO747" s="56">
        <f t="shared" si="724"/>
        <v>0.61707233459033262</v>
      </c>
      <c r="AP747" s="56">
        <f>IFERROR(O747*3.6/O764,"")</f>
        <v>0.72318200080353556</v>
      </c>
      <c r="AQ747" s="256">
        <f t="shared" si="724"/>
        <v>0.67346883069327435</v>
      </c>
    </row>
    <row r="748" spans="1:43" ht="15.5">
      <c r="A748" s="10" t="s">
        <v>28</v>
      </c>
      <c r="K748">
        <v>673.8</v>
      </c>
      <c r="L748">
        <v>1276.5999999999999</v>
      </c>
      <c r="M748">
        <v>157.9</v>
      </c>
      <c r="N748">
        <v>3543.4</v>
      </c>
      <c r="O748">
        <v>3.4</v>
      </c>
      <c r="P748" s="68">
        <f>SUM(J748:O748)</f>
        <v>5655.0999999999995</v>
      </c>
      <c r="Q748" s="2"/>
      <c r="S748">
        <v>8.7159999999999993</v>
      </c>
      <c r="T748">
        <v>9.0709999999999997</v>
      </c>
      <c r="U748">
        <v>7.6349999999999998</v>
      </c>
      <c r="V748">
        <v>12.52</v>
      </c>
      <c r="W748">
        <v>10.265000000000001</v>
      </c>
      <c r="X748" s="68">
        <v>11.151</v>
      </c>
      <c r="Z748" s="169">
        <f t="shared" ref="Z748:Z754" si="725">AA748*AB748</f>
        <v>7.15</v>
      </c>
      <c r="AA748" s="207">
        <v>0.1</v>
      </c>
      <c r="AB748" s="184">
        <v>71.5</v>
      </c>
      <c r="AC748" s="186" t="s">
        <v>65</v>
      </c>
      <c r="AJ748" s="10" t="s">
        <v>28</v>
      </c>
      <c r="AK748" s="56" t="str">
        <f t="shared" ref="AK748:AQ748" si="726">IFERROR(J748*3.6/J765,"")</f>
        <v/>
      </c>
      <c r="AL748" s="56">
        <f t="shared" si="726"/>
        <v>0.41303350160624142</v>
      </c>
      <c r="AM748" s="56">
        <f t="shared" si="726"/>
        <v>0.39686914342409885</v>
      </c>
      <c r="AN748" s="56">
        <f t="shared" si="726"/>
        <v>0.47151277013752463</v>
      </c>
      <c r="AO748" s="56">
        <f t="shared" si="726"/>
        <v>0.28753993610223638</v>
      </c>
      <c r="AP748" s="56">
        <f t="shared" si="726"/>
        <v>0.35070628348757915</v>
      </c>
      <c r="AQ748" s="256">
        <f t="shared" si="726"/>
        <v>0.32285792293946475</v>
      </c>
    </row>
    <row r="749" spans="1:43" ht="15.5">
      <c r="A749" s="11" t="s">
        <v>9</v>
      </c>
      <c r="J749" s="179">
        <f t="shared" ref="J749:O749" si="727">J737+J743</f>
        <v>35607.699999999997</v>
      </c>
      <c r="K749" s="179">
        <f t="shared" si="727"/>
        <v>126148.1</v>
      </c>
      <c r="L749" s="179">
        <f t="shared" si="727"/>
        <v>2831.9</v>
      </c>
      <c r="M749" s="179">
        <f t="shared" si="727"/>
        <v>4126.8</v>
      </c>
      <c r="N749" s="179">
        <f t="shared" si="727"/>
        <v>21633.3</v>
      </c>
      <c r="O749" s="179">
        <f t="shared" si="727"/>
        <v>8346.4</v>
      </c>
      <c r="P749" s="785">
        <f>P737+P743+'3'!$AB$27*1000</f>
        <v>199429.80000000002</v>
      </c>
      <c r="Q749" s="2"/>
      <c r="R749" s="68">
        <v>9.4160000000000004</v>
      </c>
      <c r="S749" s="68">
        <v>6.37</v>
      </c>
      <c r="T749" s="68">
        <v>8.5630000000000006</v>
      </c>
      <c r="U749" s="68">
        <v>8.1289999999999996</v>
      </c>
      <c r="V749" s="68">
        <v>9.2530000000000001</v>
      </c>
      <c r="W749" s="68">
        <v>8.1039999999999992</v>
      </c>
      <c r="X749" s="206">
        <v>7.37</v>
      </c>
      <c r="Z749" s="169">
        <f t="shared" si="725"/>
        <v>0</v>
      </c>
      <c r="AA749" s="207">
        <v>0</v>
      </c>
      <c r="AB749" s="184">
        <v>96.331505453140551</v>
      </c>
      <c r="AC749" s="186" t="s">
        <v>66</v>
      </c>
      <c r="AJ749" s="11" t="s">
        <v>9</v>
      </c>
      <c r="AK749" s="256">
        <f t="shared" ref="AK749:AQ749" si="728">IFERROR(J749*3.6/J766,"")</f>
        <v>0.38232810513275212</v>
      </c>
      <c r="AL749" s="256">
        <f t="shared" si="728"/>
        <v>0.56515959015870942</v>
      </c>
      <c r="AM749" s="256">
        <f t="shared" si="728"/>
        <v>0.42040690699429761</v>
      </c>
      <c r="AN749" s="256">
        <f t="shared" si="728"/>
        <v>0.44285310628389596</v>
      </c>
      <c r="AO749" s="256">
        <f t="shared" si="728"/>
        <v>0.3890529129771787</v>
      </c>
      <c r="AP749" s="256">
        <f t="shared" si="728"/>
        <v>0.44424507186248469</v>
      </c>
      <c r="AQ749" s="256">
        <f t="shared" si="728"/>
        <v>0.49025315648227308</v>
      </c>
    </row>
    <row r="750" spans="1:43">
      <c r="J750" s="147">
        <f t="shared" ref="J750:P750" si="729">J743/11.63</f>
        <v>11.908856405846947</v>
      </c>
      <c r="K750" s="147">
        <f t="shared" si="729"/>
        <v>6978.443680137575</v>
      </c>
      <c r="L750" s="147">
        <f t="shared" si="729"/>
        <v>240.48151332760102</v>
      </c>
      <c r="M750" s="147">
        <f t="shared" si="729"/>
        <v>190.47291487532246</v>
      </c>
      <c r="N750" s="147">
        <f t="shared" si="729"/>
        <v>1171.0146173688736</v>
      </c>
      <c r="O750" s="147">
        <f t="shared" si="729"/>
        <v>446.95614789337918</v>
      </c>
      <c r="P750" s="147">
        <f t="shared" si="729"/>
        <v>9039.2777300085982</v>
      </c>
      <c r="Z750" s="169">
        <f t="shared" si="725"/>
        <v>227.16</v>
      </c>
      <c r="AA750" s="207">
        <v>3.6</v>
      </c>
      <c r="AB750" s="184">
        <v>63.1</v>
      </c>
      <c r="AC750" s="186" t="s">
        <v>68</v>
      </c>
    </row>
    <row r="751" spans="1:43">
      <c r="Z751" s="169">
        <f t="shared" si="725"/>
        <v>16857.786842971724</v>
      </c>
      <c r="AA751" s="207">
        <v>289.60000000000002</v>
      </c>
      <c r="AB751" s="184">
        <v>58.21058992738854</v>
      </c>
      <c r="AC751" s="186" t="s">
        <v>69</v>
      </c>
    </row>
    <row r="752" spans="1:43">
      <c r="A752" s="68" t="str">
        <f>$A$735</f>
        <v>Dati 2016 lorda</v>
      </c>
      <c r="J752" s="68" t="s">
        <v>165</v>
      </c>
      <c r="Z752" s="169">
        <f t="shared" si="725"/>
        <v>7461.87</v>
      </c>
      <c r="AA752" s="207">
        <v>100.7</v>
      </c>
      <c r="AB752" s="184">
        <v>74.099999999999994</v>
      </c>
      <c r="AC752" s="186" t="s">
        <v>70</v>
      </c>
    </row>
    <row r="753" spans="1:43">
      <c r="J753" s="180" t="s">
        <v>5</v>
      </c>
      <c r="K753" s="180" t="s">
        <v>186</v>
      </c>
      <c r="L753" s="180" t="s">
        <v>187</v>
      </c>
      <c r="M753" s="180" t="s">
        <v>190</v>
      </c>
      <c r="N753" s="180" t="s">
        <v>192</v>
      </c>
      <c r="O753" s="180" t="s">
        <v>191</v>
      </c>
      <c r="P753" s="180" t="s">
        <v>189</v>
      </c>
      <c r="R753" s="68" t="s">
        <v>210</v>
      </c>
      <c r="Z753" s="169">
        <f t="shared" si="725"/>
        <v>0</v>
      </c>
      <c r="AA753" s="207">
        <v>0</v>
      </c>
      <c r="AB753" s="184">
        <v>74.099999999999994</v>
      </c>
      <c r="AC753" s="186" t="s">
        <v>71</v>
      </c>
      <c r="AJ753" s="68"/>
    </row>
    <row r="754" spans="1:43">
      <c r="A754" s="11" t="s">
        <v>16</v>
      </c>
      <c r="J754" s="179">
        <f t="shared" ref="J754:O754" si="730">SUM(J755:J759)</f>
        <v>334666.08967999998</v>
      </c>
      <c r="K754" s="179">
        <f t="shared" si="730"/>
        <v>306929.614482</v>
      </c>
      <c r="L754" s="179">
        <f t="shared" si="730"/>
        <v>313.26750000000004</v>
      </c>
      <c r="M754" s="179">
        <f t="shared" si="730"/>
        <v>19717.116600000001</v>
      </c>
      <c r="N754" s="179">
        <f t="shared" si="730"/>
        <v>91187.551700000011</v>
      </c>
      <c r="O754" s="179">
        <f t="shared" si="730"/>
        <v>31039.831199999997</v>
      </c>
      <c r="P754" s="182">
        <f t="shared" ref="P754:P765" si="731">SUM(J754:O754)</f>
        <v>783853.47116199986</v>
      </c>
      <c r="Q754" s="172"/>
      <c r="R754" s="179">
        <f t="shared" ref="R754:W754" si="732">SUM(R755:R759)</f>
        <v>31.825595003146457</v>
      </c>
      <c r="S754" s="179">
        <f t="shared" si="732"/>
        <v>17.84439086599885</v>
      </c>
      <c r="T754" s="179">
        <f t="shared" si="732"/>
        <v>5.9461296200608679E-2</v>
      </c>
      <c r="U754" s="179">
        <f t="shared" si="732"/>
        <v>1.3718225118328358</v>
      </c>
      <c r="V754" s="179">
        <f t="shared" si="732"/>
        <v>3.7594017988306581</v>
      </c>
      <c r="W754" s="179">
        <f t="shared" si="732"/>
        <v>3.3439980164471236E-2</v>
      </c>
      <c r="X754" s="190">
        <f t="shared" ref="X754:X765" si="733">SUM(R754:W754)</f>
        <v>54.894111456173889</v>
      </c>
      <c r="Z754" s="169">
        <f t="shared" si="725"/>
        <v>31193.281061014462</v>
      </c>
      <c r="AA754" s="205">
        <v>407.2</v>
      </c>
      <c r="AB754" s="184">
        <v>76.604324806027662</v>
      </c>
      <c r="AC754" s="203" t="s">
        <v>72</v>
      </c>
      <c r="AJ754" s="68"/>
    </row>
    <row r="755" spans="1:43">
      <c r="A755" s="10" t="s">
        <v>17</v>
      </c>
      <c r="J755" s="167">
        <f t="shared" ref="J755:O759" si="734">IFERROR(J738*R738,"")</f>
        <v>0</v>
      </c>
      <c r="K755" s="167">
        <f t="shared" si="734"/>
        <v>2409.5032000000001</v>
      </c>
      <c r="L755" s="167">
        <f t="shared" si="734"/>
        <v>313.26750000000004</v>
      </c>
      <c r="M755" s="167">
        <f t="shared" si="734"/>
        <v>2498.9472000000001</v>
      </c>
      <c r="N755" s="167">
        <f t="shared" si="734"/>
        <v>11477.9434</v>
      </c>
      <c r="O755" s="167">
        <f t="shared" si="734"/>
        <v>30435.955199999997</v>
      </c>
      <c r="P755" s="182">
        <f t="shared" si="731"/>
        <v>47135.616499999996</v>
      </c>
      <c r="Q755" s="172"/>
      <c r="R755" s="181">
        <f t="shared" ref="R755:W759" si="735">J755*J$769/1000000</f>
        <v>0</v>
      </c>
      <c r="S755" s="181">
        <f t="shared" si="735"/>
        <v>0.14008461505494946</v>
      </c>
      <c r="T755" s="181">
        <f t="shared" si="735"/>
        <v>5.9461296200608679E-2</v>
      </c>
      <c r="U755" s="181">
        <f t="shared" si="735"/>
        <v>0.17386477416488125</v>
      </c>
      <c r="V755" s="181">
        <f t="shared" si="735"/>
        <v>0.47320275915288645</v>
      </c>
      <c r="W755" s="181">
        <f t="shared" si="735"/>
        <v>3.2789409569171084E-2</v>
      </c>
      <c r="X755" s="190">
        <f t="shared" si="733"/>
        <v>0.87940285414249697</v>
      </c>
      <c r="Z755" s="169"/>
      <c r="AA755" s="179" t="s">
        <v>215</v>
      </c>
      <c r="AJ755" s="68"/>
    </row>
    <row r="756" spans="1:43">
      <c r="A756" s="10" t="s">
        <v>18</v>
      </c>
      <c r="J756" s="167">
        <f t="shared" si="734"/>
        <v>0</v>
      </c>
      <c r="K756" s="167">
        <f t="shared" si="734"/>
        <v>4164.4715999999999</v>
      </c>
      <c r="L756" s="167">
        <f t="shared" si="734"/>
        <v>0</v>
      </c>
      <c r="M756" s="167">
        <f t="shared" si="734"/>
        <v>71.167400000000001</v>
      </c>
      <c r="N756" s="167">
        <f t="shared" si="734"/>
        <v>209.32750000000001</v>
      </c>
      <c r="O756" s="167">
        <f t="shared" si="734"/>
        <v>429.59699999999998</v>
      </c>
      <c r="P756" s="182">
        <f t="shared" si="731"/>
        <v>4874.5635000000002</v>
      </c>
      <c r="Q756" s="172"/>
      <c r="R756" s="181">
        <f t="shared" si="735"/>
        <v>0</v>
      </c>
      <c r="S756" s="181">
        <f t="shared" si="735"/>
        <v>0.24211563653174206</v>
      </c>
      <c r="T756" s="181">
        <f t="shared" si="735"/>
        <v>0</v>
      </c>
      <c r="U756" s="181">
        <f t="shared" si="735"/>
        <v>4.9514867416573542E-3</v>
      </c>
      <c r="V756" s="181">
        <f t="shared" si="735"/>
        <v>8.6299737779309705E-3</v>
      </c>
      <c r="W756" s="181">
        <f t="shared" si="735"/>
        <v>4.6281550521822261E-4</v>
      </c>
      <c r="X756" s="190">
        <f t="shared" si="733"/>
        <v>0.25615991255654857</v>
      </c>
      <c r="Z756" s="169">
        <f t="shared" ref="Z756:Z771" si="736">AA756*AB756</f>
        <v>0</v>
      </c>
      <c r="AA756" s="202">
        <v>0</v>
      </c>
      <c r="AB756" s="184">
        <v>63.1</v>
      </c>
      <c r="AC756" s="187" t="s">
        <v>195</v>
      </c>
      <c r="AJ756" s="68"/>
    </row>
    <row r="757" spans="1:43">
      <c r="A757" s="10" t="s">
        <v>19</v>
      </c>
      <c r="J757" s="167">
        <f t="shared" si="734"/>
        <v>334666.08967999998</v>
      </c>
      <c r="K757" s="167">
        <f t="shared" si="734"/>
        <v>3341.5686000000005</v>
      </c>
      <c r="L757" s="167">
        <f t="shared" si="734"/>
        <v>0</v>
      </c>
      <c r="M757" s="167">
        <f t="shared" si="734"/>
        <v>17117.328000000001</v>
      </c>
      <c r="N757" s="167">
        <f t="shared" si="734"/>
        <v>63051.0144</v>
      </c>
      <c r="O757" s="167">
        <f t="shared" si="734"/>
        <v>77.657999999999987</v>
      </c>
      <c r="P757" s="182">
        <f t="shared" si="731"/>
        <v>418253.65867999993</v>
      </c>
      <c r="Q757" s="172"/>
      <c r="R757" s="181">
        <f>J757*J$769/1000000</f>
        <v>31.825595003146457</v>
      </c>
      <c r="S757" s="181">
        <f t="shared" si="735"/>
        <v>0.19427338839421604</v>
      </c>
      <c r="T757" s="181">
        <f t="shared" si="735"/>
        <v>0</v>
      </c>
      <c r="U757" s="181">
        <f t="shared" si="735"/>
        <v>1.1909416761691478</v>
      </c>
      <c r="V757" s="181">
        <f t="shared" si="735"/>
        <v>2.5994128862378232</v>
      </c>
      <c r="W757" s="181">
        <f t="shared" si="735"/>
        <v>8.3662889881066973E-5</v>
      </c>
      <c r="X757" s="190">
        <f t="shared" si="733"/>
        <v>35.810306616837522</v>
      </c>
      <c r="Z757" s="169">
        <f t="shared" si="736"/>
        <v>501.28400633639995</v>
      </c>
      <c r="AA757" s="207">
        <v>5.3</v>
      </c>
      <c r="AB757" s="184">
        <v>94.581887987999991</v>
      </c>
      <c r="AC757" s="187" t="s">
        <v>198</v>
      </c>
      <c r="AJ757" s="68"/>
      <c r="AQ757" s="252"/>
    </row>
    <row r="758" spans="1:43">
      <c r="A758" s="10" t="s">
        <v>20</v>
      </c>
      <c r="J758" s="167">
        <f t="shared" si="734"/>
        <v>0</v>
      </c>
      <c r="K758" s="167">
        <f t="shared" si="734"/>
        <v>297014.07108199998</v>
      </c>
      <c r="L758" s="167">
        <f t="shared" si="734"/>
        <v>0</v>
      </c>
      <c r="M758" s="167">
        <f t="shared" si="734"/>
        <v>29.673999999999999</v>
      </c>
      <c r="N758" s="167">
        <f t="shared" si="734"/>
        <v>16449.2664</v>
      </c>
      <c r="O758" s="167">
        <f t="shared" si="734"/>
        <v>96.620999999999981</v>
      </c>
      <c r="P758" s="182">
        <f t="shared" si="731"/>
        <v>313589.63248199999</v>
      </c>
      <c r="Q758" s="172"/>
      <c r="R758" s="181">
        <f t="shared" si="735"/>
        <v>0</v>
      </c>
      <c r="S758" s="181">
        <f t="shared" si="735"/>
        <v>17.267917226017943</v>
      </c>
      <c r="T758" s="181">
        <f t="shared" si="735"/>
        <v>0</v>
      </c>
      <c r="U758" s="181">
        <f t="shared" si="735"/>
        <v>2.0645747571492049E-3</v>
      </c>
      <c r="V758" s="181">
        <f t="shared" si="735"/>
        <v>0.67815617966201747</v>
      </c>
      <c r="W758" s="181">
        <f t="shared" si="735"/>
        <v>1.0409220020086239E-4</v>
      </c>
      <c r="X758" s="190">
        <f t="shared" si="733"/>
        <v>17.94824207263731</v>
      </c>
      <c r="Z758" s="169">
        <f t="shared" si="736"/>
        <v>4168.3808066455567</v>
      </c>
      <c r="AA758" s="207">
        <v>88</v>
      </c>
      <c r="AB758" s="184">
        <v>47.367963711881323</v>
      </c>
      <c r="AC758" s="187" t="s">
        <v>199</v>
      </c>
      <c r="AJ758" s="68" t="s">
        <v>265</v>
      </c>
    </row>
    <row r="759" spans="1:43">
      <c r="A759" s="10" t="s">
        <v>22</v>
      </c>
      <c r="J759" s="167">
        <f t="shared" si="734"/>
        <v>0</v>
      </c>
      <c r="K759" s="167">
        <f t="shared" si="734"/>
        <v>0</v>
      </c>
      <c r="L759" s="167">
        <f t="shared" si="734"/>
        <v>0</v>
      </c>
      <c r="M759" s="167">
        <f t="shared" si="734"/>
        <v>0</v>
      </c>
      <c r="N759" s="167">
        <f t="shared" si="734"/>
        <v>0</v>
      </c>
      <c r="O759" s="167">
        <f t="shared" si="734"/>
        <v>0</v>
      </c>
      <c r="P759" s="182">
        <f t="shared" si="731"/>
        <v>0</v>
      </c>
      <c r="Q759" s="172"/>
      <c r="R759" s="181">
        <f t="shared" si="735"/>
        <v>0</v>
      </c>
      <c r="S759" s="181">
        <f t="shared" si="735"/>
        <v>0</v>
      </c>
      <c r="T759" s="181">
        <f t="shared" si="735"/>
        <v>0</v>
      </c>
      <c r="U759" s="181">
        <f t="shared" si="735"/>
        <v>0</v>
      </c>
      <c r="V759" s="181">
        <f t="shared" si="735"/>
        <v>0</v>
      </c>
      <c r="W759" s="181">
        <f t="shared" si="735"/>
        <v>0</v>
      </c>
      <c r="X759" s="190">
        <f t="shared" si="733"/>
        <v>0</v>
      </c>
      <c r="Z759" s="169">
        <f t="shared" si="736"/>
        <v>96299.16718519578</v>
      </c>
      <c r="AA759" s="207">
        <v>1098.5999999999999</v>
      </c>
      <c r="AB759" s="181">
        <v>87.656259953755495</v>
      </c>
      <c r="AC759" s="187" t="s">
        <v>212</v>
      </c>
    </row>
    <row r="760" spans="1:43">
      <c r="A760" s="11" t="s">
        <v>23</v>
      </c>
      <c r="J760" s="179">
        <f t="shared" ref="J760:O760" si="737">SUM(J761:J765)</f>
        <v>615.87959999999998</v>
      </c>
      <c r="K760" s="179">
        <f t="shared" si="737"/>
        <v>496618.91925600002</v>
      </c>
      <c r="L760" s="179">
        <f t="shared" si="737"/>
        <v>23936.667099999999</v>
      </c>
      <c r="M760" s="179">
        <f t="shared" si="737"/>
        <v>13830.0795</v>
      </c>
      <c r="N760" s="179">
        <f t="shared" si="737"/>
        <v>108990.56650000002</v>
      </c>
      <c r="O760" s="179">
        <f t="shared" si="737"/>
        <v>36596.349599999994</v>
      </c>
      <c r="P760" s="182">
        <f t="shared" si="731"/>
        <v>680588.46155600005</v>
      </c>
      <c r="Q760" s="172"/>
      <c r="R760" s="179">
        <f t="shared" ref="R760:W760" si="738">SUM(R761:R765)</f>
        <v>5.8568033406197824E-2</v>
      </c>
      <c r="S760" s="179">
        <f t="shared" si="738"/>
        <v>28.872619937994596</v>
      </c>
      <c r="T760" s="179">
        <f t="shared" si="738"/>
        <v>4.5434181729303695</v>
      </c>
      <c r="U760" s="179">
        <f t="shared" si="738"/>
        <v>0.96223067416144414</v>
      </c>
      <c r="V760" s="179">
        <f t="shared" si="738"/>
        <v>4.4933691509087037</v>
      </c>
      <c r="W760" s="179">
        <f t="shared" si="738"/>
        <v>3.942615527870702E-2</v>
      </c>
      <c r="X760" s="190">
        <f t="shared" si="733"/>
        <v>38.969632124680018</v>
      </c>
      <c r="Z760" s="169">
        <f t="shared" si="736"/>
        <v>0</v>
      </c>
      <c r="AA760" s="207">
        <v>138.6</v>
      </c>
      <c r="AB760">
        <v>0</v>
      </c>
      <c r="AC760" s="186" t="s">
        <v>200</v>
      </c>
      <c r="AJ760" s="11" t="s">
        <v>23</v>
      </c>
      <c r="AK760" s="256">
        <f t="shared" ref="AK760:AK765" si="739">IFERROR(((J743/11.63)+J777)/J783,"")</f>
        <v>0.87302996027330704</v>
      </c>
      <c r="AL760" s="256">
        <f t="shared" ref="AL760:AQ765" si="740">IFERROR(((K743/11.63)+K777)/K783,"")</f>
        <v>0.66083188389927594</v>
      </c>
      <c r="AM760" s="256">
        <f t="shared" si="740"/>
        <v>0.51675267523434143</v>
      </c>
      <c r="AN760" s="256">
        <f t="shared" si="740"/>
        <v>0.77481900816686866</v>
      </c>
      <c r="AO760" s="256">
        <f t="shared" si="740"/>
        <v>0.58877864554212644</v>
      </c>
      <c r="AP760" s="256">
        <f t="shared" si="740"/>
        <v>0.58049400495077441</v>
      </c>
      <c r="AQ760" s="256">
        <f>IFERROR(((P743/11.63)+P777)/P783,"")</f>
        <v>0.64466742449574543</v>
      </c>
    </row>
    <row r="761" spans="1:43">
      <c r="A761" s="10" t="s">
        <v>24</v>
      </c>
      <c r="J761" s="167">
        <f t="shared" ref="J761:O765" si="741">IFERROR(J744*R744,"")</f>
        <v>0</v>
      </c>
      <c r="K761" s="167">
        <f t="shared" si="741"/>
        <v>45452.29</v>
      </c>
      <c r="L761" s="167">
        <f t="shared" si="741"/>
        <v>1004.9155999999999</v>
      </c>
      <c r="M761" s="167">
        <f t="shared" si="741"/>
        <v>195.13279999999997</v>
      </c>
      <c r="N761" s="167">
        <f t="shared" si="741"/>
        <v>13254.913799999998</v>
      </c>
      <c r="O761" s="167">
        <f t="shared" si="741"/>
        <v>36324.982799999998</v>
      </c>
      <c r="P761" s="182">
        <f t="shared" si="731"/>
        <v>96232.235000000001</v>
      </c>
      <c r="Q761" s="172"/>
      <c r="R761" s="181">
        <f t="shared" ref="R761:W765" si="742">J761*J$769/1000000</f>
        <v>0</v>
      </c>
      <c r="S761" s="181">
        <f t="shared" si="742"/>
        <v>2.6425225532034688</v>
      </c>
      <c r="T761" s="181">
        <f t="shared" si="742"/>
        <v>0.19074300445533729</v>
      </c>
      <c r="U761" s="181">
        <f t="shared" si="742"/>
        <v>1.3576405377496943E-2</v>
      </c>
      <c r="V761" s="181">
        <f t="shared" si="742"/>
        <v>0.54646216346507426</v>
      </c>
      <c r="W761" s="181">
        <f t="shared" si="742"/>
        <v>3.9133805093204202E-2</v>
      </c>
      <c r="X761" s="190">
        <f t="shared" si="733"/>
        <v>3.4324379315945817</v>
      </c>
      <c r="Z761" s="169">
        <f t="shared" si="736"/>
        <v>0</v>
      </c>
      <c r="AA761" s="207">
        <v>715.6</v>
      </c>
      <c r="AB761">
        <v>0</v>
      </c>
      <c r="AC761" s="186" t="s">
        <v>201</v>
      </c>
      <c r="AJ761" s="10" t="s">
        <v>24</v>
      </c>
      <c r="AK761" s="56" t="str">
        <f t="shared" si="739"/>
        <v/>
      </c>
      <c r="AL761" s="56">
        <f t="shared" si="740"/>
        <v>0.73746314815561276</v>
      </c>
      <c r="AM761" s="56">
        <f t="shared" si="740"/>
        <v>0.56810736092819736</v>
      </c>
      <c r="AN761" s="56">
        <f t="shared" si="740"/>
        <v>0.63827386070507308</v>
      </c>
      <c r="AO761" s="56">
        <f t="shared" si="740"/>
        <v>0.66622327711449958</v>
      </c>
      <c r="AP761" s="56">
        <f t="shared" si="740"/>
        <v>0.58040115688267013</v>
      </c>
      <c r="AQ761" s="256">
        <f t="shared" si="740"/>
        <v>0.67365580131595615</v>
      </c>
    </row>
    <row r="762" spans="1:43">
      <c r="A762" s="10" t="s">
        <v>25</v>
      </c>
      <c r="J762" s="167">
        <f t="shared" si="741"/>
        <v>0</v>
      </c>
      <c r="K762" s="167">
        <f t="shared" si="741"/>
        <v>26968.096800000003</v>
      </c>
      <c r="L762" s="167">
        <f t="shared" si="741"/>
        <v>0.48730000000000007</v>
      </c>
      <c r="M762" s="167">
        <f t="shared" si="741"/>
        <v>2052.4547000000002</v>
      </c>
      <c r="N762" s="167">
        <f t="shared" si="741"/>
        <v>113.672</v>
      </c>
      <c r="O762" s="167">
        <f t="shared" si="741"/>
        <v>34.378499999999995</v>
      </c>
      <c r="P762" s="182">
        <f t="shared" si="731"/>
        <v>29169.0893</v>
      </c>
      <c r="Q762" s="172"/>
      <c r="R762" s="181">
        <f t="shared" si="742"/>
        <v>0</v>
      </c>
      <c r="S762" s="181">
        <f t="shared" si="742"/>
        <v>1.567881486520796</v>
      </c>
      <c r="T762" s="181">
        <f t="shared" si="742"/>
        <v>9.2494400595518562E-5</v>
      </c>
      <c r="U762" s="181">
        <f t="shared" si="742"/>
        <v>0.14279996508095452</v>
      </c>
      <c r="V762" s="181">
        <f t="shared" si="742"/>
        <v>4.6863712569297829E-3</v>
      </c>
      <c r="W762" s="181">
        <f t="shared" si="742"/>
        <v>3.7036810885887621E-5</v>
      </c>
      <c r="X762" s="190">
        <f t="shared" si="733"/>
        <v>1.7154973540701619</v>
      </c>
      <c r="Z762" s="169">
        <f t="shared" si="736"/>
        <v>0</v>
      </c>
      <c r="AA762" s="207">
        <v>0.3</v>
      </c>
      <c r="AB762">
        <v>0</v>
      </c>
      <c r="AC762" s="186" t="s">
        <v>134</v>
      </c>
      <c r="AJ762" s="10" t="s">
        <v>25</v>
      </c>
      <c r="AK762" s="56" t="str">
        <f t="shared" si="739"/>
        <v/>
      </c>
      <c r="AL762" s="56">
        <f t="shared" si="740"/>
        <v>0.73818018568805077</v>
      </c>
      <c r="AM762" s="56" t="str">
        <f t="shared" si="740"/>
        <v/>
      </c>
      <c r="AN762" s="56">
        <f t="shared" si="740"/>
        <v>0.82452386343531836</v>
      </c>
      <c r="AO762" s="56">
        <f t="shared" si="740"/>
        <v>0.7216827800264245</v>
      </c>
      <c r="AP762" s="56">
        <f t="shared" si="740"/>
        <v>0.57887426417091081</v>
      </c>
      <c r="AQ762" s="256">
        <f t="shared" si="740"/>
        <v>0.74548154801674538</v>
      </c>
    </row>
    <row r="763" spans="1:43">
      <c r="A763" s="10" t="s">
        <v>26</v>
      </c>
      <c r="J763" s="167">
        <f t="shared" si="741"/>
        <v>559.61079999999993</v>
      </c>
      <c r="K763" s="167">
        <f t="shared" si="741"/>
        <v>414629.54585599998</v>
      </c>
      <c r="L763" s="167">
        <f t="shared" si="741"/>
        <v>11351.2256</v>
      </c>
      <c r="M763" s="167">
        <f t="shared" si="741"/>
        <v>9797.2425000000003</v>
      </c>
      <c r="N763" s="167">
        <f t="shared" si="741"/>
        <v>47436.175900000002</v>
      </c>
      <c r="O763" s="167">
        <f t="shared" si="741"/>
        <v>201.58950000000002</v>
      </c>
      <c r="P763" s="182">
        <f t="shared" si="731"/>
        <v>483975.39015600004</v>
      </c>
      <c r="Q763" s="172"/>
      <c r="R763" s="181">
        <f t="shared" si="742"/>
        <v>5.3217063901563048E-2</v>
      </c>
      <c r="S763" s="181">
        <f t="shared" si="742"/>
        <v>24.105890509564901</v>
      </c>
      <c r="T763" s="181">
        <f t="shared" si="742"/>
        <v>2.1545758421844972</v>
      </c>
      <c r="U763" s="181">
        <f t="shared" si="742"/>
        <v>0.68164519630549869</v>
      </c>
      <c r="V763" s="181">
        <f t="shared" si="742"/>
        <v>1.9556577809524358</v>
      </c>
      <c r="W763" s="181">
        <f t="shared" si="742"/>
        <v>2.1717736923020621E-4</v>
      </c>
      <c r="X763" s="190">
        <f t="shared" si="733"/>
        <v>28.951203570278125</v>
      </c>
      <c r="Z763" s="169">
        <f t="shared" si="736"/>
        <v>0</v>
      </c>
      <c r="AA763" s="207">
        <v>2</v>
      </c>
      <c r="AB763">
        <v>0</v>
      </c>
      <c r="AC763" s="186" t="s">
        <v>128</v>
      </c>
      <c r="AJ763" s="10" t="s">
        <v>26</v>
      </c>
      <c r="AK763" s="56">
        <f t="shared" si="739"/>
        <v>0.88017970293683512</v>
      </c>
      <c r="AL763" s="56">
        <f t="shared" si="740"/>
        <v>0.63825801662794479</v>
      </c>
      <c r="AM763" s="56">
        <f t="shared" si="740"/>
        <v>0.56511401797555383</v>
      </c>
      <c r="AN763" s="56">
        <f t="shared" si="740"/>
        <v>0.73885352715285879</v>
      </c>
      <c r="AO763" s="56">
        <f t="shared" si="740"/>
        <v>0.61762590449610733</v>
      </c>
      <c r="AP763" s="56">
        <f t="shared" si="740"/>
        <v>0.56530046813795742</v>
      </c>
      <c r="AQ763" s="256">
        <f t="shared" si="740"/>
        <v>0.63880654488871969</v>
      </c>
    </row>
    <row r="764" spans="1:43">
      <c r="A764" s="10" t="s">
        <v>27</v>
      </c>
      <c r="J764" s="167">
        <f t="shared" si="741"/>
        <v>56.268799999999999</v>
      </c>
      <c r="K764" s="167">
        <f t="shared" si="741"/>
        <v>3696.1457999999998</v>
      </c>
      <c r="L764" s="167">
        <f t="shared" si="741"/>
        <v>0</v>
      </c>
      <c r="M764" s="167">
        <f t="shared" si="741"/>
        <v>579.68299999999999</v>
      </c>
      <c r="N764" s="167">
        <f t="shared" si="741"/>
        <v>3822.4367999999999</v>
      </c>
      <c r="O764" s="167">
        <f t="shared" si="741"/>
        <v>0.49780000000000002</v>
      </c>
      <c r="P764" s="182">
        <f t="shared" si="731"/>
        <v>8155.0321999999987</v>
      </c>
      <c r="Q764" s="172"/>
      <c r="R764" s="181">
        <f t="shared" si="742"/>
        <v>5.3509695046347772E-3</v>
      </c>
      <c r="S764" s="181">
        <f t="shared" si="742"/>
        <v>0.21488793274064466</v>
      </c>
      <c r="T764" s="181">
        <f t="shared" si="742"/>
        <v>0</v>
      </c>
      <c r="U764" s="181">
        <f t="shared" si="742"/>
        <v>4.0331565981954656E-2</v>
      </c>
      <c r="V764" s="181">
        <f t="shared" si="742"/>
        <v>0.15758813033069408</v>
      </c>
      <c r="W764" s="181">
        <f t="shared" si="742"/>
        <v>5.3629228904678389E-7</v>
      </c>
      <c r="X764" s="190">
        <f t="shared" si="733"/>
        <v>0.41815913485021722</v>
      </c>
      <c r="Z764" s="169">
        <f t="shared" si="736"/>
        <v>0</v>
      </c>
      <c r="AA764" s="207">
        <v>0</v>
      </c>
      <c r="AB764">
        <v>0</v>
      </c>
      <c r="AC764" s="186" t="s">
        <v>131</v>
      </c>
      <c r="AJ764" s="10" t="s">
        <v>27</v>
      </c>
      <c r="AK764" s="56">
        <f t="shared" si="739"/>
        <v>0.83613459011340241</v>
      </c>
      <c r="AL764" s="56">
        <f t="shared" si="740"/>
        <v>0.85203644557407443</v>
      </c>
      <c r="AM764" s="56" t="str">
        <f t="shared" si="740"/>
        <v/>
      </c>
      <c r="AN764" s="56">
        <f t="shared" si="740"/>
        <v>0.87345500130614218</v>
      </c>
      <c r="AO764" s="56">
        <f t="shared" si="740"/>
        <v>0.77450887084599573</v>
      </c>
      <c r="AP764" s="56">
        <f>IFERROR(((O747/11.63)+O781)/O787,"")</f>
        <v>0.6859845227858985</v>
      </c>
      <c r="AQ764" s="256">
        <f t="shared" si="740"/>
        <v>0.83073109585372651</v>
      </c>
    </row>
    <row r="765" spans="1:43">
      <c r="A765" s="10" t="s">
        <v>28</v>
      </c>
      <c r="J765" s="167">
        <f t="shared" si="741"/>
        <v>0</v>
      </c>
      <c r="K765" s="167">
        <f t="shared" si="741"/>
        <v>5872.840799999999</v>
      </c>
      <c r="L765" s="167">
        <f t="shared" si="741"/>
        <v>11580.038599999998</v>
      </c>
      <c r="M765" s="167">
        <f t="shared" si="741"/>
        <v>1205.5664999999999</v>
      </c>
      <c r="N765" s="167">
        <f t="shared" si="741"/>
        <v>44363.368000000002</v>
      </c>
      <c r="O765" s="167">
        <f t="shared" si="741"/>
        <v>34.901000000000003</v>
      </c>
      <c r="P765" s="182">
        <f t="shared" si="731"/>
        <v>63056.714899999999</v>
      </c>
      <c r="Q765" s="172"/>
      <c r="R765" s="181">
        <f t="shared" si="742"/>
        <v>0</v>
      </c>
      <c r="S765" s="181">
        <f>K765*K$769/1000000</f>
        <v>0.34143745596478192</v>
      </c>
      <c r="T765" s="181">
        <f t="shared" si="742"/>
        <v>2.1980068318899395</v>
      </c>
      <c r="U765" s="181">
        <f t="shared" si="742"/>
        <v>8.3877541415539422E-2</v>
      </c>
      <c r="V765" s="181">
        <f t="shared" si="742"/>
        <v>1.8289747049035694</v>
      </c>
      <c r="W765" s="181">
        <f t="shared" si="742"/>
        <v>3.7599713097673376E-5</v>
      </c>
      <c r="X765" s="190">
        <f t="shared" si="733"/>
        <v>4.4523341338869278</v>
      </c>
      <c r="Z765" s="169">
        <f t="shared" si="736"/>
        <v>0</v>
      </c>
      <c r="AA765" s="207">
        <v>13</v>
      </c>
      <c r="AB765">
        <v>0</v>
      </c>
      <c r="AC765" s="186" t="s">
        <v>129</v>
      </c>
      <c r="AJ765" s="10" t="s">
        <v>28</v>
      </c>
      <c r="AK765" s="56" t="str">
        <f t="shared" si="739"/>
        <v/>
      </c>
      <c r="AL765" s="56">
        <f>IFERROR(((K748/11.63)+K782)/K788,"")</f>
        <v>0.5859611229388304</v>
      </c>
      <c r="AM765" s="56">
        <f t="shared" si="740"/>
        <v>0.45388855975786496</v>
      </c>
      <c r="AN765" s="56">
        <f t="shared" si="740"/>
        <v>0.79190312410432795</v>
      </c>
      <c r="AO765" s="56">
        <f t="shared" si="740"/>
        <v>0.51875220551346746</v>
      </c>
      <c r="AP765" s="56">
        <f t="shared" si="740"/>
        <v>0.68018283024845005</v>
      </c>
      <c r="AQ765" s="256">
        <f t="shared" si="740"/>
        <v>0.52962680280302576</v>
      </c>
    </row>
    <row r="766" spans="1:43">
      <c r="A766" s="11" t="s">
        <v>9</v>
      </c>
      <c r="J766" s="182">
        <f t="shared" ref="J766:P766" si="743">J754+J760</f>
        <v>335281.96927999996</v>
      </c>
      <c r="K766" s="182">
        <f t="shared" si="743"/>
        <v>803548.53373800009</v>
      </c>
      <c r="L766" s="182">
        <f t="shared" si="743"/>
        <v>24249.934600000001</v>
      </c>
      <c r="M766" s="182">
        <f t="shared" si="743"/>
        <v>33547.196100000001</v>
      </c>
      <c r="N766" s="182">
        <f t="shared" si="743"/>
        <v>200178.11820000003</v>
      </c>
      <c r="O766" s="182">
        <f t="shared" si="743"/>
        <v>67636.180799999987</v>
      </c>
      <c r="P766" s="182">
        <f t="shared" si="743"/>
        <v>1464441.9327179999</v>
      </c>
      <c r="Q766" s="172"/>
      <c r="R766" s="281">
        <f t="shared" ref="R766:X766" si="744">R754+R760</f>
        <v>31.884163036552653</v>
      </c>
      <c r="S766" s="281">
        <f t="shared" si="744"/>
        <v>46.717010803993446</v>
      </c>
      <c r="T766" s="199">
        <f t="shared" si="744"/>
        <v>4.6028794691309782</v>
      </c>
      <c r="U766" s="199">
        <f t="shared" si="744"/>
        <v>2.3340531859942799</v>
      </c>
      <c r="V766" s="199">
        <f t="shared" si="744"/>
        <v>8.2527709497393609</v>
      </c>
      <c r="W766" s="199">
        <f t="shared" si="744"/>
        <v>7.2866135443178257E-2</v>
      </c>
      <c r="X766" s="199">
        <f t="shared" si="744"/>
        <v>93.863743580853907</v>
      </c>
      <c r="Z766" s="169">
        <f t="shared" si="736"/>
        <v>0</v>
      </c>
      <c r="AA766" s="207">
        <v>1203.5999999999999</v>
      </c>
      <c r="AB766">
        <v>0</v>
      </c>
      <c r="AC766" s="186" t="s">
        <v>207</v>
      </c>
      <c r="AJ766" s="275" t="s">
        <v>266</v>
      </c>
      <c r="AK766" s="274">
        <f>IFERROR(((J749/11.63)+J777)/(J783+J754/41.868),"")</f>
        <v>0.38552442140619009</v>
      </c>
      <c r="AL766" s="274">
        <f t="shared" ref="AL766:AQ766" si="745">IFERROR(((K749/11.63)+K777)/(K783+K754/41.868),"")</f>
        <v>0.61820995445408622</v>
      </c>
      <c r="AM766" s="274">
        <f t="shared" si="745"/>
        <v>0.51557868203741675</v>
      </c>
      <c r="AN766" s="274">
        <f t="shared" si="745"/>
        <v>0.62348600559074885</v>
      </c>
      <c r="AO766" s="274">
        <f t="shared" si="745"/>
        <v>0.49034101547085313</v>
      </c>
      <c r="AP766" s="274">
        <f t="shared" si="745"/>
        <v>0.49423784620954292</v>
      </c>
      <c r="AQ766" s="274">
        <f t="shared" si="745"/>
        <v>0.54779182316370467</v>
      </c>
    </row>
    <row r="767" spans="1:43">
      <c r="E767" t="s">
        <v>176</v>
      </c>
      <c r="J767" s="168">
        <f t="shared" ref="J767:P767" si="746">J766/41.868</f>
        <v>8008.0722575714135</v>
      </c>
      <c r="K767" s="168">
        <f t="shared" si="746"/>
        <v>19192.42700243623</v>
      </c>
      <c r="L767" s="168">
        <f t="shared" si="746"/>
        <v>579.19973726951366</v>
      </c>
      <c r="M767" s="168">
        <f t="shared" si="746"/>
        <v>801.26101318429346</v>
      </c>
      <c r="N767" s="168">
        <f t="shared" si="746"/>
        <v>4781.1722126683871</v>
      </c>
      <c r="O767" s="168">
        <f t="shared" si="746"/>
        <v>1615.4624247635422</v>
      </c>
      <c r="P767" s="168">
        <f t="shared" si="746"/>
        <v>34977.594647893377</v>
      </c>
      <c r="R767" s="197">
        <v>31.884163036552653</v>
      </c>
      <c r="S767" s="197">
        <v>46.717010803993418</v>
      </c>
      <c r="T767" s="197">
        <v>4.5852635081309767</v>
      </c>
      <c r="U767" s="197">
        <v>2.3340531859942795</v>
      </c>
      <c r="V767" s="197">
        <v>8.2527705287958391</v>
      </c>
      <c r="W767" s="197">
        <v>7.2866135443178243E-2</v>
      </c>
      <c r="X767" s="197">
        <v>93.863743159910342</v>
      </c>
      <c r="Z767" s="169">
        <f t="shared" si="736"/>
        <v>10616.090093333331</v>
      </c>
      <c r="AA767" s="207">
        <v>217.3</v>
      </c>
      <c r="AB767" s="147">
        <v>48.854533333333322</v>
      </c>
      <c r="AC767" s="189" t="s">
        <v>130</v>
      </c>
    </row>
    <row r="768" spans="1:43">
      <c r="J768" s="183" t="s">
        <v>193</v>
      </c>
      <c r="K768">
        <f>K754/41.868+K783</f>
        <v>22902.387897248496</v>
      </c>
      <c r="T768" s="198">
        <v>1.7615960999999999E-2</v>
      </c>
      <c r="U768" s="198"/>
      <c r="Z768" s="169">
        <f t="shared" si="736"/>
        <v>0</v>
      </c>
      <c r="AA768" s="207">
        <v>12</v>
      </c>
      <c r="AB768">
        <v>0</v>
      </c>
      <c r="AC768" s="186" t="s">
        <v>132</v>
      </c>
    </row>
    <row r="769" spans="1:43">
      <c r="J769" s="168">
        <f>SUM(Z738:Z741)/SUM(AA738:AA741)+J770</f>
        <v>95.096563364329384</v>
      </c>
      <c r="K769" s="185">
        <f>57.6915975544525+K770</f>
        <v>58.138380996941379</v>
      </c>
      <c r="L769" s="147">
        <f>SUM(Z743:Z746)/SUM(AA743:AA746)+L770</f>
        <v>189.80997454446654</v>
      </c>
      <c r="M769" s="168">
        <f>SUM(Z748:Z754)/SUM(AA748:AA754)+M770</f>
        <v>69.575209178041547</v>
      </c>
      <c r="N769" s="168">
        <f>SUM(Z756:Z771)/SUM(AA756:AA771)+N770</f>
        <v>41.227138230433027</v>
      </c>
      <c r="O769" s="168">
        <f>SUM(Z773:Z782)/SUM(AA773:AA782)+O770</f>
        <v>1.0773248072454478</v>
      </c>
      <c r="P769" s="317">
        <f>P760/41.868</f>
        <v>16255.576133467088</v>
      </c>
      <c r="Z769" s="169">
        <f t="shared" si="736"/>
        <v>3975.4</v>
      </c>
      <c r="AA769" s="207">
        <v>27.8</v>
      </c>
      <c r="AB769">
        <v>143</v>
      </c>
      <c r="AC769" s="186" t="s">
        <v>133</v>
      </c>
    </row>
    <row r="770" spans="1:43">
      <c r="A770" s="453" t="s">
        <v>376</v>
      </c>
      <c r="B770" s="452"/>
      <c r="C770" s="452"/>
      <c r="D770" s="452"/>
      <c r="E770" s="452"/>
      <c r="F770" s="452"/>
      <c r="G770" s="452"/>
      <c r="H770" s="452"/>
      <c r="I770" s="452"/>
      <c r="J770" s="452">
        <v>-3.0061053441922447E-2</v>
      </c>
      <c r="K770" s="452">
        <v>0.44678344248887669</v>
      </c>
      <c r="L770" s="452">
        <v>8.6099563120667355E-5</v>
      </c>
      <c r="M770" s="452">
        <v>-4.4811664244855942E-3</v>
      </c>
      <c r="N770" s="452">
        <v>4.9832880512878441</v>
      </c>
      <c r="O770" s="452">
        <v>-9.693519725416877E-3</v>
      </c>
      <c r="P770" s="318">
        <f>P754/41.868</f>
        <v>18722.018514426287</v>
      </c>
      <c r="R770" s="455">
        <f>R766-R767</f>
        <v>0</v>
      </c>
      <c r="S770" s="455">
        <f>S766-S767</f>
        <v>0</v>
      </c>
      <c r="T770" s="455">
        <f>T766-SUM(T767:T768)</f>
        <v>0</v>
      </c>
      <c r="U770" s="455">
        <f>U766-U767</f>
        <v>0</v>
      </c>
      <c r="V770" s="498">
        <f>V766-V767</f>
        <v>4.2094352181720751E-7</v>
      </c>
      <c r="W770" s="455">
        <f>W766-W767</f>
        <v>0</v>
      </c>
      <c r="X770" s="172">
        <f>X766-X767</f>
        <v>4.2094356444977166E-7</v>
      </c>
      <c r="Z770" s="169">
        <f t="shared" si="736"/>
        <v>0</v>
      </c>
      <c r="AA770" s="207">
        <v>0</v>
      </c>
      <c r="AB770">
        <v>45.85</v>
      </c>
      <c r="AC770" s="186" t="s">
        <v>208</v>
      </c>
    </row>
    <row r="771" spans="1:43">
      <c r="K771" s="168"/>
      <c r="L771" s="168"/>
      <c r="N771" s="168"/>
      <c r="O771" s="168"/>
      <c r="P771" s="319">
        <f>P783-P769</f>
        <v>5908.6238665329092</v>
      </c>
      <c r="Z771" s="169">
        <f t="shared" si="736"/>
        <v>57725.15</v>
      </c>
      <c r="AA771" s="207">
        <v>1259</v>
      </c>
      <c r="AB771">
        <v>45.85</v>
      </c>
      <c r="AC771" s="186" t="s">
        <v>209</v>
      </c>
      <c r="AJ771" s="68" t="s">
        <v>343</v>
      </c>
      <c r="AK771" s="180" t="s">
        <v>5</v>
      </c>
      <c r="AL771" s="180" t="s">
        <v>186</v>
      </c>
      <c r="AM771" s="180" t="s">
        <v>187</v>
      </c>
      <c r="AN771" s="180" t="s">
        <v>190</v>
      </c>
      <c r="AO771" s="180" t="s">
        <v>192</v>
      </c>
      <c r="AP771" s="180" t="s">
        <v>191</v>
      </c>
      <c r="AQ771" s="180" t="s">
        <v>189</v>
      </c>
    </row>
    <row r="772" spans="1:43">
      <c r="J772" s="172"/>
      <c r="K772" s="172"/>
      <c r="L772" s="223"/>
      <c r="M772" s="293"/>
      <c r="N772" s="222"/>
      <c r="O772" s="321"/>
      <c r="AA772" s="179" t="s">
        <v>216</v>
      </c>
      <c r="AE772" s="168"/>
      <c r="AJ772" s="11" t="s">
        <v>23</v>
      </c>
      <c r="AK772" s="199">
        <f t="shared" ref="AK772:AK777" si="747">IFERROR(J777/(J783-J760/41.868),0)</f>
        <v>0.89148108531945225</v>
      </c>
      <c r="AL772" s="199">
        <f t="shared" ref="AL772:AL777" si="748">IFERROR(K777/(K783-K760/41.868),0)</f>
        <v>0.89265091840478261</v>
      </c>
      <c r="AM772" s="199">
        <f t="shared" ref="AM772:AM777" si="749">IFERROR(L777/(L783-L760/41.868),0)</f>
        <v>0.89976111669641956</v>
      </c>
      <c r="AN772" s="199">
        <f t="shared" ref="AN772:AN777" si="750">IFERROR(M777/(M783-M760/41.868),0)</f>
        <v>0.89981518081544587</v>
      </c>
      <c r="AO772" s="199">
        <f t="shared" ref="AO772:AO777" si="751">IFERROR(N777/(N783-N760/41.868),0)</f>
        <v>0.87922232950179957</v>
      </c>
      <c r="AP772" s="199">
        <f t="shared" ref="AP772:AP777" si="752">IFERROR(O777/(O783-O760/41.868),0)</f>
        <v>0.83715761472637273</v>
      </c>
      <c r="AQ772" s="199">
        <f t="shared" ref="AQ772:AQ777" si="753">IFERROR(P777/(P783-P760/41.868),0)</f>
        <v>0.88840652554182409</v>
      </c>
    </row>
    <row r="773" spans="1:43">
      <c r="J773" s="172"/>
      <c r="K773" s="168"/>
      <c r="M773" s="293"/>
      <c r="N773" s="293"/>
      <c r="O773" s="321"/>
      <c r="P773" s="168"/>
      <c r="Z773" s="169">
        <f>AA773*AB773</f>
        <v>1754.5287800000001</v>
      </c>
      <c r="AA773" s="207">
        <v>20.0747</v>
      </c>
      <c r="AB773" s="184">
        <v>87.4</v>
      </c>
      <c r="AC773" s="187" t="s">
        <v>197</v>
      </c>
      <c r="AJ773" s="10" t="s">
        <v>24</v>
      </c>
      <c r="AK773" s="381">
        <f t="shared" si="747"/>
        <v>0</v>
      </c>
      <c r="AL773" s="381">
        <f t="shared" si="748"/>
        <v>0.89596676894489269</v>
      </c>
      <c r="AM773" s="381">
        <f t="shared" si="749"/>
        <v>0.89497197852839749</v>
      </c>
      <c r="AN773" s="381">
        <f t="shared" si="750"/>
        <v>0.9198927802434409</v>
      </c>
      <c r="AO773" s="381">
        <f t="shared" si="751"/>
        <v>0.94296347180001117</v>
      </c>
      <c r="AP773" s="381">
        <f t="shared" si="752"/>
        <v>0.83651511972907333</v>
      </c>
      <c r="AQ773" s="381">
        <f t="shared" si="753"/>
        <v>0.89273325208352505</v>
      </c>
    </row>
    <row r="774" spans="1:43">
      <c r="A774" s="68" t="s">
        <v>374</v>
      </c>
      <c r="J774" s="281">
        <f>J777/(J783-J760/41.868)</f>
        <v>0.89148108531945225</v>
      </c>
      <c r="K774" s="281">
        <f t="shared" ref="K774:P774" si="754">K777/(K783-K760/41.868)</f>
        <v>0.89265091840478261</v>
      </c>
      <c r="L774" s="281">
        <f t="shared" si="754"/>
        <v>0.89976111669641956</v>
      </c>
      <c r="M774" s="281">
        <f t="shared" si="754"/>
        <v>0.89981518081544587</v>
      </c>
      <c r="N774" s="281">
        <f t="shared" si="754"/>
        <v>0.87922232950179957</v>
      </c>
      <c r="O774" s="281">
        <f t="shared" si="754"/>
        <v>0.83715761472637273</v>
      </c>
      <c r="P774" s="281">
        <f t="shared" si="754"/>
        <v>0.88840652554182409</v>
      </c>
      <c r="Z774" s="169">
        <f>AA774*AB774</f>
        <v>0</v>
      </c>
      <c r="AA774" s="207">
        <v>1014</v>
      </c>
      <c r="AB774">
        <v>0</v>
      </c>
      <c r="AC774" s="186" t="s">
        <v>202</v>
      </c>
      <c r="AJ774" s="10" t="s">
        <v>25</v>
      </c>
      <c r="AK774" s="381">
        <f t="shared" si="747"/>
        <v>0</v>
      </c>
      <c r="AL774" s="381">
        <f t="shared" si="748"/>
        <v>0.89747872611601132</v>
      </c>
      <c r="AM774" s="381">
        <f t="shared" si="749"/>
        <v>0</v>
      </c>
      <c r="AN774" s="381">
        <f t="shared" si="750"/>
        <v>0.90043189577492055</v>
      </c>
      <c r="AO774" s="381">
        <f t="shared" si="751"/>
        <v>0.8751153952002565</v>
      </c>
      <c r="AP774" s="381">
        <f t="shared" si="752"/>
        <v>0.83527598641389711</v>
      </c>
      <c r="AQ774" s="381">
        <f t="shared" si="753"/>
        <v>0.89757348816903937</v>
      </c>
    </row>
    <row r="775" spans="1:43">
      <c r="A775" s="68" t="s">
        <v>252</v>
      </c>
      <c r="J775" s="168"/>
      <c r="K775" s="168"/>
      <c r="P775" s="168"/>
      <c r="R775" s="191" t="s">
        <v>230</v>
      </c>
      <c r="S775" s="165"/>
      <c r="T775" s="165"/>
      <c r="U775" s="165"/>
      <c r="V775" s="165"/>
      <c r="W775" s="165"/>
      <c r="X775" s="165"/>
      <c r="Z775" s="169"/>
      <c r="AA775" s="207">
        <v>0</v>
      </c>
      <c r="AB775">
        <v>0</v>
      </c>
      <c r="AC775" s="186" t="s">
        <v>203</v>
      </c>
      <c r="AJ775" s="10" t="s">
        <v>26</v>
      </c>
      <c r="AK775" s="381">
        <f t="shared" si="747"/>
        <v>0.89998710250641289</v>
      </c>
      <c r="AL775" s="381">
        <f t="shared" si="748"/>
        <v>0.8894068826993734</v>
      </c>
      <c r="AM775" s="381">
        <f t="shared" si="749"/>
        <v>0.89977559360833603</v>
      </c>
      <c r="AN775" s="381">
        <f t="shared" si="750"/>
        <v>0.89989879021061103</v>
      </c>
      <c r="AO775" s="381">
        <f t="shared" si="751"/>
        <v>0.79314023283851109</v>
      </c>
      <c r="AP775" s="381">
        <f t="shared" si="752"/>
        <v>0.87535160641310794</v>
      </c>
      <c r="AQ775" s="381">
        <f t="shared" si="753"/>
        <v>0.8828524556210281</v>
      </c>
    </row>
    <row r="776" spans="1:43">
      <c r="A776" s="68" t="str">
        <f>$A$735</f>
        <v>Dati 2016 lorda</v>
      </c>
      <c r="J776" s="180" t="s">
        <v>5</v>
      </c>
      <c r="K776" s="180" t="s">
        <v>186</v>
      </c>
      <c r="L776" s="180" t="s">
        <v>187</v>
      </c>
      <c r="M776" s="180" t="s">
        <v>190</v>
      </c>
      <c r="N776" s="180" t="s">
        <v>192</v>
      </c>
      <c r="O776" s="180" t="s">
        <v>191</v>
      </c>
      <c r="P776" s="180" t="s">
        <v>189</v>
      </c>
      <c r="R776" s="191" t="s">
        <v>5</v>
      </c>
      <c r="S776" s="191" t="s">
        <v>186</v>
      </c>
      <c r="T776" s="191" t="s">
        <v>187</v>
      </c>
      <c r="U776" s="191" t="s">
        <v>190</v>
      </c>
      <c r="V776" s="191" t="s">
        <v>192</v>
      </c>
      <c r="W776" s="191" t="s">
        <v>191</v>
      </c>
      <c r="X776" s="191" t="s">
        <v>189</v>
      </c>
      <c r="Z776" s="169">
        <f>AA776*AB776</f>
        <v>0</v>
      </c>
      <c r="AA776" s="207">
        <v>215.5</v>
      </c>
      <c r="AB776">
        <v>0</v>
      </c>
      <c r="AC776" s="186" t="s">
        <v>136</v>
      </c>
      <c r="AJ776" s="10" t="s">
        <v>27</v>
      </c>
      <c r="AK776" s="381">
        <f t="shared" si="747"/>
        <v>0.85349648545152412</v>
      </c>
      <c r="AL776" s="381">
        <f t="shared" si="748"/>
        <v>0.89840466844226785</v>
      </c>
      <c r="AM776" s="381">
        <f t="shared" si="749"/>
        <v>0</v>
      </c>
      <c r="AN776" s="381">
        <f t="shared" si="750"/>
        <v>0.89849518744414014</v>
      </c>
      <c r="AO776" s="381">
        <f t="shared" si="751"/>
        <v>0.89600686116319972</v>
      </c>
      <c r="AP776" s="381">
        <f t="shared" si="752"/>
        <v>0.68096503117375973</v>
      </c>
      <c r="AQ776" s="381">
        <f t="shared" si="753"/>
        <v>0.89687260162171822</v>
      </c>
    </row>
    <row r="777" spans="1:43">
      <c r="A777" s="193" t="s">
        <v>251</v>
      </c>
      <c r="J777" s="179">
        <f t="shared" ref="J777:O777" si="755">SUM(J778:J782)</f>
        <v>45.1</v>
      </c>
      <c r="K777" s="179">
        <f t="shared" si="755"/>
        <v>3311.7</v>
      </c>
      <c r="L777" s="179">
        <f t="shared" si="755"/>
        <v>129.1</v>
      </c>
      <c r="M777" s="179">
        <f t="shared" si="755"/>
        <v>471.3</v>
      </c>
      <c r="N777" s="179">
        <f t="shared" si="755"/>
        <v>1094.9000000000001</v>
      </c>
      <c r="O777" s="179">
        <f t="shared" si="755"/>
        <v>197.16000000000003</v>
      </c>
      <c r="P777" s="266">
        <f t="shared" ref="P777:P788" si="756">SUM(J777:O777)</f>
        <v>5249.26</v>
      </c>
      <c r="Q777" s="193" t="s">
        <v>16</v>
      </c>
      <c r="R777" s="282">
        <f t="shared" ref="R777:R785" si="757">IFERROR(R754/J737*1000000,0)</f>
        <v>897.27411396779337</v>
      </c>
      <c r="S777" s="282">
        <f t="shared" ref="S777:S788" si="758">IFERROR(S754/K737*1000000,0)</f>
        <v>396.6407387171663</v>
      </c>
      <c r="T777" s="282">
        <f t="shared" ref="T777:T788" si="759">IFERROR(T754/L737*1000000,0)</f>
        <v>1694.0540228093639</v>
      </c>
      <c r="U777" s="282">
        <f t="shared" ref="U777:U788" si="760">IFERROR(U754/M737*1000000,0)</f>
        <v>717.63052512703268</v>
      </c>
      <c r="V777" s="282">
        <f t="shared" ref="V777:V788" si="761">IFERROR(V754/N737*1000000,0)</f>
        <v>469.08087927114417</v>
      </c>
      <c r="W777" s="282">
        <f t="shared" ref="W777:W788" si="762">IFERROR(W754/O737*1000000,0)</f>
        <v>10.621599010409184</v>
      </c>
      <c r="X777" s="282">
        <f t="shared" ref="X777:X788" si="763">IFERROR(X754/P737*1000000,0)</f>
        <v>586.67988483354134</v>
      </c>
      <c r="Z777" s="169">
        <f>AA777*AB777</f>
        <v>0</v>
      </c>
      <c r="AA777" s="207">
        <v>24</v>
      </c>
      <c r="AB777">
        <v>0</v>
      </c>
      <c r="AC777" s="186" t="s">
        <v>137</v>
      </c>
      <c r="AJ777" s="10" t="s">
        <v>28</v>
      </c>
      <c r="AK777" s="381">
        <f t="shared" si="747"/>
        <v>0</v>
      </c>
      <c r="AL777" s="381">
        <f t="shared" si="748"/>
        <v>0.90291852270199224</v>
      </c>
      <c r="AM777" s="381">
        <f t="shared" si="749"/>
        <v>0.90045371585616574</v>
      </c>
      <c r="AN777" s="381">
        <f t="shared" si="750"/>
        <v>0.90017622149330367</v>
      </c>
      <c r="AO777" s="381">
        <f t="shared" si="751"/>
        <v>0.88605808836928324</v>
      </c>
      <c r="AP777" s="381">
        <f t="shared" si="752"/>
        <v>0.93773097235722835</v>
      </c>
      <c r="AQ777" s="381">
        <f t="shared" si="753"/>
        <v>0.88959143891658998</v>
      </c>
    </row>
    <row r="778" spans="1:43">
      <c r="A778" s="186" t="s">
        <v>24</v>
      </c>
      <c r="K778">
        <v>573.5</v>
      </c>
      <c r="L778">
        <v>6.8</v>
      </c>
      <c r="M778">
        <v>1.6</v>
      </c>
      <c r="N778">
        <v>205.2</v>
      </c>
      <c r="O778">
        <v>194.4</v>
      </c>
      <c r="P778" s="266">
        <f t="shared" si="756"/>
        <v>981.49999999999989</v>
      </c>
      <c r="Q778" s="186" t="s">
        <v>17</v>
      </c>
      <c r="R778" s="283">
        <f t="shared" si="757"/>
        <v>0</v>
      </c>
      <c r="S778" s="283">
        <f t="shared" si="758"/>
        <v>577.43040006162187</v>
      </c>
      <c r="T778" s="283">
        <f t="shared" si="759"/>
        <v>1694.0540228093639</v>
      </c>
      <c r="U778" s="283">
        <f t="shared" si="760"/>
        <v>670.77459168549865</v>
      </c>
      <c r="V778" s="283">
        <f t="shared" si="761"/>
        <v>367.99343584484518</v>
      </c>
      <c r="W778" s="283">
        <f t="shared" si="762"/>
        <v>10.60734005213868</v>
      </c>
      <c r="X778" s="282">
        <f t="shared" si="763"/>
        <v>178.9586597766579</v>
      </c>
      <c r="Z778" s="169">
        <f>AA778*AB778</f>
        <v>0</v>
      </c>
      <c r="AA778" s="207">
        <v>4</v>
      </c>
      <c r="AB778">
        <v>0</v>
      </c>
      <c r="AC778" s="188" t="s">
        <v>139</v>
      </c>
    </row>
    <row r="779" spans="1:43">
      <c r="A779" s="186" t="s">
        <v>25</v>
      </c>
      <c r="K779">
        <v>519.79999999999995</v>
      </c>
      <c r="M779">
        <v>62.2</v>
      </c>
      <c r="N779">
        <v>4.8</v>
      </c>
      <c r="O779">
        <v>0.4</v>
      </c>
      <c r="P779" s="266">
        <f t="shared" si="756"/>
        <v>587.19999999999993</v>
      </c>
      <c r="Q779" s="186" t="s">
        <v>18</v>
      </c>
      <c r="R779" s="283">
        <f t="shared" si="757"/>
        <v>0</v>
      </c>
      <c r="S779" s="283">
        <f t="shared" si="758"/>
        <v>665.33563212899719</v>
      </c>
      <c r="T779" s="283">
        <f t="shared" si="759"/>
        <v>0</v>
      </c>
      <c r="U779" s="283">
        <f t="shared" si="760"/>
        <v>1053.507817373905</v>
      </c>
      <c r="V779" s="283">
        <f t="shared" si="761"/>
        <v>556.77250180199815</v>
      </c>
      <c r="W779" s="283">
        <f t="shared" si="762"/>
        <v>12.243796434344514</v>
      </c>
      <c r="X779" s="282">
        <f t="shared" si="763"/>
        <v>607.15788707406637</v>
      </c>
      <c r="Z779" s="169">
        <f>AA779*AB779</f>
        <v>0</v>
      </c>
      <c r="AA779" s="207">
        <v>77</v>
      </c>
      <c r="AB779">
        <v>0</v>
      </c>
      <c r="AC779" s="186" t="s">
        <v>204</v>
      </c>
    </row>
    <row r="780" spans="1:43">
      <c r="A780" s="186" t="s">
        <v>26</v>
      </c>
      <c r="J780">
        <v>37.200000000000003</v>
      </c>
      <c r="K780">
        <v>1936.9</v>
      </c>
      <c r="L780">
        <v>90.5</v>
      </c>
      <c r="M780">
        <v>241.8</v>
      </c>
      <c r="N780">
        <v>187.9</v>
      </c>
      <c r="O780">
        <v>1.3</v>
      </c>
      <c r="P780" s="266">
        <f t="shared" si="756"/>
        <v>2495.6000000000008</v>
      </c>
      <c r="Q780" s="186" t="s">
        <v>19</v>
      </c>
      <c r="R780" s="283">
        <f t="shared" si="757"/>
        <v>897.27411396779337</v>
      </c>
      <c r="S780" s="283">
        <f t="shared" si="758"/>
        <v>554.11690928184839</v>
      </c>
      <c r="T780" s="283">
        <f t="shared" si="759"/>
        <v>0</v>
      </c>
      <c r="U780" s="283">
        <f t="shared" si="760"/>
        <v>724.41707796176877</v>
      </c>
      <c r="V780" s="283">
        <f t="shared" si="761"/>
        <v>571.90286153256693</v>
      </c>
      <c r="W780" s="283">
        <f t="shared" si="762"/>
        <v>9.728243009426393</v>
      </c>
      <c r="X780" s="282">
        <f t="shared" si="763"/>
        <v>852.26920663811188</v>
      </c>
      <c r="Z780" s="169">
        <f>AA780*AB780</f>
        <v>0</v>
      </c>
      <c r="AA780" s="207">
        <v>9.5</v>
      </c>
      <c r="AB780">
        <v>0</v>
      </c>
      <c r="AC780" s="186" t="s">
        <v>138</v>
      </c>
    </row>
    <row r="781" spans="1:43">
      <c r="A781" s="186" t="s">
        <v>27</v>
      </c>
      <c r="J781">
        <v>7.9</v>
      </c>
      <c r="K781">
        <v>212.4</v>
      </c>
      <c r="M781">
        <v>89</v>
      </c>
      <c r="N781">
        <v>106</v>
      </c>
      <c r="O781" s="147">
        <v>0.06</v>
      </c>
      <c r="P781" s="266">
        <f t="shared" si="756"/>
        <v>415.36</v>
      </c>
      <c r="Q781" s="186" t="s">
        <v>20</v>
      </c>
      <c r="R781" s="283">
        <f t="shared" si="757"/>
        <v>0</v>
      </c>
      <c r="S781" s="283">
        <f t="shared" si="758"/>
        <v>392.17012347962816</v>
      </c>
      <c r="T781" s="283">
        <f t="shared" si="759"/>
        <v>0</v>
      </c>
      <c r="U781" s="283">
        <f t="shared" si="760"/>
        <v>557.99317760789313</v>
      </c>
      <c r="V781" s="283">
        <f t="shared" si="761"/>
        <v>312.83152489252581</v>
      </c>
      <c r="W781" s="283">
        <f t="shared" si="762"/>
        <v>9.728243009426393</v>
      </c>
      <c r="X781" s="282">
        <f t="shared" si="763"/>
        <v>388.37323992645747</v>
      </c>
      <c r="Z781" s="169"/>
      <c r="AA781" s="207">
        <v>0</v>
      </c>
      <c r="AB781">
        <v>0</v>
      </c>
      <c r="AC781" s="186" t="s">
        <v>205</v>
      </c>
    </row>
    <row r="782" spans="1:43">
      <c r="A782" s="186" t="s">
        <v>28</v>
      </c>
      <c r="K782">
        <v>69.099999999999994</v>
      </c>
      <c r="L782">
        <v>31.8</v>
      </c>
      <c r="M782">
        <v>76.7</v>
      </c>
      <c r="N782">
        <v>591</v>
      </c>
      <c r="O782">
        <v>1</v>
      </c>
      <c r="P782" s="266">
        <f t="shared" si="756"/>
        <v>769.6</v>
      </c>
      <c r="Q782" s="186" t="s">
        <v>22</v>
      </c>
      <c r="R782" s="283">
        <f t="shared" si="757"/>
        <v>0</v>
      </c>
      <c r="S782" s="283">
        <f t="shared" si="758"/>
        <v>0</v>
      </c>
      <c r="T782" s="283">
        <f t="shared" si="759"/>
        <v>0</v>
      </c>
      <c r="U782" s="283">
        <f t="shared" si="760"/>
        <v>0</v>
      </c>
      <c r="V782" s="283">
        <f t="shared" si="761"/>
        <v>0</v>
      </c>
      <c r="W782" s="283">
        <f t="shared" si="762"/>
        <v>0</v>
      </c>
      <c r="X782" s="282">
        <f t="shared" si="763"/>
        <v>0</v>
      </c>
      <c r="Z782" s="169">
        <f>AA782*AB782</f>
        <v>0</v>
      </c>
      <c r="AA782" s="207">
        <v>250</v>
      </c>
      <c r="AB782">
        <v>0</v>
      </c>
      <c r="AC782" s="186" t="s">
        <v>206</v>
      </c>
    </row>
    <row r="783" spans="1:43">
      <c r="A783" s="193" t="s">
        <v>253</v>
      </c>
      <c r="J783" s="179">
        <f t="shared" ref="J783:O783" si="764">SUM(J784:J788)</f>
        <v>65.3</v>
      </c>
      <c r="K783" s="179">
        <f t="shared" si="764"/>
        <v>15571.5</v>
      </c>
      <c r="L783" s="179">
        <f t="shared" si="764"/>
        <v>715.2</v>
      </c>
      <c r="M783" s="179">
        <f t="shared" si="764"/>
        <v>854.1</v>
      </c>
      <c r="N783" s="179">
        <f t="shared" si="764"/>
        <v>3848.5</v>
      </c>
      <c r="O783" s="179">
        <f t="shared" si="764"/>
        <v>1109.5999999999999</v>
      </c>
      <c r="P783" s="266">
        <f t="shared" si="756"/>
        <v>22164.199999999997</v>
      </c>
      <c r="Q783" s="193" t="s">
        <v>23</v>
      </c>
      <c r="R783" s="282">
        <f t="shared" si="757"/>
        <v>422.87388740937058</v>
      </c>
      <c r="S783" s="282">
        <f t="shared" si="758"/>
        <v>355.75245151195975</v>
      </c>
      <c r="T783" s="282">
        <f t="shared" si="759"/>
        <v>1624.5059256759043</v>
      </c>
      <c r="U783" s="282">
        <f t="shared" si="760"/>
        <v>434.37643290061573</v>
      </c>
      <c r="V783" s="282">
        <f t="shared" si="761"/>
        <v>329.93627612426144</v>
      </c>
      <c r="W783" s="282">
        <f t="shared" si="762"/>
        <v>7.5847242797766521</v>
      </c>
      <c r="X783" s="282">
        <f>IFERROR(X760/P743*1000000,0)</f>
        <v>370.69169921161887</v>
      </c>
    </row>
    <row r="784" spans="1:43">
      <c r="A784" s="186" t="s">
        <v>24</v>
      </c>
      <c r="K784">
        <v>1725.7</v>
      </c>
      <c r="L784">
        <v>31.6</v>
      </c>
      <c r="M784">
        <v>6.4</v>
      </c>
      <c r="N784">
        <v>534.20000000000005</v>
      </c>
      <c r="O784">
        <v>1100</v>
      </c>
      <c r="P784" s="266">
        <f t="shared" si="756"/>
        <v>3397.9</v>
      </c>
      <c r="Q784" s="186" t="s">
        <v>24</v>
      </c>
      <c r="R784" s="283">
        <f t="shared" si="757"/>
        <v>0</v>
      </c>
      <c r="S784" s="283">
        <f t="shared" si="758"/>
        <v>324.99354977290233</v>
      </c>
      <c r="T784" s="283">
        <f t="shared" si="759"/>
        <v>1470.6476827705267</v>
      </c>
      <c r="U784" s="283">
        <f t="shared" si="760"/>
        <v>469.77181237013644</v>
      </c>
      <c r="V784" s="283">
        <f t="shared" si="761"/>
        <v>311.80084643676497</v>
      </c>
      <c r="W784" s="283">
        <f t="shared" si="762"/>
        <v>7.5779026941644787</v>
      </c>
      <c r="X784" s="282">
        <f t="shared" si="763"/>
        <v>225.72324360759819</v>
      </c>
    </row>
    <row r="785" spans="1:24">
      <c r="A785" s="186" t="s">
        <v>25</v>
      </c>
      <c r="K785">
        <v>1223.3</v>
      </c>
      <c r="M785">
        <v>118.1</v>
      </c>
      <c r="N785">
        <v>8.1999999999999993</v>
      </c>
      <c r="O785">
        <v>1.3</v>
      </c>
      <c r="P785" s="266">
        <f t="shared" si="756"/>
        <v>1350.8999999999999</v>
      </c>
      <c r="Q785" s="186" t="s">
        <v>25</v>
      </c>
      <c r="R785" s="283">
        <f t="shared" si="757"/>
        <v>0</v>
      </c>
      <c r="S785" s="283">
        <f t="shared" si="758"/>
        <v>351.79534341249234</v>
      </c>
      <c r="T785" s="283">
        <f t="shared" si="759"/>
        <v>924.94400595518562</v>
      </c>
      <c r="U785" s="283">
        <f t="shared" si="760"/>
        <v>349.05882444623444</v>
      </c>
      <c r="V785" s="283">
        <f t="shared" si="761"/>
        <v>360.49009668690638</v>
      </c>
      <c r="W785" s="283">
        <f t="shared" si="762"/>
        <v>9.0333685087530782</v>
      </c>
      <c r="X785" s="282">
        <f t="shared" si="763"/>
        <v>351.31317279395495</v>
      </c>
    </row>
    <row r="786" spans="1:24">
      <c r="A786" s="186" t="s">
        <v>26</v>
      </c>
      <c r="J786">
        <v>54.7</v>
      </c>
      <c r="K786">
        <v>12081</v>
      </c>
      <c r="L786">
        <v>371.7</v>
      </c>
      <c r="M786">
        <v>502.7</v>
      </c>
      <c r="N786">
        <v>1369.9</v>
      </c>
      <c r="O786">
        <v>6.3</v>
      </c>
      <c r="P786" s="266">
        <f t="shared" si="756"/>
        <v>14386.300000000001</v>
      </c>
      <c r="Q786" s="186" t="s">
        <v>26</v>
      </c>
      <c r="R786" s="283">
        <f>IFERROR(R763/J746*1000000,0)</f>
        <v>418.04449254959189</v>
      </c>
      <c r="S786" s="283">
        <f t="shared" si="758"/>
        <v>358.9835728389541</v>
      </c>
      <c r="T786" s="283">
        <f t="shared" si="759"/>
        <v>1549.6086321810249</v>
      </c>
      <c r="U786" s="283">
        <f t="shared" si="760"/>
        <v>452.16928444809201</v>
      </c>
      <c r="V786" s="283">
        <f t="shared" si="761"/>
        <v>255.48457561399348</v>
      </c>
      <c r="W786" s="283">
        <f t="shared" si="762"/>
        <v>8.257694647536356</v>
      </c>
      <c r="X786" s="282">
        <f t="shared" si="763"/>
        <v>371.85291382205401</v>
      </c>
    </row>
    <row r="787" spans="1:24">
      <c r="A787" s="186" t="s">
        <v>27</v>
      </c>
      <c r="J787">
        <v>10.6</v>
      </c>
      <c r="K787">
        <v>324.7</v>
      </c>
      <c r="M787">
        <v>112.9</v>
      </c>
      <c r="N787">
        <v>209.6</v>
      </c>
      <c r="O787">
        <v>0.1</v>
      </c>
      <c r="P787" s="266">
        <f t="shared" si="756"/>
        <v>657.90000000000009</v>
      </c>
      <c r="Q787" s="186" t="s">
        <v>27</v>
      </c>
      <c r="R787" s="283">
        <f>IFERROR(R764/J747*1000000,0)</f>
        <v>477.76513434239087</v>
      </c>
      <c r="S787" s="283">
        <f t="shared" si="758"/>
        <v>287.55243241087203</v>
      </c>
      <c r="T787" s="283">
        <f t="shared" si="759"/>
        <v>0</v>
      </c>
      <c r="U787" s="283">
        <f t="shared" si="760"/>
        <v>360.74745958814538</v>
      </c>
      <c r="V787" s="283">
        <f t="shared" si="761"/>
        <v>240.51912443634626</v>
      </c>
      <c r="W787" s="283">
        <f t="shared" si="762"/>
        <v>5.3629228904678392</v>
      </c>
      <c r="X787" s="282">
        <f t="shared" si="763"/>
        <v>274.09487077229761</v>
      </c>
    </row>
    <row r="788" spans="1:24">
      <c r="A788" s="186" t="s">
        <v>28</v>
      </c>
      <c r="K788">
        <v>216.8</v>
      </c>
      <c r="L788">
        <v>311.89999999999998</v>
      </c>
      <c r="M788">
        <v>114</v>
      </c>
      <c r="N788">
        <v>1726.6</v>
      </c>
      <c r="O788">
        <v>1.9</v>
      </c>
      <c r="P788" s="266">
        <f t="shared" si="756"/>
        <v>2371.2000000000003</v>
      </c>
      <c r="Q788" s="186" t="s">
        <v>28</v>
      </c>
      <c r="R788" s="283">
        <f>IFERROR(R765/J748*1000000,0)</f>
        <v>0</v>
      </c>
      <c r="S788" s="283">
        <f t="shared" si="758"/>
        <v>506.734128769341</v>
      </c>
      <c r="T788" s="283">
        <f t="shared" si="759"/>
        <v>1721.7662790928557</v>
      </c>
      <c r="U788" s="283">
        <f t="shared" si="760"/>
        <v>531.20672207434711</v>
      </c>
      <c r="V788" s="283">
        <f t="shared" si="761"/>
        <v>516.1637706450216</v>
      </c>
      <c r="W788" s="283">
        <f t="shared" si="762"/>
        <v>11.058739146374522</v>
      </c>
      <c r="X788" s="282">
        <f t="shared" si="763"/>
        <v>787.31306853759054</v>
      </c>
    </row>
    <row r="789" spans="1:24">
      <c r="Q789" s="193" t="s">
        <v>9</v>
      </c>
      <c r="R789" s="282">
        <f t="shared" ref="R789:X789" si="765">R766/J749*1000000</f>
        <v>895.42888298184539</v>
      </c>
      <c r="S789" s="282">
        <f t="shared" si="765"/>
        <v>370.33463685932207</v>
      </c>
      <c r="T789" s="282">
        <f t="shared" si="765"/>
        <v>1625.3679399452587</v>
      </c>
      <c r="U789" s="282">
        <f t="shared" si="765"/>
        <v>565.58427498165167</v>
      </c>
      <c r="V789" s="282">
        <f t="shared" si="765"/>
        <v>381.48460705206145</v>
      </c>
      <c r="W789" s="282">
        <f t="shared" si="765"/>
        <v>8.7302472255317571</v>
      </c>
      <c r="X789" s="195">
        <f t="shared" si="765"/>
        <v>470.66057119274001</v>
      </c>
    </row>
    <row r="790" spans="1:24">
      <c r="J790" s="90">
        <f>IFERROR((J743/11.63+J777)/J783,"")</f>
        <v>0.87302996027330704</v>
      </c>
      <c r="K790" s="90">
        <f t="shared" ref="J790:O795" si="766">IFERROR((K743/11.63+K777)/K783,"")</f>
        <v>0.66083188389927594</v>
      </c>
      <c r="L790" s="90">
        <f t="shared" si="766"/>
        <v>0.51675267523434143</v>
      </c>
      <c r="M790" s="90">
        <f t="shared" si="766"/>
        <v>0.77481900816686866</v>
      </c>
      <c r="N790" s="90">
        <f t="shared" si="766"/>
        <v>0.58877864554212644</v>
      </c>
      <c r="O790" s="90">
        <f t="shared" si="766"/>
        <v>0.58049400495077441</v>
      </c>
      <c r="P790" s="269">
        <f>P783-('5-x'!$V$82+'5-x'!$V$84)</f>
        <v>0</v>
      </c>
      <c r="R790" s="196">
        <f>'7'!AB6</f>
        <v>895.42888298184539</v>
      </c>
      <c r="S790" s="196">
        <f>'7'!AB7</f>
        <v>370.33463685932185</v>
      </c>
      <c r="T790" s="204"/>
      <c r="U790" s="204"/>
      <c r="V790" s="204"/>
      <c r="W790" s="204"/>
      <c r="X790" s="196">
        <f>'7'!AB12</f>
        <v>470.66104108873679</v>
      </c>
    </row>
    <row r="791" spans="1:24">
      <c r="J791" s="90" t="str">
        <f t="shared" si="766"/>
        <v/>
      </c>
      <c r="K791" s="90">
        <f t="shared" si="766"/>
        <v>0.73746314815561276</v>
      </c>
      <c r="L791" s="90">
        <f t="shared" si="766"/>
        <v>0.56810736092819736</v>
      </c>
      <c r="M791" s="90">
        <f t="shared" si="766"/>
        <v>0.63827386070507308</v>
      </c>
      <c r="N791" s="90">
        <f t="shared" si="766"/>
        <v>0.66622327711449958</v>
      </c>
      <c r="O791" s="90">
        <f t="shared" si="766"/>
        <v>0.58040115688267013</v>
      </c>
      <c r="P791" s="272">
        <f>(P760/41.868)-'5-x'!$V$82</f>
        <v>4.4550969705596799E-3</v>
      </c>
      <c r="R791" s="172">
        <f>R789-R790</f>
        <v>0</v>
      </c>
      <c r="S791" s="172">
        <f>S789-S790</f>
        <v>0</v>
      </c>
      <c r="T791" s="172"/>
      <c r="U791" s="172"/>
      <c r="V791" s="172"/>
      <c r="W791" s="172"/>
      <c r="X791" s="222">
        <f>X789-X790</f>
        <v>-4.698959967868177E-4</v>
      </c>
    </row>
    <row r="792" spans="1:24">
      <c r="J792" s="90" t="str">
        <f t="shared" si="766"/>
        <v/>
      </c>
      <c r="K792" s="90">
        <f t="shared" si="766"/>
        <v>0.73818018568805077</v>
      </c>
      <c r="L792" s="90" t="str">
        <f t="shared" si="766"/>
        <v/>
      </c>
      <c r="M792" s="90">
        <f t="shared" si="766"/>
        <v>0.82452386343531836</v>
      </c>
      <c r="N792" s="90">
        <f t="shared" si="766"/>
        <v>0.7216827800264245</v>
      </c>
      <c r="O792" s="90">
        <f t="shared" si="766"/>
        <v>0.57887426417091081</v>
      </c>
      <c r="P792" s="272">
        <f>(P754/41.868)-'5-x'!$V$83</f>
        <v>-3.1720168190076947E-3</v>
      </c>
    </row>
    <row r="793" spans="1:24">
      <c r="J793" s="90">
        <f>IFERROR((J746/11.63+J780)/J786,"")</f>
        <v>0.88017970293683512</v>
      </c>
      <c r="K793" s="90">
        <f t="shared" si="766"/>
        <v>0.63825801662794479</v>
      </c>
      <c r="L793" s="90">
        <f t="shared" si="766"/>
        <v>0.56511401797555383</v>
      </c>
      <c r="M793" s="90">
        <f t="shared" si="766"/>
        <v>0.73885352715285879</v>
      </c>
      <c r="N793" s="90">
        <f t="shared" si="766"/>
        <v>0.61762590449610733</v>
      </c>
      <c r="O793" s="90">
        <f t="shared" si="766"/>
        <v>0.56530046813795742</v>
      </c>
    </row>
    <row r="794" spans="1:24">
      <c r="J794" s="90">
        <f t="shared" si="766"/>
        <v>0.83613459011340241</v>
      </c>
      <c r="K794" s="90">
        <f t="shared" si="766"/>
        <v>0.85203644557407443</v>
      </c>
      <c r="L794" s="90" t="str">
        <f t="shared" si="766"/>
        <v/>
      </c>
      <c r="M794" s="90">
        <f t="shared" si="766"/>
        <v>0.87345500130614218</v>
      </c>
      <c r="N794" s="90">
        <f t="shared" si="766"/>
        <v>0.77450887084599573</v>
      </c>
      <c r="O794" s="90">
        <f t="shared" si="766"/>
        <v>0.6859845227858985</v>
      </c>
    </row>
    <row r="795" spans="1:24">
      <c r="J795" s="90" t="str">
        <f t="shared" si="766"/>
        <v/>
      </c>
      <c r="K795" s="90">
        <f t="shared" si="766"/>
        <v>0.5859611229388304</v>
      </c>
      <c r="L795" s="90">
        <f t="shared" si="766"/>
        <v>0.45388855975786496</v>
      </c>
      <c r="M795" s="90">
        <f t="shared" si="766"/>
        <v>0.79190312410432795</v>
      </c>
      <c r="N795" s="90">
        <f t="shared" si="766"/>
        <v>0.51875220551346746</v>
      </c>
      <c r="O795" s="90">
        <f t="shared" si="766"/>
        <v>0.68018283024845005</v>
      </c>
    </row>
    <row r="796" spans="1:24">
      <c r="A796" s="68" t="str">
        <f>$A$735</f>
        <v>Dati 2016 lorda</v>
      </c>
    </row>
    <row r="797" spans="1:24">
      <c r="A797" s="68" t="s">
        <v>257</v>
      </c>
      <c r="B797" s="68"/>
      <c r="C797" s="68"/>
      <c r="D797" s="68"/>
      <c r="E797" s="68"/>
      <c r="J797" s="428">
        <v>0.20145516915328088</v>
      </c>
      <c r="K797" s="428">
        <v>9.0308989773193673</v>
      </c>
      <c r="L797" s="428">
        <v>1.1227149896692152</v>
      </c>
      <c r="M797" s="588">
        <v>1.3432339048293542</v>
      </c>
      <c r="N797" s="587">
        <v>1.9481993714957544</v>
      </c>
      <c r="O797" s="587">
        <v>7.3232296927817908E-4</v>
      </c>
      <c r="P797" s="287">
        <f>SUM(J797:O797)</f>
        <v>13.647234735436252</v>
      </c>
    </row>
    <row r="798" spans="1:24">
      <c r="A798" t="s">
        <v>258</v>
      </c>
      <c r="J798" s="181">
        <f t="shared" ref="J798:O798" si="767">J797/(J777*11.63)*1000000</f>
        <v>384.08041202654817</v>
      </c>
      <c r="K798" s="181">
        <f>K797/(K777*11.63)*1000000</f>
        <v>234.47701751138837</v>
      </c>
      <c r="L798" s="181">
        <f t="shared" si="767"/>
        <v>747.76229753123539</v>
      </c>
      <c r="M798" s="181">
        <f t="shared" si="767"/>
        <v>245.06116337065791</v>
      </c>
      <c r="N798" s="181">
        <f t="shared" si="767"/>
        <v>152.99570120545243</v>
      </c>
      <c r="O798" s="181">
        <f t="shared" si="767"/>
        <v>0.31937736375804654</v>
      </c>
      <c r="P798" s="181">
        <f>P797/(P777*11.63)*1000000</f>
        <v>223.54597906631111</v>
      </c>
    </row>
    <row r="800" spans="1:24">
      <c r="A800" s="68" t="s">
        <v>259</v>
      </c>
      <c r="J800" s="287">
        <f t="shared" ref="J800:P800" si="768">J797+R760</f>
        <v>0.26002320255947869</v>
      </c>
      <c r="K800" s="287">
        <f t="shared" si="768"/>
        <v>37.903518915313967</v>
      </c>
      <c r="L800" s="287">
        <f t="shared" si="768"/>
        <v>5.6661331625995848</v>
      </c>
      <c r="M800" s="287">
        <f t="shared" si="768"/>
        <v>2.3054645789907982</v>
      </c>
      <c r="N800" s="287">
        <f t="shared" si="768"/>
        <v>6.4415685224044577</v>
      </c>
      <c r="O800" s="287">
        <f t="shared" si="768"/>
        <v>4.0158478247985199E-2</v>
      </c>
      <c r="P800" s="287">
        <f t="shared" si="768"/>
        <v>52.616866860116268</v>
      </c>
    </row>
    <row r="801" spans="1:24">
      <c r="A801" t="s">
        <v>260</v>
      </c>
      <c r="J801" s="90">
        <f t="shared" ref="J801:P801" si="769">J800/((J777*11.63)+J743)*1000000</f>
        <v>392.18416917840023</v>
      </c>
      <c r="K801" s="90">
        <f t="shared" si="769"/>
        <v>316.72210681862674</v>
      </c>
      <c r="L801" s="90">
        <f t="shared" si="769"/>
        <v>1318.2470942360696</v>
      </c>
      <c r="M801" s="90">
        <f t="shared" si="769"/>
        <v>299.5502946228367</v>
      </c>
      <c r="N801" s="90">
        <f t="shared" si="769"/>
        <v>244.43780500200828</v>
      </c>
      <c r="O801" s="90">
        <f t="shared" si="769"/>
        <v>5.3608461754206349</v>
      </c>
      <c r="P801" s="90">
        <f t="shared" si="769"/>
        <v>316.63395323893189</v>
      </c>
    </row>
    <row r="802" spans="1:24">
      <c r="J802" s="168"/>
      <c r="K802" s="168"/>
      <c r="L802" s="168"/>
      <c r="M802" s="168"/>
      <c r="N802" s="168"/>
      <c r="O802" s="168"/>
      <c r="P802" s="168"/>
    </row>
    <row r="803" spans="1:24">
      <c r="A803" t="s">
        <v>261</v>
      </c>
      <c r="J803" s="266">
        <f>IFERROR((J$798*J777*11.63/1000000+R760)/(J777*11.63+J743)*1000000,"")</f>
        <v>392.18416917840028</v>
      </c>
      <c r="K803" s="266">
        <f t="shared" ref="K803:P803" si="770">IFERROR((K$798*K777*11.63/1000000+S760)/(K777*11.63+K743)*1000000,"")</f>
        <v>316.72210681862674</v>
      </c>
      <c r="L803" s="266">
        <f t="shared" si="770"/>
        <v>1318.2470942360696</v>
      </c>
      <c r="M803" s="266">
        <f t="shared" si="770"/>
        <v>299.5502946228367</v>
      </c>
      <c r="N803" s="266">
        <f t="shared" si="770"/>
        <v>244.43780500200828</v>
      </c>
      <c r="O803" s="266">
        <f t="shared" si="770"/>
        <v>5.3608461754206349</v>
      </c>
      <c r="P803" s="266">
        <f t="shared" si="770"/>
        <v>316.63395323893189</v>
      </c>
      <c r="R803" s="255">
        <f t="shared" ref="R803:R808" si="771">IFERROR(J803/R783-1,"")</f>
        <v>-7.2574162521557128E-2</v>
      </c>
      <c r="S803" s="255">
        <f t="shared" ref="S803:S808" si="772">IFERROR(K803/S783-1,"")</f>
        <v>-0.10971208919981501</v>
      </c>
      <c r="T803" s="255">
        <f t="shared" ref="T803:T808" si="773">IFERROR(L803/T783-1,"")</f>
        <v>-0.18852429320158393</v>
      </c>
      <c r="U803" s="255">
        <f t="shared" ref="U803:U808" si="774">IFERROR(M803/U783-1,"")</f>
        <v>-0.31039008580059613</v>
      </c>
      <c r="V803" s="255">
        <f t="shared" ref="V803:V808" si="775">IFERROR(N803/V783-1,"")</f>
        <v>-0.25913631603835074</v>
      </c>
      <c r="W803" s="255">
        <f t="shared" ref="W803:W808" si="776">IFERROR(O803/W783-1,"")</f>
        <v>-0.29320487104397475</v>
      </c>
      <c r="X803" s="255">
        <f t="shared" ref="X803:X808" si="777">IFERROR(P803/X783-1,"")</f>
        <v>-0.14582939431246</v>
      </c>
    </row>
    <row r="804" spans="1:24">
      <c r="A804" s="186" t="s">
        <v>24</v>
      </c>
      <c r="J804" s="181" t="str">
        <f t="shared" ref="J804:P804" si="778">IFERROR((J$798*J778*11.63/1000000+R761)/(J778*11.63+J744)*1000000,"")</f>
        <v/>
      </c>
      <c r="K804" s="181">
        <f t="shared" si="778"/>
        <v>284.20336170809725</v>
      </c>
      <c r="L804" s="181">
        <f t="shared" si="778"/>
        <v>1196.8303988490379</v>
      </c>
      <c r="M804" s="181">
        <f t="shared" si="778"/>
        <v>381.75683054429038</v>
      </c>
      <c r="N804" s="181">
        <f t="shared" si="778"/>
        <v>220.23822043737724</v>
      </c>
      <c r="O804" s="181">
        <f t="shared" si="778"/>
        <v>5.3677427548660246</v>
      </c>
      <c r="P804" s="181">
        <f t="shared" si="778"/>
        <v>224.78966077693838</v>
      </c>
      <c r="R804" s="254" t="str">
        <f t="shared" si="771"/>
        <v/>
      </c>
      <c r="S804" s="254">
        <f t="shared" si="772"/>
        <v>-0.12551076196222444</v>
      </c>
      <c r="T804" s="254">
        <f t="shared" si="773"/>
        <v>-0.18618822654087297</v>
      </c>
      <c r="U804" s="254">
        <f t="shared" si="774"/>
        <v>-0.1873568815927561</v>
      </c>
      <c r="V804" s="254">
        <f t="shared" si="775"/>
        <v>-0.2936574003751371</v>
      </c>
      <c r="W804" s="254">
        <f t="shared" si="776"/>
        <v>-0.29165852723345653</v>
      </c>
      <c r="X804" s="254">
        <f t="shared" si="777"/>
        <v>-4.1359623215532215E-3</v>
      </c>
    </row>
    <row r="805" spans="1:24">
      <c r="A805" s="186" t="s">
        <v>25</v>
      </c>
      <c r="J805" s="181" t="str">
        <f t="shared" ref="J805:P805" si="779">IFERROR((J$798*J779*11.63/1000000+R762)/(J779*11.63+J745)*1000000,"")</f>
        <v/>
      </c>
      <c r="K805" s="181">
        <f t="shared" si="779"/>
        <v>284.26378485620427</v>
      </c>
      <c r="L805" s="181">
        <f t="shared" si="779"/>
        <v>924.94400595518562</v>
      </c>
      <c r="M805" s="181">
        <f t="shared" si="779"/>
        <v>282.62934800695217</v>
      </c>
      <c r="N805" s="181">
        <f t="shared" si="779"/>
        <v>192.18881903148548</v>
      </c>
      <c r="O805" s="181">
        <f t="shared" si="779"/>
        <v>4.4015715701656832</v>
      </c>
      <c r="P805" s="181">
        <f t="shared" si="779"/>
        <v>276.81505456064519</v>
      </c>
      <c r="R805" s="254" t="str">
        <f t="shared" si="771"/>
        <v/>
      </c>
      <c r="S805" s="254">
        <f t="shared" si="772"/>
        <v>-0.19196262776311102</v>
      </c>
      <c r="T805" s="254">
        <f t="shared" si="773"/>
        <v>0</v>
      </c>
      <c r="U805" s="254">
        <f t="shared" si="774"/>
        <v>-0.19031026230226245</v>
      </c>
      <c r="V805" s="254">
        <f t="shared" si="775"/>
        <v>-0.46686796448001811</v>
      </c>
      <c r="W805" s="254">
        <f t="shared" si="776"/>
        <v>-0.51274305195224956</v>
      </c>
      <c r="X805" s="254">
        <f t="shared" si="777"/>
        <v>-0.21205614819630714</v>
      </c>
    </row>
    <row r="806" spans="1:24">
      <c r="A806" s="186" t="s">
        <v>26</v>
      </c>
      <c r="J806" s="181">
        <f t="shared" ref="J806:P806" si="780">IFERROR((J$798*J780*11.63/1000000+R763)/(J780*11.63+J746)*1000000,"")</f>
        <v>391.80205780496476</v>
      </c>
      <c r="K806" s="181">
        <f t="shared" si="780"/>
        <v>327.70836140856329</v>
      </c>
      <c r="L806" s="181">
        <f t="shared" si="780"/>
        <v>1204.1380386835338</v>
      </c>
      <c r="M806" s="181">
        <f t="shared" si="780"/>
        <v>317.33939169375941</v>
      </c>
      <c r="N806" s="181">
        <f t="shared" si="780"/>
        <v>232.7236911118373</v>
      </c>
      <c r="O806" s="181">
        <f t="shared" si="780"/>
        <v>5.3600047222980782</v>
      </c>
      <c r="P806" s="181">
        <f t="shared" si="780"/>
        <v>331.57954435577614</v>
      </c>
      <c r="R806" s="254">
        <f t="shared" si="771"/>
        <v>-6.2774262578077278E-2</v>
      </c>
      <c r="S806" s="254">
        <f t="shared" si="772"/>
        <v>-8.7121567104189945E-2</v>
      </c>
      <c r="T806" s="254">
        <f t="shared" si="773"/>
        <v>-0.22294054532417795</v>
      </c>
      <c r="U806" s="254">
        <f t="shared" si="774"/>
        <v>-0.29818454590276522</v>
      </c>
      <c r="V806" s="254">
        <f t="shared" si="775"/>
        <v>-8.908907493713103E-2</v>
      </c>
      <c r="W806" s="254">
        <f t="shared" si="776"/>
        <v>-0.35090785611729902</v>
      </c>
      <c r="X806" s="254">
        <f t="shared" si="777"/>
        <v>-0.10830456874018268</v>
      </c>
    </row>
    <row r="807" spans="1:24">
      <c r="A807" s="186" t="s">
        <v>27</v>
      </c>
      <c r="J807" s="181">
        <f t="shared" ref="J807:P807" si="781">IFERROR((J$798*J781*11.63/1000000+R764)/(J781*11.63+J747)*1000000,"")</f>
        <v>394.25987873529436</v>
      </c>
      <c r="K807" s="181">
        <f t="shared" si="781"/>
        <v>246.80432431067428</v>
      </c>
      <c r="L807" s="181" t="str">
        <f t="shared" si="781"/>
        <v/>
      </c>
      <c r="M807" s="181">
        <f t="shared" si="781"/>
        <v>256.3385774778497</v>
      </c>
      <c r="N807" s="181">
        <f t="shared" si="781"/>
        <v>183.36961771986554</v>
      </c>
      <c r="O807" s="181">
        <f t="shared" si="781"/>
        <v>0.95155905424561138</v>
      </c>
      <c r="P807" s="181">
        <f t="shared" si="781"/>
        <v>235.67853353417689</v>
      </c>
      <c r="R807" s="254">
        <f t="shared" si="771"/>
        <v>-0.17478306725340154</v>
      </c>
      <c r="S807" s="254">
        <f t="shared" si="772"/>
        <v>-0.14170670635112015</v>
      </c>
      <c r="T807" s="254" t="str">
        <f t="shared" si="773"/>
        <v/>
      </c>
      <c r="U807" s="254">
        <f t="shared" si="774"/>
        <v>-0.28942374876179633</v>
      </c>
      <c r="V807" s="254">
        <f t="shared" si="775"/>
        <v>-0.23760899201013608</v>
      </c>
      <c r="W807" s="254">
        <f t="shared" si="776"/>
        <v>-0.82256708260024947</v>
      </c>
      <c r="X807" s="254">
        <f t="shared" si="777"/>
        <v>-0.1401570818522716</v>
      </c>
    </row>
    <row r="808" spans="1:24">
      <c r="A808" s="186" t="s">
        <v>28</v>
      </c>
      <c r="J808" s="181" t="str">
        <f t="shared" ref="J808:O808" si="782">IFERROR((J$798*J782*11.63/1000000+R765)/(J782*11.63+J748)*1000000,"")</f>
        <v/>
      </c>
      <c r="K808" s="181">
        <f t="shared" si="782"/>
        <v>358.64294690758334</v>
      </c>
      <c r="L808" s="181">
        <f t="shared" si="782"/>
        <v>1502.9784087519492</v>
      </c>
      <c r="M808" s="181">
        <f t="shared" si="782"/>
        <v>288.0952428102658</v>
      </c>
      <c r="N808" s="181">
        <f>IFERROR((N$798*N782*11.63/1000000+V765)/(N782*11.63+N748)*1000000,"")</f>
        <v>276.53252487777274</v>
      </c>
      <c r="O808" s="181">
        <f t="shared" si="782"/>
        <v>2.7487739080625055</v>
      </c>
      <c r="P808" s="181">
        <f>IFERROR((P$798*P782*11.63/1000000+X765)/(P782*11.63+P748)*1000000,"")</f>
        <v>441.83010422676603</v>
      </c>
      <c r="R808" s="254" t="str">
        <f t="shared" si="771"/>
        <v/>
      </c>
      <c r="S808" s="254">
        <f t="shared" si="772"/>
        <v>-0.29224631508719023</v>
      </c>
      <c r="T808" s="254">
        <f t="shared" si="773"/>
        <v>-0.12707175938895665</v>
      </c>
      <c r="U808" s="254">
        <f t="shared" si="774"/>
        <v>-0.45765889090171508</v>
      </c>
      <c r="V808" s="254">
        <f t="shared" si="775"/>
        <v>-0.4642542917489052</v>
      </c>
      <c r="W808" s="254">
        <f t="shared" si="776"/>
        <v>-0.7514387606327021</v>
      </c>
      <c r="X808" s="254">
        <f t="shared" si="777"/>
        <v>-0.43881268851861988</v>
      </c>
    </row>
    <row r="810" spans="1:24">
      <c r="J810" s="181"/>
      <c r="K810" s="181"/>
      <c r="L810" s="181"/>
      <c r="M810" s="181"/>
      <c r="N810" s="181"/>
      <c r="O810" s="181"/>
      <c r="P810" s="181"/>
    </row>
    <row r="811" spans="1:24">
      <c r="J811" s="181"/>
      <c r="K811" s="181"/>
      <c r="L811" s="181"/>
      <c r="M811" s="181"/>
      <c r="N811" s="181"/>
      <c r="O811" s="181"/>
      <c r="P811" s="181"/>
    </row>
    <row r="812" spans="1:24">
      <c r="J812" s="181"/>
      <c r="K812" s="181"/>
      <c r="L812" s="181"/>
      <c r="M812" s="181"/>
      <c r="N812" s="181"/>
      <c r="O812" s="181"/>
      <c r="P812" s="181"/>
    </row>
    <row r="813" spans="1:24">
      <c r="J813" s="181"/>
      <c r="K813" s="181"/>
      <c r="L813" s="181"/>
      <c r="M813" s="181"/>
      <c r="N813" s="181"/>
      <c r="O813" s="181"/>
      <c r="P813" s="181"/>
    </row>
    <row r="814" spans="1:24">
      <c r="J814" s="181"/>
      <c r="K814" s="181"/>
      <c r="L814" s="181"/>
      <c r="M814" s="181"/>
      <c r="N814" s="181"/>
      <c r="O814" s="181"/>
      <c r="P814" s="181"/>
    </row>
    <row r="815" spans="1:24">
      <c r="J815" s="181"/>
      <c r="K815" s="181"/>
      <c r="L815" s="181"/>
      <c r="M815" s="181"/>
      <c r="N815" s="181"/>
      <c r="O815" s="181"/>
      <c r="P815" s="181"/>
    </row>
    <row r="818" spans="1:43">
      <c r="J818" s="254">
        <f t="shared" ref="J818:O818" si="783">J828/J834</f>
        <v>3.310085576128496E-3</v>
      </c>
      <c r="K818" s="254">
        <f t="shared" si="783"/>
        <v>0.65607404641160671</v>
      </c>
      <c r="L818" s="254">
        <f t="shared" si="783"/>
        <v>0.98531796072779687</v>
      </c>
      <c r="M818" s="254">
        <f t="shared" si="783"/>
        <v>0.43193423838585127</v>
      </c>
      <c r="N818" s="254">
        <f t="shared" si="783"/>
        <v>0.62573701512286795</v>
      </c>
      <c r="O818" s="254">
        <f t="shared" si="783"/>
        <v>0.61240216736905484</v>
      </c>
      <c r="P818" s="254">
        <f>SUM(K828:O828)/SUM(K834:O834)</f>
        <v>0.64571316488188502</v>
      </c>
    </row>
    <row r="819" spans="1:43">
      <c r="J819" s="166">
        <f>J868*((J828/11.63)/((J828/11.63)+J862))*41.868</f>
        <v>591.57248592403596</v>
      </c>
      <c r="K819" s="166">
        <f t="shared" ref="K819:P819" si="784">K868*((K828/11.63)/((K828/11.63)+K862))*41.868</f>
        <v>394012.31627698679</v>
      </c>
      <c r="L819" s="166">
        <f t="shared" si="784"/>
        <v>15443.083498495505</v>
      </c>
      <c r="M819" s="166">
        <f t="shared" si="784"/>
        <v>11379.666043071249</v>
      </c>
      <c r="N819" s="166">
        <f t="shared" si="784"/>
        <v>82864.969211445408</v>
      </c>
      <c r="O819" s="166">
        <f t="shared" si="784"/>
        <v>31214.30906355381</v>
      </c>
      <c r="P819" s="166">
        <f t="shared" si="784"/>
        <v>534387.66932793881</v>
      </c>
    </row>
    <row r="820" spans="1:43">
      <c r="A820" s="68" t="s">
        <v>188</v>
      </c>
      <c r="J820" s="68" t="s">
        <v>175</v>
      </c>
      <c r="R820" s="68" t="s">
        <v>122</v>
      </c>
      <c r="S820" s="68"/>
      <c r="AJ820" s="68" t="s">
        <v>264</v>
      </c>
    </row>
    <row r="821" spans="1:43" ht="15.5">
      <c r="A821" s="68"/>
      <c r="J821" s="180" t="s">
        <v>5</v>
      </c>
      <c r="K821" s="180" t="s">
        <v>186</v>
      </c>
      <c r="L821" s="180" t="s">
        <v>187</v>
      </c>
      <c r="M821" s="180" t="s">
        <v>190</v>
      </c>
      <c r="N821" s="180" t="s">
        <v>192</v>
      </c>
      <c r="O821" s="180" t="s">
        <v>191</v>
      </c>
      <c r="P821" s="180" t="s">
        <v>189</v>
      </c>
      <c r="Q821" s="2"/>
      <c r="R821" s="180" t="s">
        <v>5</v>
      </c>
      <c r="S821" s="180" t="s">
        <v>186</v>
      </c>
      <c r="T821" s="180" t="s">
        <v>187</v>
      </c>
      <c r="U821" s="180" t="s">
        <v>190</v>
      </c>
      <c r="V821" s="180" t="s">
        <v>192</v>
      </c>
      <c r="W821" s="180" t="s">
        <v>191</v>
      </c>
      <c r="X821" s="180" t="s">
        <v>189</v>
      </c>
      <c r="AA821" s="68" t="s">
        <v>194</v>
      </c>
      <c r="AB821" s="183" t="s">
        <v>193</v>
      </c>
      <c r="AJ821" s="68"/>
      <c r="AK821" s="180" t="s">
        <v>5</v>
      </c>
      <c r="AL821" s="180" t="s">
        <v>186</v>
      </c>
      <c r="AM821" s="180" t="s">
        <v>187</v>
      </c>
      <c r="AN821" s="180" t="s">
        <v>190</v>
      </c>
      <c r="AO821" s="180" t="s">
        <v>192</v>
      </c>
      <c r="AP821" s="180" t="s">
        <v>191</v>
      </c>
      <c r="AQ821" s="180" t="s">
        <v>189</v>
      </c>
    </row>
    <row r="822" spans="1:43" ht="15.5">
      <c r="A822" s="11" t="s">
        <v>16</v>
      </c>
      <c r="J822" s="179">
        <f t="shared" ref="J822:P822" si="785">SUM(J823:J827)</f>
        <v>43058.3</v>
      </c>
      <c r="K822" s="179">
        <f t="shared" si="785"/>
        <v>38127.699999999997</v>
      </c>
      <c r="L822" s="179">
        <f t="shared" si="785"/>
        <v>32.6</v>
      </c>
      <c r="M822" s="179">
        <f t="shared" si="785"/>
        <v>3192.7000000000003</v>
      </c>
      <c r="N822" s="179">
        <f t="shared" si="785"/>
        <v>7953.56</v>
      </c>
      <c r="O822" s="179">
        <f t="shared" si="785"/>
        <v>3219</v>
      </c>
      <c r="P822" s="179">
        <f t="shared" si="785"/>
        <v>95583.86</v>
      </c>
      <c r="Q822" s="2"/>
      <c r="R822" s="68">
        <v>9.5229999999999997</v>
      </c>
      <c r="S822" s="68">
        <v>6.8440000000000003</v>
      </c>
      <c r="T822" s="68">
        <v>8.9510000000000005</v>
      </c>
      <c r="U822" s="68">
        <v>10.19</v>
      </c>
      <c r="V822" s="68">
        <v>11.205</v>
      </c>
      <c r="W822" s="68">
        <v>9.76</v>
      </c>
      <c r="X822" s="68">
        <v>8.6240000000000006</v>
      </c>
      <c r="AA822" s="68" t="s">
        <v>5</v>
      </c>
      <c r="AJ822" s="11" t="s">
        <v>16</v>
      </c>
      <c r="AK822" s="256">
        <f>IFERROR(J822*3.6/J839,"")</f>
        <v>0.3780272897900499</v>
      </c>
      <c r="AL822" s="256">
        <f t="shared" ref="AL822:AL834" si="786">IFERROR(K822*3.6/K839,"")</f>
        <v>0.52606504804522303</v>
      </c>
      <c r="AM822" s="256">
        <f t="shared" ref="AM822:AM834" si="787">IFERROR(L822*3.6/L839,"")</f>
        <v>0.402189699474919</v>
      </c>
      <c r="AN822" s="256">
        <f t="shared" ref="AN822:AN834" si="788">IFERROR(M822*3.6/M839,"")</f>
        <v>0.35329421856504789</v>
      </c>
      <c r="AO822" s="256">
        <f t="shared" ref="AO822:AO834" si="789">IFERROR(N822*3.6/N839,"")</f>
        <v>0.32128140197369714</v>
      </c>
      <c r="AP822" s="256">
        <f t="shared" ref="AP822:AP831" si="790">IFERROR(O822*3.6/O839,"")</f>
        <v>0.36883600444390668</v>
      </c>
      <c r="AQ822" s="256">
        <f t="shared" ref="AQ822:AQ834" si="791">IFERROR(P822*3.6/P839,"")</f>
        <v>0.41743143589913523</v>
      </c>
    </row>
    <row r="823" spans="1:43" ht="15.5">
      <c r="A823" s="10" t="s">
        <v>17</v>
      </c>
      <c r="K823">
        <v>212.5</v>
      </c>
      <c r="L823">
        <v>32.6</v>
      </c>
      <c r="M823">
        <v>264.8</v>
      </c>
      <c r="N823">
        <v>1297.3</v>
      </c>
      <c r="O823">
        <v>3162.9</v>
      </c>
      <c r="P823" s="68">
        <f>SUM(J823:O823)</f>
        <v>4970.1000000000004</v>
      </c>
      <c r="Q823" s="2"/>
      <c r="S823">
        <v>10.316000000000001</v>
      </c>
      <c r="T823">
        <v>8.9510000000000005</v>
      </c>
      <c r="U823">
        <v>9.6340000000000003</v>
      </c>
      <c r="V823">
        <v>8.8019999999999996</v>
      </c>
      <c r="W823">
        <v>9.7430000000000003</v>
      </c>
      <c r="X823" s="68">
        <v>9.5109999999999992</v>
      </c>
      <c r="Z823" s="169">
        <f>AA823*AB823</f>
        <v>904759.85194777581</v>
      </c>
      <c r="AA823" s="185">
        <v>9562.1</v>
      </c>
      <c r="AB823" s="178">
        <v>94.619367288333706</v>
      </c>
      <c r="AC823" s="186" t="s">
        <v>58</v>
      </c>
      <c r="AJ823" s="10" t="s">
        <v>17</v>
      </c>
      <c r="AK823" s="56" t="str">
        <f t="shared" ref="AK823:AK834" si="792">IFERROR(J823*3.6/J840,"")</f>
        <v/>
      </c>
      <c r="AL823" s="56">
        <f t="shared" si="786"/>
        <v>0.34897246994959286</v>
      </c>
      <c r="AM823" s="56">
        <f t="shared" si="787"/>
        <v>0.402189699474919</v>
      </c>
      <c r="AN823" s="56">
        <f t="shared" si="788"/>
        <v>0.373676562175628</v>
      </c>
      <c r="AO823" s="56">
        <f t="shared" si="789"/>
        <v>0.40899795501022501</v>
      </c>
      <c r="AP823" s="56">
        <f t="shared" si="790"/>
        <v>0.36949604844503747</v>
      </c>
      <c r="AQ823" s="256">
        <f t="shared" si="791"/>
        <v>0.37851402728111827</v>
      </c>
    </row>
    <row r="824" spans="1:43" ht="15.5">
      <c r="A824" s="10" t="s">
        <v>18</v>
      </c>
      <c r="K824">
        <v>3494.6</v>
      </c>
      <c r="M824">
        <v>5.7</v>
      </c>
      <c r="N824">
        <v>16.3</v>
      </c>
      <c r="O824">
        <v>36.6</v>
      </c>
      <c r="P824" s="68">
        <f>SUM(J824:O824)</f>
        <v>3553.2</v>
      </c>
      <c r="Q824" s="2"/>
      <c r="S824">
        <v>7.1109999999999998</v>
      </c>
      <c r="U824">
        <v>14.776</v>
      </c>
      <c r="V824">
        <v>14.093999999999999</v>
      </c>
      <c r="W824">
        <v>11.313000000000001</v>
      </c>
      <c r="X824" s="68">
        <v>7.1989999999999998</v>
      </c>
      <c r="Z824" s="169">
        <f>AA824*AB824</f>
        <v>4418.7244523651843</v>
      </c>
      <c r="AA824" s="185">
        <v>46.7</v>
      </c>
      <c r="AB824" s="178">
        <v>94.619367288333706</v>
      </c>
      <c r="AC824" s="186" t="s">
        <v>59</v>
      </c>
      <c r="AJ824" s="10" t="s">
        <v>18</v>
      </c>
      <c r="AK824" s="56" t="str">
        <f t="shared" si="792"/>
        <v/>
      </c>
      <c r="AL824" s="56">
        <f t="shared" si="786"/>
        <v>0.50625791027984812</v>
      </c>
      <c r="AM824" s="56" t="str">
        <f t="shared" si="787"/>
        <v/>
      </c>
      <c r="AN824" s="56">
        <f t="shared" si="788"/>
        <v>0.24363833243096911</v>
      </c>
      <c r="AO824" s="56">
        <f t="shared" si="789"/>
        <v>0.2554278416347382</v>
      </c>
      <c r="AP824" s="56">
        <f t="shared" si="790"/>
        <v>0.31821797931583135</v>
      </c>
      <c r="AQ824" s="256">
        <f t="shared" si="791"/>
        <v>0.50009633627451744</v>
      </c>
    </row>
    <row r="825" spans="1:43" ht="15.5">
      <c r="A825" s="10" t="s">
        <v>19</v>
      </c>
      <c r="J825">
        <v>43058.3</v>
      </c>
      <c r="K825">
        <v>630.29999999999995</v>
      </c>
      <c r="M825">
        <v>2911.9</v>
      </c>
      <c r="N825">
        <v>4395</v>
      </c>
      <c r="O825">
        <v>8.6999999999999993</v>
      </c>
      <c r="P825" s="68">
        <f>SUM(J825:O825)</f>
        <v>51004.200000000004</v>
      </c>
      <c r="Q825" s="2"/>
      <c r="R825" s="171">
        <v>9.5231220000000008</v>
      </c>
      <c r="S825">
        <v>9.0649999999999995</v>
      </c>
      <c r="U825">
        <v>10.24</v>
      </c>
      <c r="V825">
        <v>13.733000000000001</v>
      </c>
      <c r="W825">
        <v>9.0169999999999995</v>
      </c>
      <c r="X825" s="68">
        <v>9.9209999999999994</v>
      </c>
      <c r="Z825" s="169">
        <f>AA825*AB825</f>
        <v>0</v>
      </c>
      <c r="AA825" s="185">
        <v>0</v>
      </c>
      <c r="AB825" s="178">
        <v>101</v>
      </c>
      <c r="AC825" s="186" t="s">
        <v>60</v>
      </c>
      <c r="AJ825" s="10" t="s">
        <v>19</v>
      </c>
      <c r="AK825" s="56">
        <f t="shared" si="792"/>
        <v>0.3780272897900499</v>
      </c>
      <c r="AL825" s="56">
        <f t="shared" si="786"/>
        <v>0.39713182570325434</v>
      </c>
      <c r="AM825" s="56" t="str">
        <f t="shared" si="787"/>
        <v/>
      </c>
      <c r="AN825" s="56">
        <f t="shared" si="788"/>
        <v>0.3515625</v>
      </c>
      <c r="AO825" s="56">
        <f t="shared" si="789"/>
        <v>0.26214228500691761</v>
      </c>
      <c r="AP825" s="56">
        <f t="shared" si="790"/>
        <v>0.39924586891427305</v>
      </c>
      <c r="AQ825" s="256">
        <f t="shared" si="791"/>
        <v>0.36286429138163251</v>
      </c>
    </row>
    <row r="826" spans="1:43" ht="15.5">
      <c r="A826" s="10" t="s">
        <v>20</v>
      </c>
      <c r="K826">
        <v>33786.6</v>
      </c>
      <c r="M826">
        <v>10.3</v>
      </c>
      <c r="N826">
        <v>2244.96</v>
      </c>
      <c r="O826">
        <v>10.8</v>
      </c>
      <c r="P826" s="68">
        <f>SUM(J826:O826)</f>
        <v>36052.660000000003</v>
      </c>
      <c r="Q826" s="2"/>
      <c r="S826">
        <v>6.7519999999999998</v>
      </c>
      <c r="U826">
        <v>7.7510000000000003</v>
      </c>
      <c r="V826">
        <v>7.6239999999999997</v>
      </c>
      <c r="W826">
        <v>10.204000000000001</v>
      </c>
      <c r="X826" s="68">
        <v>6.8079999999999998</v>
      </c>
      <c r="Z826" s="169">
        <f>AA826*AB826</f>
        <v>19256.6417</v>
      </c>
      <c r="AA826" s="185">
        <v>200.3</v>
      </c>
      <c r="AB826" s="245">
        <v>96.138999999999996</v>
      </c>
      <c r="AC826" s="186" t="s">
        <v>61</v>
      </c>
      <c r="AJ826" s="10" t="s">
        <v>20</v>
      </c>
      <c r="AK826" s="56" t="str">
        <f t="shared" si="792"/>
        <v/>
      </c>
      <c r="AL826" s="56">
        <f t="shared" si="786"/>
        <v>0.53317535545023698</v>
      </c>
      <c r="AM826" s="56" t="str">
        <f t="shared" si="787"/>
        <v/>
      </c>
      <c r="AN826" s="56">
        <f t="shared" si="788"/>
        <v>0.46445619920010328</v>
      </c>
      <c r="AO826" s="56">
        <f t="shared" si="789"/>
        <v>0.47219307450157405</v>
      </c>
      <c r="AP826" s="56">
        <f t="shared" si="790"/>
        <v>0.35280282242257938</v>
      </c>
      <c r="AQ826" s="256">
        <f t="shared" si="791"/>
        <v>0.52881933243279222</v>
      </c>
    </row>
    <row r="827" spans="1:43" ht="15.5">
      <c r="A827" s="10" t="s">
        <v>22</v>
      </c>
      <c r="K827">
        <v>3.7</v>
      </c>
      <c r="P827" s="68">
        <f>SUM(J827:O827)</f>
        <v>3.7</v>
      </c>
      <c r="Q827" s="2"/>
      <c r="S827">
        <v>9.3859999999999992</v>
      </c>
      <c r="X827" s="68">
        <v>9.3859999999999992</v>
      </c>
      <c r="Z827" s="169"/>
      <c r="AA827" s="179" t="s">
        <v>213</v>
      </c>
      <c r="AB827" s="178"/>
      <c r="AJ827" s="10" t="s">
        <v>22</v>
      </c>
      <c r="AK827" s="56" t="str">
        <f t="shared" si="792"/>
        <v/>
      </c>
      <c r="AL827" s="56">
        <f t="shared" si="786"/>
        <v>0.38354996803750269</v>
      </c>
      <c r="AM827" s="56" t="str">
        <f t="shared" si="787"/>
        <v/>
      </c>
      <c r="AN827" s="56" t="str">
        <f t="shared" si="788"/>
        <v/>
      </c>
      <c r="AO827" s="56" t="str">
        <f t="shared" si="789"/>
        <v/>
      </c>
      <c r="AP827" s="56" t="str">
        <f t="shared" si="790"/>
        <v/>
      </c>
      <c r="AQ827" s="256">
        <f t="shared" si="791"/>
        <v>0.38354996803750269</v>
      </c>
    </row>
    <row r="828" spans="1:43" ht="15.5">
      <c r="A828" s="11" t="s">
        <v>23</v>
      </c>
      <c r="J828" s="179">
        <f t="shared" ref="J828:P828" si="793">SUM(J829:J833)</f>
        <v>143</v>
      </c>
      <c r="K828" s="179">
        <f t="shared" si="793"/>
        <v>72732.5</v>
      </c>
      <c r="L828" s="179">
        <f t="shared" si="793"/>
        <v>2187.8000000000002</v>
      </c>
      <c r="M828" s="179">
        <f t="shared" si="793"/>
        <v>2427.6</v>
      </c>
      <c r="N828" s="179">
        <f t="shared" si="793"/>
        <v>13297.7</v>
      </c>
      <c r="O828" s="179">
        <f t="shared" si="793"/>
        <v>5086</v>
      </c>
      <c r="P828" s="179">
        <f t="shared" si="793"/>
        <v>95874.599999999991</v>
      </c>
      <c r="Q828" s="2"/>
      <c r="R828" s="68">
        <v>4.4480000000000004</v>
      </c>
      <c r="S828" s="68">
        <v>6.1319999999999997</v>
      </c>
      <c r="T828" s="68">
        <v>8.6989999999999998</v>
      </c>
      <c r="U828" s="68">
        <v>6.415</v>
      </c>
      <c r="V828" s="68">
        <v>7.9749999999999996</v>
      </c>
      <c r="W828" s="68">
        <v>7.0890000000000004</v>
      </c>
      <c r="X828" s="68">
        <v>6.5019999999999998</v>
      </c>
      <c r="Z828" s="169">
        <f>AA828*AB828</f>
        <v>12756.999126521083</v>
      </c>
      <c r="AA828" s="185">
        <v>63.3</v>
      </c>
      <c r="AB828" s="242">
        <v>201.53237166699975</v>
      </c>
      <c r="AC828" s="186" t="s">
        <v>140</v>
      </c>
      <c r="AJ828" s="11" t="s">
        <v>23</v>
      </c>
      <c r="AK828" s="256">
        <f t="shared" si="792"/>
        <v>0.80930518603014745</v>
      </c>
      <c r="AL828" s="256">
        <f t="shared" si="786"/>
        <v>0.58705323415327482</v>
      </c>
      <c r="AM828" s="256">
        <f t="shared" si="787"/>
        <v>0.41384962823507804</v>
      </c>
      <c r="AN828" s="256">
        <f t="shared" si="788"/>
        <v>0.56115729793144919</v>
      </c>
      <c r="AO828" s="256">
        <f t="shared" si="789"/>
        <v>0.45143974649752183</v>
      </c>
      <c r="AP828" s="256">
        <f t="shared" si="790"/>
        <v>0.50780187791455633</v>
      </c>
      <c r="AQ828" s="256">
        <f t="shared" si="791"/>
        <v>0.55369123808789333</v>
      </c>
    </row>
    <row r="829" spans="1:43" ht="15.5">
      <c r="A829" s="10" t="s">
        <v>24</v>
      </c>
      <c r="K829">
        <v>7256.2</v>
      </c>
      <c r="L829">
        <v>137.1</v>
      </c>
      <c r="M829">
        <v>32.1</v>
      </c>
      <c r="N829">
        <v>1873.5</v>
      </c>
      <c r="O829">
        <v>5052.3</v>
      </c>
      <c r="P829" s="68">
        <f>SUM(J829:O829)</f>
        <v>14351.2</v>
      </c>
      <c r="Q829" s="2"/>
      <c r="S829">
        <v>5.6239999999999997</v>
      </c>
      <c r="T829">
        <v>7.1429999999999998</v>
      </c>
      <c r="U829">
        <v>6.6360000000000001</v>
      </c>
      <c r="V829">
        <v>7.548</v>
      </c>
      <c r="W829">
        <v>7.0839999999999996</v>
      </c>
      <c r="X829" s="68">
        <v>6.4059999999999997</v>
      </c>
      <c r="Z829" s="169">
        <f>AA829*AB829</f>
        <v>66744.22738152591</v>
      </c>
      <c r="AA829" s="185">
        <v>266.89999999999998</v>
      </c>
      <c r="AB829" s="243">
        <v>250.0720396460319</v>
      </c>
      <c r="AC829" s="186" t="s">
        <v>141</v>
      </c>
      <c r="AJ829" s="10" t="s">
        <v>24</v>
      </c>
      <c r="AK829" s="56" t="str">
        <f t="shared" si="792"/>
        <v/>
      </c>
      <c r="AL829" s="56">
        <f t="shared" si="786"/>
        <v>0.64011379800853485</v>
      </c>
      <c r="AM829" s="56">
        <f t="shared" si="787"/>
        <v>0.50398992020159605</v>
      </c>
      <c r="AN829" s="56">
        <f t="shared" si="788"/>
        <v>0.54249547920433994</v>
      </c>
      <c r="AO829" s="56">
        <f t="shared" si="789"/>
        <v>0.47694753577106519</v>
      </c>
      <c r="AP829" s="56">
        <f t="shared" si="790"/>
        <v>0.50818746470920395</v>
      </c>
      <c r="AQ829" s="256">
        <f t="shared" si="791"/>
        <v>0.56197881251838655</v>
      </c>
    </row>
    <row r="830" spans="1:43" ht="15.5">
      <c r="A830" s="10" t="s">
        <v>25</v>
      </c>
      <c r="K830">
        <v>4244</v>
      </c>
      <c r="L830">
        <v>0.2</v>
      </c>
      <c r="M830">
        <v>404.6</v>
      </c>
      <c r="N830">
        <v>12.7</v>
      </c>
      <c r="O830">
        <v>4.2</v>
      </c>
      <c r="P830" s="68">
        <f>SUM(J830:O830)</f>
        <v>4665.7</v>
      </c>
      <c r="Q830" s="2"/>
      <c r="S830">
        <v>5.984</v>
      </c>
      <c r="T830">
        <v>4.6909999999999998</v>
      </c>
      <c r="U830">
        <v>5.03</v>
      </c>
      <c r="V830">
        <v>8.8879999999999999</v>
      </c>
      <c r="W830">
        <v>7.7590000000000003</v>
      </c>
      <c r="X830" s="68">
        <v>5.9109999999999996</v>
      </c>
      <c r="Z830" s="169">
        <f>AA830*AB830</f>
        <v>5383.9082547579965</v>
      </c>
      <c r="AA830" s="185">
        <v>124.3</v>
      </c>
      <c r="AB830" s="243">
        <v>43.313823449380507</v>
      </c>
      <c r="AC830" s="186" t="s">
        <v>142</v>
      </c>
      <c r="AJ830" s="10" t="s">
        <v>25</v>
      </c>
      <c r="AK830" s="56" t="str">
        <f t="shared" si="792"/>
        <v/>
      </c>
      <c r="AL830" s="56">
        <f t="shared" si="786"/>
        <v>0.60160427807486627</v>
      </c>
      <c r="AM830" s="56">
        <f t="shared" si="787"/>
        <v>0.76742698784907271</v>
      </c>
      <c r="AN830" s="56">
        <f t="shared" si="788"/>
        <v>0.71570576540755471</v>
      </c>
      <c r="AO830" s="56">
        <f t="shared" si="789"/>
        <v>0.40504050405040509</v>
      </c>
      <c r="AP830" s="56">
        <f t="shared" si="790"/>
        <v>0.46397731666451864</v>
      </c>
      <c r="AQ830" s="256">
        <f t="shared" si="791"/>
        <v>0.60906304751789175</v>
      </c>
    </row>
    <row r="831" spans="1:43" ht="15.5">
      <c r="A831" s="10" t="s">
        <v>26</v>
      </c>
      <c r="J831">
        <v>131.1</v>
      </c>
      <c r="K831">
        <v>59526.6</v>
      </c>
      <c r="L831">
        <v>895.8</v>
      </c>
      <c r="M831">
        <v>1465.8</v>
      </c>
      <c r="N831">
        <v>7378.3</v>
      </c>
      <c r="O831">
        <v>26.9</v>
      </c>
      <c r="P831" s="68">
        <f>SUM(J831:O831)</f>
        <v>69424.5</v>
      </c>
      <c r="Q831" s="2"/>
      <c r="R831">
        <v>4.3959999999999999</v>
      </c>
      <c r="S831">
        <v>6.1849999999999996</v>
      </c>
      <c r="T831">
        <v>8.266</v>
      </c>
      <c r="U831">
        <v>6.4889999999999999</v>
      </c>
      <c r="V831">
        <v>6.0449999999999999</v>
      </c>
      <c r="W831">
        <v>7.8090000000000002</v>
      </c>
      <c r="X831" s="68">
        <v>6.2</v>
      </c>
      <c r="Z831" s="169">
        <f>AA831*AB831</f>
        <v>392.7</v>
      </c>
      <c r="AA831" s="185">
        <v>7</v>
      </c>
      <c r="AB831" s="243">
        <v>56.1</v>
      </c>
      <c r="AC831" s="187" t="s">
        <v>196</v>
      </c>
      <c r="AJ831" s="10" t="s">
        <v>26</v>
      </c>
      <c r="AK831" s="56">
        <f t="shared" si="792"/>
        <v>0.81892629663330296</v>
      </c>
      <c r="AL831" s="56">
        <f t="shared" si="786"/>
        <v>0.58205335489086507</v>
      </c>
      <c r="AM831" s="56">
        <f t="shared" si="787"/>
        <v>0.43551899346721512</v>
      </c>
      <c r="AN831" s="56">
        <f t="shared" si="788"/>
        <v>0.55478502080443837</v>
      </c>
      <c r="AO831" s="56">
        <f t="shared" si="789"/>
        <v>0.59553349875930528</v>
      </c>
      <c r="AP831" s="56">
        <f t="shared" si="790"/>
        <v>0.46100653092585481</v>
      </c>
      <c r="AQ831" s="256">
        <f t="shared" si="791"/>
        <v>0.5805850282535715</v>
      </c>
    </row>
    <row r="832" spans="1:43" ht="15.5">
      <c r="A832" s="10" t="s">
        <v>27</v>
      </c>
      <c r="J832">
        <v>11.9</v>
      </c>
      <c r="K832">
        <v>772.8</v>
      </c>
      <c r="M832">
        <v>179</v>
      </c>
      <c r="N832">
        <v>601.6</v>
      </c>
      <c r="O832">
        <v>0.6</v>
      </c>
      <c r="P832" s="68">
        <f>SUM(J832:O832)</f>
        <v>1565.8999999999999</v>
      </c>
      <c r="Q832" s="2"/>
      <c r="R832">
        <v>5.024</v>
      </c>
      <c r="S832">
        <v>4.9029999999999996</v>
      </c>
      <c r="U832">
        <v>4.6349999999999998</v>
      </c>
      <c r="V832">
        <v>5.907</v>
      </c>
      <c r="W832">
        <v>4.7480000000000002</v>
      </c>
      <c r="X832" s="68">
        <v>5.2590000000000003</v>
      </c>
      <c r="AA832" s="179" t="s">
        <v>214</v>
      </c>
      <c r="AB832" s="178"/>
      <c r="AJ832" s="10" t="s">
        <v>27</v>
      </c>
      <c r="AK832" s="56">
        <f t="shared" si="792"/>
        <v>0.71656050955414019</v>
      </c>
      <c r="AL832" s="56">
        <f t="shared" si="786"/>
        <v>0.73424434019987772</v>
      </c>
      <c r="AM832" s="56" t="str">
        <f t="shared" si="787"/>
        <v/>
      </c>
      <c r="AN832" s="56">
        <f t="shared" si="788"/>
        <v>0.77669902912621358</v>
      </c>
      <c r="AO832" s="56">
        <f t="shared" si="789"/>
        <v>0.6094464195022854</v>
      </c>
      <c r="AP832" s="56">
        <f>IFERROR(O832*3.6/O849,"")</f>
        <v>0.75821398483572033</v>
      </c>
      <c r="AQ832" s="256">
        <f t="shared" si="791"/>
        <v>0.68454736247977988</v>
      </c>
    </row>
    <row r="833" spans="1:43" ht="15.5">
      <c r="A833" s="10" t="s">
        <v>28</v>
      </c>
      <c r="K833">
        <v>932.9</v>
      </c>
      <c r="L833">
        <v>1154.7</v>
      </c>
      <c r="M833">
        <v>346.1</v>
      </c>
      <c r="N833">
        <v>3431.6</v>
      </c>
      <c r="O833">
        <v>2</v>
      </c>
      <c r="P833" s="68">
        <f>SUM(J833:O833)</f>
        <v>5867.2999999999993</v>
      </c>
      <c r="Q833" s="2"/>
      <c r="S833">
        <v>8.4179999999999993</v>
      </c>
      <c r="T833">
        <v>9.2200000000000006</v>
      </c>
      <c r="U833">
        <v>8.6229999999999993</v>
      </c>
      <c r="V833">
        <v>12.715</v>
      </c>
      <c r="W833">
        <v>10.295</v>
      </c>
      <c r="X833" s="68">
        <v>11.102</v>
      </c>
      <c r="Z833" s="169">
        <f t="shared" ref="Z833:Z839" si="794">AA833*AB833</f>
        <v>28.6</v>
      </c>
      <c r="AA833" s="205">
        <v>0.4</v>
      </c>
      <c r="AB833" s="243">
        <v>71.5</v>
      </c>
      <c r="AC833" s="186" t="s">
        <v>65</v>
      </c>
      <c r="AJ833" s="10" t="s">
        <v>28</v>
      </c>
      <c r="AK833" s="56" t="str">
        <f t="shared" si="792"/>
        <v/>
      </c>
      <c r="AL833" s="56">
        <f t="shared" si="786"/>
        <v>0.42765502494654317</v>
      </c>
      <c r="AM833" s="56">
        <f t="shared" si="787"/>
        <v>0.39045553145336226</v>
      </c>
      <c r="AN833" s="56">
        <f t="shared" si="788"/>
        <v>0.41748811318566631</v>
      </c>
      <c r="AO833" s="56">
        <f t="shared" si="789"/>
        <v>0.28313016122689738</v>
      </c>
      <c r="AP833" s="56">
        <f>IFERROR(O833*3.6/O850,"")</f>
        <v>0.3496843127731909</v>
      </c>
      <c r="AQ833" s="256">
        <f t="shared" si="791"/>
        <v>0.32427323638830202</v>
      </c>
    </row>
    <row r="834" spans="1:43" ht="15.5">
      <c r="A834" s="11" t="s">
        <v>9</v>
      </c>
      <c r="J834" s="179">
        <f t="shared" ref="J834:O834" si="795">J822+J828</f>
        <v>43201.3</v>
      </c>
      <c r="K834" s="179">
        <f t="shared" si="795"/>
        <v>110860.2</v>
      </c>
      <c r="L834" s="179">
        <f t="shared" si="795"/>
        <v>2220.4</v>
      </c>
      <c r="M834" s="179">
        <f t="shared" si="795"/>
        <v>5620.3</v>
      </c>
      <c r="N834" s="179">
        <f t="shared" si="795"/>
        <v>21251.260000000002</v>
      </c>
      <c r="O834" s="179">
        <f t="shared" si="795"/>
        <v>8305</v>
      </c>
      <c r="P834" s="785">
        <f>P822+P828+'3'!$AA$27*1000</f>
        <v>192053.76000000004</v>
      </c>
      <c r="Q834" s="2"/>
      <c r="R834" s="68">
        <v>9.5060000000000002</v>
      </c>
      <c r="S834" s="68">
        <v>6.3769999999999998</v>
      </c>
      <c r="T834" s="68">
        <v>8.7029999999999994</v>
      </c>
      <c r="U834" s="68">
        <v>8.56</v>
      </c>
      <c r="V834" s="68">
        <v>9.1839999999999993</v>
      </c>
      <c r="W834" s="68">
        <v>8.125</v>
      </c>
      <c r="X834" s="68">
        <v>7.5609999999999999</v>
      </c>
      <c r="Z834" s="169">
        <f t="shared" si="794"/>
        <v>729.81681920545327</v>
      </c>
      <c r="AA834" s="205">
        <v>7.7</v>
      </c>
      <c r="AB834" s="243">
        <v>94.781405091617302</v>
      </c>
      <c r="AC834" s="186" t="s">
        <v>66</v>
      </c>
      <c r="AJ834" s="11" t="s">
        <v>9</v>
      </c>
      <c r="AK834" s="256">
        <f t="shared" si="792"/>
        <v>0.37869528599914415</v>
      </c>
      <c r="AL834" s="256">
        <f t="shared" si="786"/>
        <v>0.56454358650448455</v>
      </c>
      <c r="AM834" s="256">
        <f t="shared" si="787"/>
        <v>0.4136735486173882</v>
      </c>
      <c r="AN834" s="256">
        <f t="shared" si="788"/>
        <v>0.42058658269707699</v>
      </c>
      <c r="AO834" s="256">
        <f t="shared" si="789"/>
        <v>0.39200327702031773</v>
      </c>
      <c r="AP834" s="256">
        <f>IFERROR(O834*3.6/O851,"")</f>
        <v>0.44309466245884321</v>
      </c>
      <c r="AQ834" s="256">
        <f t="shared" si="791"/>
        <v>0.47758370718867021</v>
      </c>
    </row>
    <row r="835" spans="1:43">
      <c r="J835" s="254">
        <f t="shared" ref="J835:O835" si="796">J834/$P$834</f>
        <v>0.22494378657309283</v>
      </c>
      <c r="K835" s="254">
        <f t="shared" si="796"/>
        <v>0.57723524913024338</v>
      </c>
      <c r="L835" s="254">
        <f t="shared" si="796"/>
        <v>1.1561346156409536E-2</v>
      </c>
      <c r="M835" s="254">
        <f t="shared" si="796"/>
        <v>2.9264201856813422E-2</v>
      </c>
      <c r="N835" s="254">
        <f t="shared" si="796"/>
        <v>0.11065266308766877</v>
      </c>
      <c r="O835" s="254">
        <f t="shared" si="796"/>
        <v>4.324310026525905E-2</v>
      </c>
      <c r="P835" s="147">
        <f>P828/11.63</f>
        <v>8243.7317282889071</v>
      </c>
      <c r="Z835" s="169">
        <f t="shared" si="794"/>
        <v>164.06</v>
      </c>
      <c r="AA835" s="205">
        <v>2.6</v>
      </c>
      <c r="AB835" s="243">
        <v>63.1</v>
      </c>
      <c r="AC835" s="186" t="s">
        <v>68</v>
      </c>
    </row>
    <row r="836" spans="1:43">
      <c r="Z836" s="169">
        <f t="shared" si="794"/>
        <v>14569.301620111317</v>
      </c>
      <c r="AA836" s="205">
        <v>255.8</v>
      </c>
      <c r="AB836" s="243">
        <v>56.95583119668224</v>
      </c>
      <c r="AC836" s="186" t="s">
        <v>69</v>
      </c>
    </row>
    <row r="837" spans="1:43">
      <c r="A837" s="68" t="str">
        <f>$A$820</f>
        <v>Dati 2015 lorda</v>
      </c>
      <c r="J837" s="68" t="s">
        <v>165</v>
      </c>
      <c r="R837" s="168">
        <f>R839/X839</f>
        <v>0.64843080011094001</v>
      </c>
      <c r="Z837" s="169">
        <f t="shared" si="794"/>
        <v>7810.1399999999994</v>
      </c>
      <c r="AA837" s="205">
        <v>105.4</v>
      </c>
      <c r="AB837" s="243">
        <v>74.099999999999994</v>
      </c>
      <c r="AC837" s="186" t="s">
        <v>70</v>
      </c>
    </row>
    <row r="838" spans="1:43">
      <c r="A838" s="267" t="s">
        <v>254</v>
      </c>
      <c r="J838" s="180" t="s">
        <v>5</v>
      </c>
      <c r="K838" s="180" t="s">
        <v>186</v>
      </c>
      <c r="L838" s="180" t="s">
        <v>187</v>
      </c>
      <c r="M838" s="180" t="s">
        <v>190</v>
      </c>
      <c r="N838" s="180" t="s">
        <v>192</v>
      </c>
      <c r="O838" s="180" t="s">
        <v>191</v>
      </c>
      <c r="P838" s="180" t="s">
        <v>189</v>
      </c>
      <c r="R838" s="68" t="s">
        <v>210</v>
      </c>
      <c r="Z838" s="169">
        <f t="shared" si="794"/>
        <v>0</v>
      </c>
      <c r="AA838" s="205">
        <v>0</v>
      </c>
      <c r="AB838" s="243">
        <v>74.099999999999994</v>
      </c>
      <c r="AC838" s="186" t="s">
        <v>71</v>
      </c>
      <c r="AJ838" s="68"/>
    </row>
    <row r="839" spans="1:43">
      <c r="A839" s="11" t="s">
        <v>16</v>
      </c>
      <c r="J839" s="179">
        <f t="shared" ref="J839:O839" si="797">SUM(J840:J844)</f>
        <v>410049.44401260006</v>
      </c>
      <c r="K839" s="179">
        <f t="shared" si="797"/>
        <v>260917.77149999997</v>
      </c>
      <c r="L839" s="179">
        <f t="shared" si="797"/>
        <v>291.80260000000004</v>
      </c>
      <c r="M839" s="179">
        <f t="shared" si="797"/>
        <v>32532.9977</v>
      </c>
      <c r="N839" s="179">
        <f t="shared" si="797"/>
        <v>89120.67684</v>
      </c>
      <c r="O839" s="179">
        <f t="shared" si="797"/>
        <v>31418.8416</v>
      </c>
      <c r="P839" s="182">
        <f>SUM(J839:O839)</f>
        <v>824331.53425260005</v>
      </c>
      <c r="Q839" s="168"/>
      <c r="R839" s="179">
        <f t="shared" ref="R839:W839" si="798">SUM(R840:R844)</f>
        <v>38.811191654309333</v>
      </c>
      <c r="S839" s="179">
        <f t="shared" si="798"/>
        <v>15.037477065014132</v>
      </c>
      <c r="T839" s="179">
        <f t="shared" si="798"/>
        <v>5.3917726328105903E-2</v>
      </c>
      <c r="U839" s="179">
        <f t="shared" si="798"/>
        <v>2.3450924212604334</v>
      </c>
      <c r="V839" s="179">
        <f t="shared" si="798"/>
        <v>3.5735068432987123</v>
      </c>
      <c r="W839" s="179">
        <f t="shared" si="798"/>
        <v>3.2836720045731176E-2</v>
      </c>
      <c r="X839" s="190">
        <f>SUM(R839:W839)</f>
        <v>59.854022430256443</v>
      </c>
      <c r="Z839" s="169">
        <f t="shared" si="794"/>
        <v>59529.00052074121</v>
      </c>
      <c r="AA839" s="205">
        <v>777.09999999999991</v>
      </c>
      <c r="AB839" s="243">
        <v>76.604041334115578</v>
      </c>
      <c r="AC839" s="203" t="s">
        <v>72</v>
      </c>
      <c r="AJ839" s="68"/>
    </row>
    <row r="840" spans="1:43">
      <c r="A840" s="10" t="s">
        <v>17</v>
      </c>
      <c r="J840" s="167">
        <f t="shared" ref="J840:J850" si="799">IFERROR(J823*R823,"")</f>
        <v>0</v>
      </c>
      <c r="K840" s="167">
        <f t="shared" ref="K840:K850" si="800">IFERROR(K823*S823,"")</f>
        <v>2192.15</v>
      </c>
      <c r="L840" s="167">
        <f t="shared" ref="L840:L850" si="801">IFERROR(L823*T823,"")</f>
        <v>291.80260000000004</v>
      </c>
      <c r="M840" s="167">
        <f t="shared" ref="M840:M850" si="802">IFERROR(M823*U823,"")</f>
        <v>2551.0832</v>
      </c>
      <c r="N840" s="167">
        <f t="shared" ref="N840:N850" si="803">IFERROR(N823*V823,"")</f>
        <v>11418.834599999998</v>
      </c>
      <c r="O840" s="167">
        <f t="shared" ref="O840:O850" si="804">IFERROR(O823*W823,"")</f>
        <v>30816.134700000002</v>
      </c>
      <c r="P840" s="182">
        <f t="shared" ref="P840:P850" si="805">SUM(J840:O840)</f>
        <v>47270.005100000002</v>
      </c>
      <c r="Q840" s="168"/>
      <c r="R840" s="181">
        <f t="shared" ref="R840:W844" si="806">J840*J$854/1000000</f>
        <v>0</v>
      </c>
      <c r="S840" s="181">
        <f t="shared" si="806"/>
        <v>0.12634020733260298</v>
      </c>
      <c r="T840" s="90">
        <f t="shared" si="806"/>
        <v>5.3917726328105903E-2</v>
      </c>
      <c r="U840" s="181">
        <f t="shared" si="806"/>
        <v>0.18389101224215851</v>
      </c>
      <c r="V840" s="181">
        <f t="shared" si="806"/>
        <v>0.45786550363452228</v>
      </c>
      <c r="W840" s="181">
        <f t="shared" si="806"/>
        <v>3.2206814016830017E-2</v>
      </c>
      <c r="X840" s="190">
        <f t="shared" ref="X840:X850" si="807">SUM(R840:W840)</f>
        <v>0.85422126355421968</v>
      </c>
      <c r="Z840" s="169"/>
      <c r="AA840" s="179" t="s">
        <v>215</v>
      </c>
      <c r="AB840" s="178"/>
      <c r="AJ840" s="68"/>
    </row>
    <row r="841" spans="1:43">
      <c r="A841" s="10" t="s">
        <v>18</v>
      </c>
      <c r="J841" s="167">
        <f t="shared" si="799"/>
        <v>0</v>
      </c>
      <c r="K841" s="167">
        <f t="shared" si="800"/>
        <v>24850.100599999998</v>
      </c>
      <c r="L841" s="167">
        <f t="shared" si="801"/>
        <v>0</v>
      </c>
      <c r="M841" s="167">
        <f t="shared" si="802"/>
        <v>84.223200000000006</v>
      </c>
      <c r="N841" s="167">
        <f t="shared" si="803"/>
        <v>229.73220000000001</v>
      </c>
      <c r="O841" s="167">
        <f t="shared" si="804"/>
        <v>414.05580000000003</v>
      </c>
      <c r="P841" s="182">
        <f t="shared" si="805"/>
        <v>25578.111799999995</v>
      </c>
      <c r="Q841" s="168"/>
      <c r="R841" s="181">
        <f t="shared" si="806"/>
        <v>0</v>
      </c>
      <c r="S841" s="181">
        <f t="shared" si="806"/>
        <v>1.4321861469516419</v>
      </c>
      <c r="T841" s="181">
        <f t="shared" si="806"/>
        <v>0</v>
      </c>
      <c r="U841" s="181">
        <f t="shared" si="806"/>
        <v>6.0711032483275204E-3</v>
      </c>
      <c r="V841" s="181">
        <f t="shared" si="806"/>
        <v>9.2116624102836914E-3</v>
      </c>
      <c r="W841" s="181">
        <f t="shared" si="806"/>
        <v>4.3274142824894146E-4</v>
      </c>
      <c r="X841" s="190">
        <f t="shared" si="807"/>
        <v>1.4479016540385021</v>
      </c>
      <c r="Z841" s="169">
        <f>AA841*AB841</f>
        <v>0</v>
      </c>
      <c r="AA841" s="202">
        <v>0</v>
      </c>
      <c r="AB841" s="243">
        <v>63.1</v>
      </c>
      <c r="AC841" s="187" t="s">
        <v>195</v>
      </c>
      <c r="AJ841" s="68"/>
    </row>
    <row r="842" spans="1:43">
      <c r="A842" s="10" t="s">
        <v>19</v>
      </c>
      <c r="J842" s="167">
        <f>IFERROR(J825*R825,"")</f>
        <v>410049.44401260006</v>
      </c>
      <c r="K842" s="167">
        <f t="shared" si="800"/>
        <v>5713.6694999999991</v>
      </c>
      <c r="L842" s="167">
        <f t="shared" si="801"/>
        <v>0</v>
      </c>
      <c r="M842" s="167">
        <f t="shared" si="802"/>
        <v>29817.856</v>
      </c>
      <c r="N842" s="167">
        <f t="shared" si="803"/>
        <v>60356.535000000003</v>
      </c>
      <c r="O842" s="167">
        <f t="shared" si="804"/>
        <v>78.44789999999999</v>
      </c>
      <c r="P842" s="182">
        <f t="shared" si="805"/>
        <v>506015.95241260016</v>
      </c>
      <c r="Q842" s="168"/>
      <c r="R842" s="181">
        <f t="shared" si="806"/>
        <v>38.811191654309333</v>
      </c>
      <c r="S842" s="181">
        <f t="shared" si="806"/>
        <v>0.32929598305771501</v>
      </c>
      <c r="T842" s="181">
        <f t="shared" si="806"/>
        <v>0</v>
      </c>
      <c r="U842" s="181">
        <f t="shared" si="806"/>
        <v>2.1493754977222692</v>
      </c>
      <c r="V842" s="181">
        <f t="shared" si="806"/>
        <v>2.4201397308451842</v>
      </c>
      <c r="W842" s="181">
        <f t="shared" si="806"/>
        <v>8.1988119207918657E-5</v>
      </c>
      <c r="X842" s="190">
        <f t="shared" si="807"/>
        <v>43.710084854053704</v>
      </c>
      <c r="Z842" s="169">
        <f>AA842*AB842</f>
        <v>614.78227192199995</v>
      </c>
      <c r="AA842" s="185">
        <v>6.5</v>
      </c>
      <c r="AB842" s="243">
        <v>94.581887987999991</v>
      </c>
      <c r="AC842" s="187" t="s">
        <v>198</v>
      </c>
      <c r="AJ842" s="68"/>
    </row>
    <row r="843" spans="1:43">
      <c r="A843" s="10" t="s">
        <v>20</v>
      </c>
      <c r="J843" s="167">
        <f t="shared" si="799"/>
        <v>0</v>
      </c>
      <c r="K843" s="167">
        <f t="shared" si="800"/>
        <v>228127.12319999997</v>
      </c>
      <c r="L843" s="167">
        <f t="shared" si="801"/>
        <v>0</v>
      </c>
      <c r="M843" s="167">
        <f t="shared" si="802"/>
        <v>79.835300000000004</v>
      </c>
      <c r="N843" s="167">
        <f t="shared" si="803"/>
        <v>17115.57504</v>
      </c>
      <c r="O843" s="167">
        <f t="shared" si="804"/>
        <v>110.20320000000001</v>
      </c>
      <c r="P843" s="182">
        <f t="shared" si="805"/>
        <v>245432.73673999996</v>
      </c>
      <c r="Q843" s="168"/>
      <c r="R843" s="181">
        <f t="shared" si="806"/>
        <v>0</v>
      </c>
      <c r="S843" s="181">
        <f t="shared" si="806"/>
        <v>13.147653236903617</v>
      </c>
      <c r="T843" s="181">
        <f t="shared" si="806"/>
        <v>0</v>
      </c>
      <c r="U843" s="181">
        <f t="shared" si="806"/>
        <v>5.7548080476780986E-3</v>
      </c>
      <c r="V843" s="181">
        <f t="shared" si="806"/>
        <v>0.68628994640872198</v>
      </c>
      <c r="W843" s="181">
        <f t="shared" si="806"/>
        <v>1.1517648144429748E-4</v>
      </c>
      <c r="X843" s="190">
        <f t="shared" si="807"/>
        <v>13.839813167841461</v>
      </c>
      <c r="Z843" s="169">
        <f>AA843*AB843</f>
        <v>4521.7975903718352</v>
      </c>
      <c r="AA843" s="201">
        <v>94.5</v>
      </c>
      <c r="AB843" s="243">
        <v>47.849709951024714</v>
      </c>
      <c r="AC843" s="187" t="s">
        <v>199</v>
      </c>
      <c r="AJ843" s="68" t="s">
        <v>265</v>
      </c>
    </row>
    <row r="844" spans="1:43">
      <c r="A844" s="10" t="s">
        <v>22</v>
      </c>
      <c r="J844" s="167">
        <f t="shared" si="799"/>
        <v>0</v>
      </c>
      <c r="K844" s="167">
        <f t="shared" si="800"/>
        <v>34.728200000000001</v>
      </c>
      <c r="L844" s="167">
        <f t="shared" si="801"/>
        <v>0</v>
      </c>
      <c r="M844" s="167">
        <f t="shared" si="802"/>
        <v>0</v>
      </c>
      <c r="N844" s="167">
        <f t="shared" si="803"/>
        <v>0</v>
      </c>
      <c r="O844" s="167">
        <f t="shared" si="804"/>
        <v>0</v>
      </c>
      <c r="P844" s="182">
        <f t="shared" si="805"/>
        <v>34.728200000000001</v>
      </c>
      <c r="Q844" s="168"/>
      <c r="R844" s="181">
        <f t="shared" si="806"/>
        <v>0</v>
      </c>
      <c r="S844" s="181">
        <f t="shared" si="806"/>
        <v>2.0014907685551187E-3</v>
      </c>
      <c r="T844" s="181">
        <f t="shared" si="806"/>
        <v>0</v>
      </c>
      <c r="U844" s="181">
        <f t="shared" si="806"/>
        <v>0</v>
      </c>
      <c r="V844" s="181">
        <f t="shared" si="806"/>
        <v>0</v>
      </c>
      <c r="W844" s="181">
        <f t="shared" si="806"/>
        <v>0</v>
      </c>
      <c r="X844" s="190">
        <f t="shared" si="807"/>
        <v>2.0014907685551187E-3</v>
      </c>
      <c r="Z844" s="169">
        <f t="shared" ref="Z844:Z856" si="808">AA844*AB844</f>
        <v>89743.515872065793</v>
      </c>
      <c r="AA844" s="185">
        <v>1036.9000000000001</v>
      </c>
      <c r="AB844" s="178">
        <v>86.549827246663881</v>
      </c>
      <c r="AC844" s="187" t="s">
        <v>212</v>
      </c>
    </row>
    <row r="845" spans="1:43">
      <c r="A845" s="11" t="s">
        <v>23</v>
      </c>
      <c r="J845" s="179">
        <f t="shared" ref="J845:O845" si="809">SUM(J846:J850)</f>
        <v>636.10120000000006</v>
      </c>
      <c r="K845" s="179">
        <f t="shared" si="809"/>
        <v>446019.1764</v>
      </c>
      <c r="L845" s="179">
        <f t="shared" si="809"/>
        <v>19031.260300000002</v>
      </c>
      <c r="M845" s="179">
        <f t="shared" si="809"/>
        <v>15573.815099999998</v>
      </c>
      <c r="N845" s="179">
        <f t="shared" si="809"/>
        <v>106042.32430000001</v>
      </c>
      <c r="O845" s="179">
        <f t="shared" si="809"/>
        <v>36056.581899999997</v>
      </c>
      <c r="P845" s="182">
        <f>SUM(J845:O845)</f>
        <v>623359.25919999997</v>
      </c>
      <c r="Q845" s="168"/>
      <c r="R845" s="179">
        <f t="shared" ref="R845:W845" si="810">SUM(R846:R850)</f>
        <v>6.0206996851768793E-2</v>
      </c>
      <c r="S845" s="179">
        <f t="shared" si="810"/>
        <v>25.705428561317802</v>
      </c>
      <c r="T845" s="179">
        <f t="shared" si="810"/>
        <v>3.5164946595210136</v>
      </c>
      <c r="U845" s="179">
        <f t="shared" si="810"/>
        <v>1.1226151398006983</v>
      </c>
      <c r="V845" s="179">
        <f t="shared" si="810"/>
        <v>4.2520207992324233</v>
      </c>
      <c r="W845" s="179">
        <f t="shared" si="810"/>
        <v>3.7683753612872781E-2</v>
      </c>
      <c r="X845" s="190">
        <f>SUM(R845:W845)</f>
        <v>34.69444991033658</v>
      </c>
      <c r="Z845" s="169">
        <f t="shared" si="808"/>
        <v>0</v>
      </c>
      <c r="AA845" s="185">
        <v>128.4</v>
      </c>
      <c r="AB845" s="178">
        <v>0</v>
      </c>
      <c r="AC845" s="186" t="s">
        <v>200</v>
      </c>
      <c r="AJ845" s="11" t="s">
        <v>23</v>
      </c>
      <c r="AK845" s="256">
        <f t="shared" ref="AK845:AK850" si="811">IFERROR(((J828/11.63)+J862)/J868,"")</f>
        <v>0.87022302802991691</v>
      </c>
      <c r="AL845" s="256">
        <f t="shared" ref="AL845:AL850" si="812">IFERROR(((K828/11.63)+K862)/K868,"")</f>
        <v>0.66454014045573939</v>
      </c>
      <c r="AM845" s="256">
        <f t="shared" ref="AM845:AM850" si="813">IFERROR(((L828/11.63)+L862)/L868,"")</f>
        <v>0.51000695559065667</v>
      </c>
      <c r="AN845" s="256">
        <f t="shared" ref="AN845:AN850" si="814">IFERROR(((M828/11.63)+M862)/M868,"")</f>
        <v>0.7679803578525175</v>
      </c>
      <c r="AO845" s="256">
        <f t="shared" ref="AO845:AO850" si="815">IFERROR(((N828/11.63)+N862)/N868,"")</f>
        <v>0.57770756998468664</v>
      </c>
      <c r="AP845" s="256">
        <f t="shared" ref="AP845:AP850" si="816">IFERROR(((O828/11.63)+O862)/O868,"")</f>
        <v>0.58657713559255098</v>
      </c>
      <c r="AQ845" s="256">
        <f t="shared" ref="AQ845:AQ850" si="817">IFERROR(((P828/11.63)+P862)/P868,"")</f>
        <v>0.64587672921807615</v>
      </c>
    </row>
    <row r="846" spans="1:43">
      <c r="A846" s="10" t="s">
        <v>24</v>
      </c>
      <c r="J846" s="167">
        <f t="shared" si="799"/>
        <v>0</v>
      </c>
      <c r="K846" s="167">
        <f t="shared" si="800"/>
        <v>40808.868799999997</v>
      </c>
      <c r="L846" s="167">
        <f t="shared" si="801"/>
        <v>979.30529999999987</v>
      </c>
      <c r="M846" s="167">
        <f t="shared" si="802"/>
        <v>213.01560000000001</v>
      </c>
      <c r="N846" s="167">
        <f t="shared" si="803"/>
        <v>14141.178</v>
      </c>
      <c r="O846" s="167">
        <f t="shared" si="804"/>
        <v>35790.493199999997</v>
      </c>
      <c r="P846" s="182">
        <f t="shared" si="805"/>
        <v>91932.8609</v>
      </c>
      <c r="Q846" s="168"/>
      <c r="R846" s="181">
        <f t="shared" ref="R846:W850" si="818">J846*J$854/1000000</f>
        <v>0</v>
      </c>
      <c r="S846" s="181">
        <f t="shared" si="818"/>
        <v>2.3519380266865832</v>
      </c>
      <c r="T846" s="181">
        <f t="shared" si="818"/>
        <v>0.18095080426652688</v>
      </c>
      <c r="U846" s="181">
        <f t="shared" si="818"/>
        <v>1.5354910536579419E-2</v>
      </c>
      <c r="V846" s="181">
        <f t="shared" si="818"/>
        <v>0.56702437803551575</v>
      </c>
      <c r="W846" s="181">
        <f t="shared" si="818"/>
        <v>3.7405656786119221E-2</v>
      </c>
      <c r="X846" s="190">
        <f t="shared" si="807"/>
        <v>3.1526737763113246</v>
      </c>
      <c r="Z846" s="169">
        <f t="shared" si="808"/>
        <v>0</v>
      </c>
      <c r="AA846" s="185">
        <v>759.5</v>
      </c>
      <c r="AB846" s="178">
        <v>0</v>
      </c>
      <c r="AC846" s="186" t="s">
        <v>201</v>
      </c>
      <c r="AJ846" s="10" t="s">
        <v>24</v>
      </c>
      <c r="AK846" s="56" t="str">
        <f t="shared" si="811"/>
        <v/>
      </c>
      <c r="AL846" s="56">
        <f t="shared" si="812"/>
        <v>0.73826951649430161</v>
      </c>
      <c r="AM846" s="56">
        <f t="shared" si="813"/>
        <v>0.60285413141763522</v>
      </c>
      <c r="AN846" s="56">
        <f t="shared" si="814"/>
        <v>0.63819545075696293</v>
      </c>
      <c r="AO846" s="56">
        <f t="shared" si="815"/>
        <v>0.62390110583494207</v>
      </c>
      <c r="AP846" s="56">
        <f t="shared" si="816"/>
        <v>0.58648405111583601</v>
      </c>
      <c r="AQ846" s="256">
        <f t="shared" si="817"/>
        <v>0.66697951685581713</v>
      </c>
    </row>
    <row r="847" spans="1:43">
      <c r="A847" s="10" t="s">
        <v>25</v>
      </c>
      <c r="J847" s="167">
        <f t="shared" si="799"/>
        <v>0</v>
      </c>
      <c r="K847" s="167">
        <f t="shared" si="800"/>
        <v>25396.096000000001</v>
      </c>
      <c r="L847" s="167">
        <f t="shared" si="801"/>
        <v>0.93820000000000003</v>
      </c>
      <c r="M847" s="167">
        <f t="shared" si="802"/>
        <v>2035.1380000000001</v>
      </c>
      <c r="N847" s="167">
        <f t="shared" si="803"/>
        <v>112.87759999999999</v>
      </c>
      <c r="O847" s="167">
        <f t="shared" si="804"/>
        <v>32.587800000000001</v>
      </c>
      <c r="P847" s="182">
        <f t="shared" si="805"/>
        <v>27577.637600000002</v>
      </c>
      <c r="Q847" s="168"/>
      <c r="R847" s="181">
        <f t="shared" si="818"/>
        <v>0</v>
      </c>
      <c r="S847" s="181">
        <f t="shared" si="818"/>
        <v>1.4636535064109162</v>
      </c>
      <c r="T847" s="181">
        <f>L847*L$854/1000000</f>
        <v>1.7335558641708114E-4</v>
      </c>
      <c r="U847" s="181">
        <f t="shared" si="818"/>
        <v>0.14669987512460669</v>
      </c>
      <c r="V847" s="181">
        <f t="shared" si="818"/>
        <v>4.5260975382773435E-3</v>
      </c>
      <c r="W847" s="181">
        <f t="shared" si="818"/>
        <v>3.4058431533843637E-5</v>
      </c>
      <c r="X847" s="190">
        <f t="shared" si="807"/>
        <v>1.6150868930917512</v>
      </c>
      <c r="Z847" s="169">
        <f t="shared" si="808"/>
        <v>0</v>
      </c>
      <c r="AA847" s="185">
        <v>0.2</v>
      </c>
      <c r="AB847" s="178">
        <v>0</v>
      </c>
      <c r="AC847" s="186" t="s">
        <v>134</v>
      </c>
      <c r="AJ847" s="10" t="s">
        <v>25</v>
      </c>
      <c r="AK847" s="56" t="str">
        <f t="shared" si="811"/>
        <v/>
      </c>
      <c r="AL847" s="56">
        <f t="shared" si="812"/>
        <v>0.74434388198092727</v>
      </c>
      <c r="AM847" s="56" t="str">
        <f t="shared" si="813"/>
        <v/>
      </c>
      <c r="AN847" s="56">
        <f t="shared" si="814"/>
        <v>0.82429103085400302</v>
      </c>
      <c r="AO847" s="56">
        <f t="shared" si="815"/>
        <v>0.72847099286834249</v>
      </c>
      <c r="AP847" s="56">
        <f t="shared" si="816"/>
        <v>0.68652499692912416</v>
      </c>
      <c r="AQ847" s="256">
        <f t="shared" si="817"/>
        <v>0.75138255345615113</v>
      </c>
    </row>
    <row r="848" spans="1:43">
      <c r="A848" s="10" t="s">
        <v>26</v>
      </c>
      <c r="J848" s="167">
        <f>IFERROR(J831*R831,"")</f>
        <v>576.31560000000002</v>
      </c>
      <c r="K848" s="167">
        <f t="shared" si="800"/>
        <v>368172.02099999995</v>
      </c>
      <c r="L848" s="167">
        <f t="shared" si="801"/>
        <v>7404.6827999999996</v>
      </c>
      <c r="M848" s="167">
        <f t="shared" si="802"/>
        <v>9511.5761999999995</v>
      </c>
      <c r="N848" s="167">
        <f t="shared" si="803"/>
        <v>44601.823499999999</v>
      </c>
      <c r="O848" s="167">
        <f t="shared" si="804"/>
        <v>210.06209999999999</v>
      </c>
      <c r="P848" s="182">
        <f t="shared" si="805"/>
        <v>430476.48119999992</v>
      </c>
      <c r="Q848" s="168"/>
      <c r="R848" s="181">
        <f t="shared" si="818"/>
        <v>5.4548288094449816E-2</v>
      </c>
      <c r="S848" s="181">
        <f t="shared" si="818"/>
        <v>21.218862517256326</v>
      </c>
      <c r="T848" s="181">
        <f t="shared" si="818"/>
        <v>1.3681977499749243</v>
      </c>
      <c r="U848" s="181">
        <f t="shared" si="818"/>
        <v>0.68562772685595796</v>
      </c>
      <c r="V848" s="181">
        <f t="shared" si="818"/>
        <v>1.788416865224195</v>
      </c>
      <c r="W848" s="181">
        <f t="shared" si="818"/>
        <v>2.1954184236755518E-4</v>
      </c>
      <c r="X848" s="190">
        <f t="shared" si="807"/>
        <v>25.115872689248221</v>
      </c>
      <c r="Z848" s="169">
        <f t="shared" si="808"/>
        <v>0</v>
      </c>
      <c r="AA848" s="185">
        <v>1.8</v>
      </c>
      <c r="AB848" s="178">
        <v>0</v>
      </c>
      <c r="AC848" s="186" t="s">
        <v>128</v>
      </c>
      <c r="AJ848" s="10" t="s">
        <v>26</v>
      </c>
      <c r="AK848" s="56">
        <f t="shared" si="811"/>
        <v>0.87956772946921213</v>
      </c>
      <c r="AL848" s="56">
        <f t="shared" si="812"/>
        <v>0.64212144142614647</v>
      </c>
      <c r="AM848" s="56">
        <f t="shared" si="813"/>
        <v>0.5206694480905677</v>
      </c>
      <c r="AN848" s="56">
        <f t="shared" si="814"/>
        <v>0.73150972228179056</v>
      </c>
      <c r="AO848" s="56">
        <f t="shared" si="815"/>
        <v>0.63085883763751915</v>
      </c>
      <c r="AP848" s="56">
        <f t="shared" si="816"/>
        <v>0.56452869733447963</v>
      </c>
      <c r="AQ848" s="256">
        <f t="shared" si="817"/>
        <v>0.64306705553669807</v>
      </c>
    </row>
    <row r="849" spans="1:43">
      <c r="A849" s="10" t="s">
        <v>27</v>
      </c>
      <c r="J849" s="167">
        <f t="shared" si="799"/>
        <v>59.785600000000002</v>
      </c>
      <c r="K849" s="167">
        <f t="shared" si="800"/>
        <v>3789.0383999999995</v>
      </c>
      <c r="L849" s="167">
        <f t="shared" si="801"/>
        <v>0</v>
      </c>
      <c r="M849" s="167">
        <f t="shared" si="802"/>
        <v>829.66499999999996</v>
      </c>
      <c r="N849" s="167">
        <f t="shared" si="803"/>
        <v>3553.6512000000002</v>
      </c>
      <c r="O849" s="167">
        <f t="shared" si="804"/>
        <v>2.8488000000000002</v>
      </c>
      <c r="P849" s="182">
        <f t="shared" si="805"/>
        <v>8234.9889999999996</v>
      </c>
      <c r="Q849" s="168"/>
      <c r="R849" s="181">
        <f t="shared" si="818"/>
        <v>5.6587087573189742E-3</v>
      </c>
      <c r="S849" s="181">
        <f t="shared" si="818"/>
        <v>0.21837369570841147</v>
      </c>
      <c r="T849" s="181">
        <f t="shared" si="818"/>
        <v>0</v>
      </c>
      <c r="U849" s="181">
        <f t="shared" si="818"/>
        <v>5.9805159107272715E-2</v>
      </c>
      <c r="V849" s="181">
        <f t="shared" si="818"/>
        <v>0.14249215033112267</v>
      </c>
      <c r="W849" s="181">
        <f t="shared" si="818"/>
        <v>2.977361459000416E-6</v>
      </c>
      <c r="X849" s="190">
        <f t="shared" si="807"/>
        <v>0.42633269126558482</v>
      </c>
      <c r="Z849" s="169">
        <f t="shared" si="808"/>
        <v>0</v>
      </c>
      <c r="AA849" s="185">
        <v>0</v>
      </c>
      <c r="AB849" s="178">
        <v>0</v>
      </c>
      <c r="AC849" s="186" t="s">
        <v>131</v>
      </c>
      <c r="AJ849" s="10" t="s">
        <v>27</v>
      </c>
      <c r="AK849" s="56">
        <f t="shared" si="811"/>
        <v>0.82836494389687543</v>
      </c>
      <c r="AL849" s="56">
        <f t="shared" si="812"/>
        <v>0.8471956737928017</v>
      </c>
      <c r="AM849" s="56" t="str">
        <f t="shared" si="813"/>
        <v/>
      </c>
      <c r="AN849" s="56">
        <f t="shared" si="814"/>
        <v>0.88924693616991879</v>
      </c>
      <c r="AO849" s="56">
        <f t="shared" si="815"/>
        <v>0.76985627026969161</v>
      </c>
      <c r="AP849" s="56">
        <f t="shared" si="816"/>
        <v>0.83863571223846378</v>
      </c>
      <c r="AQ849" s="256">
        <f t="shared" si="817"/>
        <v>0.83478602236006916</v>
      </c>
    </row>
    <row r="850" spans="1:43">
      <c r="A850" s="10" t="s">
        <v>28</v>
      </c>
      <c r="J850" s="167">
        <f t="shared" si="799"/>
        <v>0</v>
      </c>
      <c r="K850" s="167">
        <f t="shared" si="800"/>
        <v>7853.1521999999995</v>
      </c>
      <c r="L850" s="167">
        <f t="shared" si="801"/>
        <v>10646.334000000001</v>
      </c>
      <c r="M850" s="167">
        <f t="shared" si="802"/>
        <v>2984.4202999999998</v>
      </c>
      <c r="N850" s="167">
        <f t="shared" si="803"/>
        <v>43632.794000000002</v>
      </c>
      <c r="O850" s="167">
        <f t="shared" si="804"/>
        <v>20.59</v>
      </c>
      <c r="P850" s="182">
        <f t="shared" si="805"/>
        <v>65137.290499999996</v>
      </c>
      <c r="Q850" s="168"/>
      <c r="R850" s="181">
        <f t="shared" si="818"/>
        <v>0</v>
      </c>
      <c r="S850" s="181">
        <f t="shared" si="818"/>
        <v>0.45260081525556523</v>
      </c>
      <c r="T850" s="181">
        <f t="shared" si="818"/>
        <v>1.9671727496931455</v>
      </c>
      <c r="U850" s="181">
        <f t="shared" si="818"/>
        <v>0.21512746817628148</v>
      </c>
      <c r="V850" s="181">
        <f t="shared" si="818"/>
        <v>1.7495613081033126</v>
      </c>
      <c r="W850" s="181">
        <f t="shared" si="818"/>
        <v>2.1519191393154507E-5</v>
      </c>
      <c r="X850" s="190">
        <f t="shared" si="807"/>
        <v>4.3844838604196985</v>
      </c>
      <c r="Z850" s="169">
        <f t="shared" si="808"/>
        <v>0</v>
      </c>
      <c r="AA850" s="185">
        <v>15.5</v>
      </c>
      <c r="AB850" s="178">
        <v>0</v>
      </c>
      <c r="AC850" s="186" t="s">
        <v>129</v>
      </c>
      <c r="AJ850" s="10" t="s">
        <v>28</v>
      </c>
      <c r="AK850" s="56" t="str">
        <f t="shared" si="811"/>
        <v/>
      </c>
      <c r="AL850" s="56">
        <f t="shared" si="812"/>
        <v>0.58995780338929105</v>
      </c>
      <c r="AM850" s="56">
        <f t="shared" si="813"/>
        <v>0.49368358990237465</v>
      </c>
      <c r="AN850" s="56">
        <f t="shared" si="814"/>
        <v>0.72233124443599084</v>
      </c>
      <c r="AO850" s="56">
        <f t="shared" si="815"/>
        <v>0.49753929313502948</v>
      </c>
      <c r="AP850" s="56">
        <f t="shared" si="816"/>
        <v>0.61088095051981539</v>
      </c>
      <c r="AQ850" s="256">
        <f t="shared" si="817"/>
        <v>0.52495595405827522</v>
      </c>
    </row>
    <row r="851" spans="1:43">
      <c r="A851" s="11" t="s">
        <v>9</v>
      </c>
      <c r="J851" s="182">
        <f t="shared" ref="J851:P851" si="819">J839+J845</f>
        <v>410685.54521260003</v>
      </c>
      <c r="K851" s="182">
        <f t="shared" si="819"/>
        <v>706936.94790000003</v>
      </c>
      <c r="L851" s="182">
        <f t="shared" si="819"/>
        <v>19323.062900000001</v>
      </c>
      <c r="M851" s="182">
        <f t="shared" si="819"/>
        <v>48106.8128</v>
      </c>
      <c r="N851" s="182">
        <f t="shared" si="819"/>
        <v>195163.00114000001</v>
      </c>
      <c r="O851" s="182">
        <f t="shared" si="819"/>
        <v>67475.423500000004</v>
      </c>
      <c r="P851" s="182">
        <f t="shared" si="819"/>
        <v>1447690.7934526</v>
      </c>
      <c r="R851" s="199">
        <f t="shared" ref="R851:X851" si="820">R839+R845</f>
        <v>38.871398651161101</v>
      </c>
      <c r="S851" s="199">
        <f t="shared" si="820"/>
        <v>40.742905626331932</v>
      </c>
      <c r="T851" s="199">
        <f t="shared" si="820"/>
        <v>3.5704123858491195</v>
      </c>
      <c r="U851" s="199">
        <f t="shared" si="820"/>
        <v>3.4677075610611316</v>
      </c>
      <c r="V851" s="199">
        <f t="shared" si="820"/>
        <v>7.8255276425311351</v>
      </c>
      <c r="W851" s="199">
        <f t="shared" si="820"/>
        <v>7.0520473658603949E-2</v>
      </c>
      <c r="X851" s="199">
        <f t="shared" si="820"/>
        <v>94.548472340593023</v>
      </c>
      <c r="Z851" s="169">
        <f t="shared" si="808"/>
        <v>0</v>
      </c>
      <c r="AA851" s="185">
        <v>1113.3</v>
      </c>
      <c r="AB851" s="178">
        <v>0</v>
      </c>
      <c r="AC851" s="186" t="s">
        <v>207</v>
      </c>
      <c r="AJ851" s="275" t="s">
        <v>266</v>
      </c>
      <c r="AK851" s="274">
        <f t="shared" ref="AK851:AQ851" si="821">IFERROR(((J834/11.63)+J862)/(J868+J839/41.868),"")</f>
        <v>0.38133682720839795</v>
      </c>
      <c r="AL851" s="274">
        <f t="shared" si="821"/>
        <v>0.62246607781796737</v>
      </c>
      <c r="AM851" s="274">
        <f t="shared" si="821"/>
        <v>0.50869615594360573</v>
      </c>
      <c r="AN851" s="274">
        <f t="shared" si="821"/>
        <v>0.57944885656011991</v>
      </c>
      <c r="AO851" s="274">
        <f t="shared" si="821"/>
        <v>0.48429860872041863</v>
      </c>
      <c r="AP851" s="274">
        <f t="shared" si="821"/>
        <v>0.49808494149998339</v>
      </c>
      <c r="AQ851" s="274">
        <f t="shared" si="821"/>
        <v>0.53565640600539577</v>
      </c>
    </row>
    <row r="852" spans="1:43">
      <c r="E852" t="s">
        <v>176</v>
      </c>
      <c r="J852" s="168">
        <f t="shared" ref="J852:P852" si="822">J851/41.868</f>
        <v>9809.0557278255474</v>
      </c>
      <c r="K852" s="168">
        <f t="shared" si="822"/>
        <v>16884.898918028088</v>
      </c>
      <c r="L852" s="168">
        <f t="shared" si="822"/>
        <v>461.52342839400018</v>
      </c>
      <c r="M852" s="168">
        <f t="shared" si="822"/>
        <v>1149.0114837107099</v>
      </c>
      <c r="N852" s="168">
        <f t="shared" si="822"/>
        <v>4661.388199579631</v>
      </c>
      <c r="O852" s="168">
        <f t="shared" si="822"/>
        <v>1611.6228026177509</v>
      </c>
      <c r="P852" s="168">
        <f t="shared" si="822"/>
        <v>34577.500560155728</v>
      </c>
      <c r="R852" s="197">
        <v>38.871398651161101</v>
      </c>
      <c r="S852" s="197">
        <v>40.742905626331918</v>
      </c>
      <c r="T852" s="197">
        <v>3.55397082224912</v>
      </c>
      <c r="U852" s="197">
        <v>3.4677075610611303</v>
      </c>
      <c r="V852" s="197">
        <v>7.8255276059839591</v>
      </c>
      <c r="W852" s="197">
        <v>7.0520473658603991E-2</v>
      </c>
      <c r="X852" s="197">
        <v>94.548472304045845</v>
      </c>
      <c r="Z852" s="169">
        <f t="shared" si="808"/>
        <v>8642.3669466666652</v>
      </c>
      <c r="AA852" s="185">
        <v>176.9</v>
      </c>
      <c r="AB852" s="178">
        <v>48.854533333333322</v>
      </c>
      <c r="AC852" s="189" t="s">
        <v>130</v>
      </c>
    </row>
    <row r="853" spans="1:43">
      <c r="J853" s="183" t="s">
        <v>193</v>
      </c>
      <c r="T853" s="198">
        <v>1.64415636E-2</v>
      </c>
      <c r="U853" s="198"/>
      <c r="Z853" s="169">
        <f t="shared" si="808"/>
        <v>0</v>
      </c>
      <c r="AA853" s="185">
        <v>28.5</v>
      </c>
      <c r="AB853" s="178">
        <v>0</v>
      </c>
      <c r="AC853" s="186" t="s">
        <v>132</v>
      </c>
    </row>
    <row r="854" spans="1:43">
      <c r="J854" s="168">
        <f>SUM(Z823:Z826)/SUM(AA823:AA826)+J855</f>
        <v>94.650028724625557</v>
      </c>
      <c r="K854" s="185">
        <f>57.2062847696618+K855</f>
        <v>57.633012035035463</v>
      </c>
      <c r="L854" s="147">
        <f>SUM(Z828:Z831)/SUM(AA828:AA831)+L855</f>
        <v>184.77466043176415</v>
      </c>
      <c r="M854" s="168">
        <f>SUM(Z833:Z839)/SUM(AA833:AA839)+M855</f>
        <v>72.083502506762031</v>
      </c>
      <c r="N854" s="168">
        <f>SUM(Z841:Z856)/SUM(AA841:AA856)+N855</f>
        <v>40.097393444557149</v>
      </c>
      <c r="O854" s="168">
        <f>SUM(Z858:Z867)/SUM(AA858:AA867)+O855</f>
        <v>1.0451282852430552</v>
      </c>
      <c r="P854" s="317">
        <f>P845/41.868</f>
        <v>14888.680118467564</v>
      </c>
      <c r="Z854" s="169">
        <f t="shared" si="808"/>
        <v>4075.5</v>
      </c>
      <c r="AA854" s="185">
        <v>28.5</v>
      </c>
      <c r="AB854" s="178">
        <v>143</v>
      </c>
      <c r="AC854" s="186" t="s">
        <v>133</v>
      </c>
    </row>
    <row r="855" spans="1:43">
      <c r="A855" s="453" t="s">
        <v>376</v>
      </c>
      <c r="B855" s="452"/>
      <c r="C855" s="452"/>
      <c r="D855" s="452"/>
      <c r="E855" s="452"/>
      <c r="F855" s="452"/>
      <c r="G855" s="452"/>
      <c r="H855" s="452"/>
      <c r="I855" s="452"/>
      <c r="J855" s="452">
        <v>-3.6918141484892919E-4</v>
      </c>
      <c r="K855" s="452">
        <v>0.42672726537366057</v>
      </c>
      <c r="L855" s="452">
        <v>-9.3802243679960151E-3</v>
      </c>
      <c r="M855" s="452">
        <v>-6.0701303641528259E-3</v>
      </c>
      <c r="N855" s="452">
        <v>4.5141564332027482</v>
      </c>
      <c r="O855" s="452">
        <v>-2.0403139441047546E-3</v>
      </c>
      <c r="P855" s="318">
        <f>P839/41.868</f>
        <v>19688.820441688164</v>
      </c>
      <c r="R855" s="455">
        <f>R851-R852</f>
        <v>0</v>
      </c>
      <c r="S855" s="455">
        <f>S851-S852</f>
        <v>0</v>
      </c>
      <c r="T855" s="455">
        <f>T851-SUM(T852:T853)</f>
        <v>0</v>
      </c>
      <c r="U855" s="455">
        <f>U851-U852</f>
        <v>0</v>
      </c>
      <c r="V855" s="455">
        <f>V851-V852</f>
        <v>3.6547175952250655E-8</v>
      </c>
      <c r="W855" s="455">
        <f>W851-W852</f>
        <v>0</v>
      </c>
      <c r="X855" s="172">
        <f>X851-X852</f>
        <v>3.6547177728607494E-8</v>
      </c>
      <c r="Z855" s="169">
        <f t="shared" si="808"/>
        <v>0</v>
      </c>
      <c r="AA855" s="185">
        <v>0</v>
      </c>
      <c r="AB855" s="178">
        <v>45.85</v>
      </c>
      <c r="AC855" s="186" t="s">
        <v>208</v>
      </c>
    </row>
    <row r="856" spans="1:43">
      <c r="N856" s="168"/>
      <c r="P856" s="319">
        <f>P868-P854</f>
        <v>5765.6198815324315</v>
      </c>
      <c r="Z856" s="169">
        <f t="shared" si="808"/>
        <v>58266.18</v>
      </c>
      <c r="AA856" s="185">
        <v>1270.8</v>
      </c>
      <c r="AB856" s="178">
        <v>45.85</v>
      </c>
      <c r="AC856" s="186" t="s">
        <v>209</v>
      </c>
      <c r="AJ856" s="68" t="s">
        <v>343</v>
      </c>
      <c r="AK856" s="180" t="s">
        <v>5</v>
      </c>
      <c r="AL856" s="180" t="s">
        <v>186</v>
      </c>
      <c r="AM856" s="180" t="s">
        <v>187</v>
      </c>
      <c r="AN856" s="180" t="s">
        <v>190</v>
      </c>
      <c r="AO856" s="180" t="s">
        <v>192</v>
      </c>
      <c r="AP856" s="180" t="s">
        <v>191</v>
      </c>
      <c r="AQ856" s="180" t="s">
        <v>189</v>
      </c>
    </row>
    <row r="857" spans="1:43">
      <c r="L857" s="223"/>
      <c r="M857" s="293"/>
      <c r="N857" s="222"/>
      <c r="O857" s="168"/>
      <c r="P857" s="172"/>
      <c r="V857" s="90"/>
      <c r="AA857" s="179" t="s">
        <v>216</v>
      </c>
      <c r="AB857" s="178"/>
      <c r="AE857" s="168"/>
      <c r="AJ857" s="11" t="s">
        <v>23</v>
      </c>
      <c r="AK857" s="199">
        <f t="shared" ref="AK857:AK862" si="823">IFERROR(J862/(J868-J845/41.868),0)</f>
        <v>0.88833260302899331</v>
      </c>
      <c r="AL857" s="199">
        <f t="shared" ref="AL857:AL862" si="824">IFERROR(K862/(K868-K845/41.868),0)</f>
        <v>0.89221022858945953</v>
      </c>
      <c r="AM857" s="199">
        <f t="shared" ref="AM857:AM862" si="825">IFERROR(L862/(L868-L845/41.868),0)</f>
        <v>0.90114955834645971</v>
      </c>
      <c r="AN857" s="199">
        <f t="shared" ref="AN857:AN862" si="826">IFERROR(M862/(M868-M845/41.868),0)</f>
        <v>0.90532907801133833</v>
      </c>
      <c r="AO857" s="199">
        <f t="shared" ref="AO857:AO862" si="827">IFERROR(N862/(N868-N845/41.868),0)</f>
        <v>0.84825657123172449</v>
      </c>
      <c r="AP857" s="199">
        <f t="shared" ref="AP857:AP862" si="828">IFERROR(O862/(O868-O845/41.868),0)</f>
        <v>0.87544370607056943</v>
      </c>
      <c r="AQ857" s="199">
        <f t="shared" ref="AQ857:AQ862" si="829">IFERROR(P862/(P868-P845/41.868),0)</f>
        <v>0.88392923999794448</v>
      </c>
    </row>
    <row r="858" spans="1:43">
      <c r="J858" s="172"/>
      <c r="M858" s="293"/>
      <c r="N858" s="293"/>
      <c r="O858" s="168"/>
      <c r="P858" s="168"/>
      <c r="V858" s="90"/>
      <c r="Z858" s="169">
        <f>AA858*AB858</f>
        <v>1687.7216313099455</v>
      </c>
      <c r="AA858" s="185">
        <v>19.5</v>
      </c>
      <c r="AB858" s="243">
        <v>86.549827246663867</v>
      </c>
      <c r="AC858" s="187" t="s">
        <v>197</v>
      </c>
      <c r="AJ858" s="10" t="s">
        <v>24</v>
      </c>
      <c r="AK858" s="381">
        <f t="shared" si="823"/>
        <v>0</v>
      </c>
      <c r="AL858" s="381">
        <f t="shared" si="824"/>
        <v>0.8958859383929958</v>
      </c>
      <c r="AM858" s="381">
        <f t="shared" si="825"/>
        <v>0.90673807849085963</v>
      </c>
      <c r="AN858" s="381">
        <f t="shared" si="826"/>
        <v>0.85809393404439238</v>
      </c>
      <c r="AO858" s="381">
        <f t="shared" si="827"/>
        <v>0.87471615760425947</v>
      </c>
      <c r="AP858" s="381">
        <f t="shared" si="828"/>
        <v>0.87497074848115652</v>
      </c>
      <c r="AQ858" s="381">
        <f t="shared" si="829"/>
        <v>0.88724664696189004</v>
      </c>
    </row>
    <row r="859" spans="1:43">
      <c r="A859" s="68" t="s">
        <v>374</v>
      </c>
      <c r="J859" s="281">
        <f>J862/(J868-J845/41.868)</f>
        <v>0.88833260302899331</v>
      </c>
      <c r="K859" s="281">
        <f t="shared" ref="K859:P859" si="830">K862/(K868-K845/41.868)</f>
        <v>0.89221022858945953</v>
      </c>
      <c r="L859" s="281">
        <f t="shared" si="830"/>
        <v>0.90114955834645971</v>
      </c>
      <c r="M859" s="281">
        <f t="shared" si="830"/>
        <v>0.90532907801133833</v>
      </c>
      <c r="N859" s="281">
        <f t="shared" si="830"/>
        <v>0.84825657123172449</v>
      </c>
      <c r="O859" s="281">
        <f t="shared" si="830"/>
        <v>0.87544370607056943</v>
      </c>
      <c r="P859" s="281">
        <f t="shared" si="830"/>
        <v>0.88392923999794448</v>
      </c>
      <c r="Z859" s="169">
        <f>AA859*AB859</f>
        <v>0</v>
      </c>
      <c r="AA859" s="185">
        <v>1018.8</v>
      </c>
      <c r="AB859" s="178">
        <v>0</v>
      </c>
      <c r="AC859" s="186" t="s">
        <v>202</v>
      </c>
      <c r="AJ859" s="10" t="s">
        <v>25</v>
      </c>
      <c r="AK859" s="381">
        <f t="shared" si="823"/>
        <v>0</v>
      </c>
      <c r="AL859" s="381">
        <f t="shared" si="824"/>
        <v>0.89615622236461423</v>
      </c>
      <c r="AM859" s="381">
        <f t="shared" si="825"/>
        <v>0</v>
      </c>
      <c r="AN859" s="381">
        <f t="shared" si="826"/>
        <v>0.90112957732923171</v>
      </c>
      <c r="AO859" s="381">
        <f t="shared" si="827"/>
        <v>0.87870966467544886</v>
      </c>
      <c r="AP859" s="381">
        <f t="shared" si="828"/>
        <v>0.965167477350792</v>
      </c>
      <c r="AQ859" s="381">
        <f t="shared" si="829"/>
        <v>0.89662622829667071</v>
      </c>
    </row>
    <row r="860" spans="1:43">
      <c r="A860" s="68" t="s">
        <v>252</v>
      </c>
      <c r="P860" s="168"/>
      <c r="R860" s="191" t="s">
        <v>211</v>
      </c>
      <c r="S860" s="165"/>
      <c r="T860" s="165"/>
      <c r="U860" s="165"/>
      <c r="V860" s="165"/>
      <c r="W860" s="165"/>
      <c r="X860" s="165"/>
      <c r="Z860" s="169"/>
      <c r="AA860" s="185">
        <v>0</v>
      </c>
      <c r="AB860" s="178">
        <v>0</v>
      </c>
      <c r="AC860" s="186" t="s">
        <v>203</v>
      </c>
      <c r="AJ860" s="10" t="s">
        <v>26</v>
      </c>
      <c r="AK860" s="381">
        <f t="shared" si="823"/>
        <v>0.90021158583048322</v>
      </c>
      <c r="AL860" s="381">
        <f t="shared" si="824"/>
        <v>0.88942997531375245</v>
      </c>
      <c r="AM860" s="381">
        <f t="shared" si="825"/>
        <v>0.90055570176326438</v>
      </c>
      <c r="AN860" s="381">
        <f t="shared" si="826"/>
        <v>0.90462265247456775</v>
      </c>
      <c r="AO860" s="381">
        <f t="shared" si="827"/>
        <v>0.78001219544369993</v>
      </c>
      <c r="AP860" s="381">
        <f t="shared" si="828"/>
        <v>0.94015348979412017</v>
      </c>
      <c r="AQ860" s="381">
        <f t="shared" si="829"/>
        <v>0.88086602984845497</v>
      </c>
    </row>
    <row r="861" spans="1:43">
      <c r="A861" s="68" t="str">
        <f>$A$820</f>
        <v>Dati 2015 lorda</v>
      </c>
      <c r="J861" s="180" t="s">
        <v>5</v>
      </c>
      <c r="K861" s="180" t="s">
        <v>186</v>
      </c>
      <c r="L861" s="180" t="s">
        <v>187</v>
      </c>
      <c r="M861" s="180" t="s">
        <v>190</v>
      </c>
      <c r="N861" s="180" t="s">
        <v>192</v>
      </c>
      <c r="O861" s="180" t="s">
        <v>191</v>
      </c>
      <c r="P861" s="180" t="s">
        <v>189</v>
      </c>
      <c r="R861" s="191" t="s">
        <v>5</v>
      </c>
      <c r="S861" s="191" t="s">
        <v>186</v>
      </c>
      <c r="T861" s="191" t="s">
        <v>187</v>
      </c>
      <c r="U861" s="191" t="s">
        <v>190</v>
      </c>
      <c r="V861" s="191" t="s">
        <v>192</v>
      </c>
      <c r="W861" s="191" t="s">
        <v>191</v>
      </c>
      <c r="X861" s="191" t="s">
        <v>189</v>
      </c>
      <c r="Z861" s="169">
        <f>AA861*AB861</f>
        <v>0</v>
      </c>
      <c r="AA861" s="185">
        <v>201.6</v>
      </c>
      <c r="AB861" s="178">
        <v>0</v>
      </c>
      <c r="AC861" s="186" t="s">
        <v>136</v>
      </c>
      <c r="AJ861" s="10" t="s">
        <v>27</v>
      </c>
      <c r="AK861" s="381">
        <f t="shared" si="823"/>
        <v>0.84332474219882325</v>
      </c>
      <c r="AL861" s="381">
        <f t="shared" si="824"/>
        <v>0.89478429517565461</v>
      </c>
      <c r="AM861" s="381">
        <f t="shared" si="825"/>
        <v>0</v>
      </c>
      <c r="AN861" s="381">
        <f t="shared" si="826"/>
        <v>0.90496594617869075</v>
      </c>
      <c r="AO861" s="381">
        <f t="shared" si="827"/>
        <v>0.89601334885707185</v>
      </c>
      <c r="AP861" s="381">
        <f t="shared" si="828"/>
        <v>0.86222661559372304</v>
      </c>
      <c r="AQ861" s="381">
        <f t="shared" si="829"/>
        <v>0.89693045756131107</v>
      </c>
    </row>
    <row r="862" spans="1:43">
      <c r="A862" s="193" t="s">
        <v>251</v>
      </c>
      <c r="J862" s="179">
        <f t="shared" ref="J862:O862" si="831">SUM(J863:J867)</f>
        <v>45.4</v>
      </c>
      <c r="K862" s="179">
        <f t="shared" si="831"/>
        <v>3234.9</v>
      </c>
      <c r="L862" s="179">
        <f t="shared" si="831"/>
        <v>100.7</v>
      </c>
      <c r="M862" s="179">
        <f t="shared" si="831"/>
        <v>507.1</v>
      </c>
      <c r="N862" s="179">
        <f t="shared" si="831"/>
        <v>1002.7</v>
      </c>
      <c r="O862" s="179">
        <f t="shared" si="831"/>
        <v>205.6</v>
      </c>
      <c r="P862" s="266">
        <f t="shared" ref="P862:P873" si="832">SUM(J862:O862)</f>
        <v>5096.4000000000005</v>
      </c>
      <c r="Q862" s="193" t="s">
        <v>16</v>
      </c>
      <c r="R862" s="192">
        <f t="shared" ref="R862:R873" si="833">IFERROR(R839/J822*1000000,0)</f>
        <v>901.36377084811363</v>
      </c>
      <c r="S862" s="192">
        <f t="shared" ref="S862:S873" si="834">IFERROR(S839/K822*1000000,0)</f>
        <v>394.39769681921894</v>
      </c>
      <c r="T862" s="192">
        <f t="shared" ref="T862:T873" si="835">IFERROR(T839/L822*1000000,0)</f>
        <v>1653.9179855247207</v>
      </c>
      <c r="U862" s="192">
        <f t="shared" ref="U862:U873" si="836">IFERROR(U839/M822*1000000,0)</f>
        <v>734.51699854682022</v>
      </c>
      <c r="V862" s="192">
        <f t="shared" ref="V862:V873" si="837">IFERROR(V839/N822*1000000,0)</f>
        <v>449.29652172092898</v>
      </c>
      <c r="W862" s="192">
        <f t="shared" ref="W862:W873" si="838">IFERROR(W839/O822*1000000,0)</f>
        <v>10.200907128217203</v>
      </c>
      <c r="X862" s="192">
        <f>IFERROR(X839/P822*1000000,0)</f>
        <v>626.19382006812077</v>
      </c>
      <c r="Z862" s="169">
        <f>AA862*AB862</f>
        <v>0</v>
      </c>
      <c r="AA862" s="185">
        <v>23.9</v>
      </c>
      <c r="AB862" s="178">
        <v>0</v>
      </c>
      <c r="AC862" s="186" t="s">
        <v>137</v>
      </c>
      <c r="AJ862" s="10" t="s">
        <v>28</v>
      </c>
      <c r="AK862" s="381">
        <f t="shared" si="823"/>
        <v>0</v>
      </c>
      <c r="AL862" s="381">
        <f t="shared" si="824"/>
        <v>0.90145692291697754</v>
      </c>
      <c r="AM862" s="381">
        <f t="shared" si="825"/>
        <v>0.9005422954463973</v>
      </c>
      <c r="AN862" s="381">
        <f t="shared" si="826"/>
        <v>0.91060047095655794</v>
      </c>
      <c r="AO862" s="381">
        <f t="shared" si="827"/>
        <v>0.85901672069519874</v>
      </c>
      <c r="AP862" s="381">
        <f t="shared" si="828"/>
        <v>0.82207596368320179</v>
      </c>
      <c r="AQ862" s="381">
        <f t="shared" si="829"/>
        <v>0.87324889881395396</v>
      </c>
    </row>
    <row r="863" spans="1:43">
      <c r="A863" s="186" t="s">
        <v>24</v>
      </c>
      <c r="K863">
        <v>543.79999999999995</v>
      </c>
      <c r="L863">
        <v>6.9</v>
      </c>
      <c r="M863">
        <v>1.9</v>
      </c>
      <c r="N863">
        <v>173.1</v>
      </c>
      <c r="O863">
        <v>203</v>
      </c>
      <c r="P863" s="266">
        <f t="shared" si="832"/>
        <v>928.69999999999993</v>
      </c>
      <c r="Q863" s="186" t="s">
        <v>17</v>
      </c>
      <c r="R863" s="200">
        <f t="shared" si="833"/>
        <v>0</v>
      </c>
      <c r="S863" s="200">
        <f t="shared" si="834"/>
        <v>594.54215215342583</v>
      </c>
      <c r="T863" s="200">
        <f t="shared" si="835"/>
        <v>1653.9179855247207</v>
      </c>
      <c r="U863" s="200">
        <f t="shared" si="836"/>
        <v>694.45246315014538</v>
      </c>
      <c r="V863" s="200">
        <f t="shared" si="837"/>
        <v>352.93725709899201</v>
      </c>
      <c r="W863" s="200">
        <f t="shared" si="838"/>
        <v>10.182684883123088</v>
      </c>
      <c r="X863" s="192">
        <f t="shared" ref="X863:X873" si="839">IFERROR(X840/P823*1000000,0)</f>
        <v>171.87204755522416</v>
      </c>
      <c r="Z863" s="169">
        <f>AA863*AB863</f>
        <v>0</v>
      </c>
      <c r="AA863" s="185">
        <v>3.8</v>
      </c>
      <c r="AB863" s="178">
        <v>0</v>
      </c>
      <c r="AC863" s="188" t="s">
        <v>139</v>
      </c>
    </row>
    <row r="864" spans="1:43">
      <c r="A864" s="186" t="s">
        <v>25</v>
      </c>
      <c r="K864">
        <v>511.1</v>
      </c>
      <c r="M864">
        <v>61.9</v>
      </c>
      <c r="N864">
        <v>5.0999999999999996</v>
      </c>
      <c r="O864">
        <v>0.6</v>
      </c>
      <c r="P864" s="266">
        <f t="shared" si="832"/>
        <v>578.70000000000005</v>
      </c>
      <c r="Q864" s="186" t="s">
        <v>18</v>
      </c>
      <c r="R864" s="200">
        <f t="shared" si="833"/>
        <v>0</v>
      </c>
      <c r="S864" s="200">
        <f t="shared" si="834"/>
        <v>409.82834858113716</v>
      </c>
      <c r="T864" s="200">
        <f t="shared" si="835"/>
        <v>0</v>
      </c>
      <c r="U864" s="200">
        <f t="shared" si="836"/>
        <v>1065.105833039916</v>
      </c>
      <c r="V864" s="200">
        <f t="shared" si="837"/>
        <v>565.13266320758839</v>
      </c>
      <c r="W864" s="200">
        <f t="shared" si="838"/>
        <v>11.823536290954683</v>
      </c>
      <c r="X864" s="192">
        <f t="shared" si="839"/>
        <v>407.49230384962914</v>
      </c>
      <c r="Z864" s="169">
        <f>AA864*AB864</f>
        <v>0</v>
      </c>
      <c r="AA864" s="185">
        <v>74.099999999999994</v>
      </c>
      <c r="AB864" s="178">
        <v>0</v>
      </c>
      <c r="AC864" s="186" t="s">
        <v>204</v>
      </c>
    </row>
    <row r="865" spans="1:29">
      <c r="A865" s="186" t="s">
        <v>26</v>
      </c>
      <c r="J865">
        <v>36.4</v>
      </c>
      <c r="K865">
        <v>1899.7</v>
      </c>
      <c r="L865">
        <v>35.700000000000003</v>
      </c>
      <c r="M865">
        <v>209.8</v>
      </c>
      <c r="N865">
        <v>196.8</v>
      </c>
      <c r="O865">
        <v>1.3</v>
      </c>
      <c r="P865" s="266">
        <f t="shared" si="832"/>
        <v>2379.7000000000007</v>
      </c>
      <c r="Q865" s="186" t="s">
        <v>19</v>
      </c>
      <c r="R865" s="200">
        <f t="shared" si="833"/>
        <v>901.36377084811363</v>
      </c>
      <c r="S865" s="200">
        <f t="shared" si="834"/>
        <v>522.44325409759642</v>
      </c>
      <c r="T865" s="200">
        <f t="shared" si="835"/>
        <v>0</v>
      </c>
      <c r="U865" s="200">
        <f t="shared" si="836"/>
        <v>738.1350656692432</v>
      </c>
      <c r="V865" s="200">
        <f t="shared" si="837"/>
        <v>550.65750417410334</v>
      </c>
      <c r="W865" s="200">
        <f t="shared" si="838"/>
        <v>9.4239217480366282</v>
      </c>
      <c r="X865" s="192">
        <f t="shared" si="839"/>
        <v>856.98991169459964</v>
      </c>
      <c r="Z865" s="169">
        <f>AA865*AB865</f>
        <v>0</v>
      </c>
      <c r="AA865" s="185">
        <v>9.6</v>
      </c>
      <c r="AB865" s="178">
        <v>0</v>
      </c>
      <c r="AC865" s="186" t="s">
        <v>138</v>
      </c>
    </row>
    <row r="866" spans="1:29">
      <c r="A866" s="186" t="s">
        <v>27</v>
      </c>
      <c r="J866">
        <v>9</v>
      </c>
      <c r="K866">
        <v>192.2</v>
      </c>
      <c r="M866">
        <v>128.4</v>
      </c>
      <c r="N866">
        <v>96.7</v>
      </c>
      <c r="O866">
        <v>0.2</v>
      </c>
      <c r="P866" s="266">
        <f t="shared" si="832"/>
        <v>426.5</v>
      </c>
      <c r="Q866" s="186" t="s">
        <v>20</v>
      </c>
      <c r="R866" s="200">
        <f t="shared" si="833"/>
        <v>0</v>
      </c>
      <c r="S866" s="200">
        <f t="shared" si="834"/>
        <v>389.13809726055945</v>
      </c>
      <c r="T866" s="200">
        <f t="shared" si="835"/>
        <v>0</v>
      </c>
      <c r="U866" s="200">
        <f t="shared" si="836"/>
        <v>558.71922792991245</v>
      </c>
      <c r="V866" s="200">
        <f t="shared" si="837"/>
        <v>305.70252762130372</v>
      </c>
      <c r="W866" s="200">
        <f t="shared" si="838"/>
        <v>10.664489022620137</v>
      </c>
      <c r="X866" s="192">
        <f t="shared" si="839"/>
        <v>383.87772685403684</v>
      </c>
      <c r="Z866" s="169"/>
      <c r="AA866" s="185">
        <v>0</v>
      </c>
      <c r="AB866" s="178">
        <v>0</v>
      </c>
      <c r="AC866" s="186" t="s">
        <v>205</v>
      </c>
    </row>
    <row r="867" spans="1:29">
      <c r="A867" s="186" t="s">
        <v>28</v>
      </c>
      <c r="K867">
        <v>88.1</v>
      </c>
      <c r="L867">
        <v>58.1</v>
      </c>
      <c r="M867">
        <v>105.1</v>
      </c>
      <c r="N867">
        <v>531</v>
      </c>
      <c r="O867">
        <v>0.5</v>
      </c>
      <c r="P867" s="266">
        <f t="shared" si="832"/>
        <v>782.8</v>
      </c>
      <c r="Q867" s="186" t="s">
        <v>22</v>
      </c>
      <c r="R867" s="200">
        <f t="shared" si="833"/>
        <v>0</v>
      </c>
      <c r="S867" s="200">
        <f t="shared" si="834"/>
        <v>540.94345096084294</v>
      </c>
      <c r="T867" s="200">
        <f t="shared" si="835"/>
        <v>0</v>
      </c>
      <c r="U867" s="200">
        <f t="shared" si="836"/>
        <v>0</v>
      </c>
      <c r="V867" s="200">
        <f t="shared" si="837"/>
        <v>0</v>
      </c>
      <c r="W867" s="200">
        <f t="shared" si="838"/>
        <v>0</v>
      </c>
      <c r="X867" s="192">
        <f t="shared" si="839"/>
        <v>540.94345096084294</v>
      </c>
      <c r="Z867" s="169">
        <f>AA867*AB867</f>
        <v>0</v>
      </c>
      <c r="AA867" s="185">
        <v>260.39999999999998</v>
      </c>
      <c r="AB867" s="178">
        <v>0</v>
      </c>
      <c r="AC867" s="186" t="s">
        <v>206</v>
      </c>
    </row>
    <row r="868" spans="1:29">
      <c r="A868" s="193" t="s">
        <v>253</v>
      </c>
      <c r="J868" s="179">
        <f t="shared" ref="J868:O868" si="840">SUM(J869:J873)</f>
        <v>66.3</v>
      </c>
      <c r="K868" s="179">
        <f t="shared" si="840"/>
        <v>14278.699999999999</v>
      </c>
      <c r="L868" s="179">
        <f t="shared" si="840"/>
        <v>566.29999999999995</v>
      </c>
      <c r="M868" s="179">
        <f t="shared" si="840"/>
        <v>932.10200000000009</v>
      </c>
      <c r="N868" s="179">
        <f t="shared" si="840"/>
        <v>3714.8490000000002</v>
      </c>
      <c r="O868" s="179">
        <f t="shared" si="840"/>
        <v>1096.049</v>
      </c>
      <c r="P868" s="266">
        <f t="shared" si="832"/>
        <v>20654.299999999996</v>
      </c>
      <c r="Q868" s="193" t="s">
        <v>23</v>
      </c>
      <c r="R868" s="192">
        <f t="shared" si="833"/>
        <v>421.02795001236922</v>
      </c>
      <c r="S868" s="192">
        <f t="shared" si="834"/>
        <v>353.42424035084457</v>
      </c>
      <c r="T868" s="192">
        <f t="shared" si="835"/>
        <v>1607.3199833261785</v>
      </c>
      <c r="U868" s="192">
        <f t="shared" si="836"/>
        <v>462.43826816637761</v>
      </c>
      <c r="V868" s="192">
        <f t="shared" si="837"/>
        <v>319.75610814143971</v>
      </c>
      <c r="W868" s="192">
        <f t="shared" si="838"/>
        <v>7.4093105805884347</v>
      </c>
      <c r="X868" s="192">
        <f t="shared" si="839"/>
        <v>361.87321678876975</v>
      </c>
    </row>
    <row r="869" spans="1:29">
      <c r="A869" s="186" t="s">
        <v>24</v>
      </c>
      <c r="K869">
        <v>1581.7</v>
      </c>
      <c r="L869">
        <v>31</v>
      </c>
      <c r="M869" s="147">
        <v>7.3019999999999996</v>
      </c>
      <c r="N869" s="147">
        <v>535.649</v>
      </c>
      <c r="O869" s="147">
        <v>1086.8489999999999</v>
      </c>
      <c r="P869" s="266">
        <f t="shared" si="832"/>
        <v>3242.5</v>
      </c>
      <c r="Q869" s="186" t="s">
        <v>24</v>
      </c>
      <c r="R869" s="200">
        <f t="shared" si="833"/>
        <v>0</v>
      </c>
      <c r="S869" s="200">
        <f t="shared" si="834"/>
        <v>324.12805968503943</v>
      </c>
      <c r="T869" s="200">
        <f t="shared" si="835"/>
        <v>1319.8453994640911</v>
      </c>
      <c r="U869" s="200">
        <f t="shared" si="836"/>
        <v>478.34612263487287</v>
      </c>
      <c r="V869" s="200">
        <f t="shared" si="837"/>
        <v>302.65512571951734</v>
      </c>
      <c r="W869" s="200">
        <f t="shared" si="838"/>
        <v>7.4036887726618019</v>
      </c>
      <c r="X869" s="192">
        <f t="shared" si="839"/>
        <v>219.68015053175515</v>
      </c>
    </row>
    <row r="870" spans="1:29">
      <c r="A870" s="186" t="s">
        <v>25</v>
      </c>
      <c r="K870">
        <v>1176.9000000000001</v>
      </c>
      <c r="M870">
        <v>117.3</v>
      </c>
      <c r="N870">
        <v>8.5</v>
      </c>
      <c r="O870">
        <v>1.4</v>
      </c>
      <c r="P870" s="266">
        <f t="shared" si="832"/>
        <v>1304.1000000000001</v>
      </c>
      <c r="Q870" s="186" t="s">
        <v>25</v>
      </c>
      <c r="R870" s="200">
        <f t="shared" si="833"/>
        <v>0</v>
      </c>
      <c r="S870" s="200">
        <f t="shared" si="834"/>
        <v>344.87594401765227</v>
      </c>
      <c r="T870" s="200">
        <f t="shared" si="835"/>
        <v>866.77793208540561</v>
      </c>
      <c r="U870" s="200">
        <f t="shared" si="836"/>
        <v>362.58001760901311</v>
      </c>
      <c r="V870" s="200">
        <f t="shared" si="837"/>
        <v>356.3856329352239</v>
      </c>
      <c r="W870" s="200">
        <f t="shared" si="838"/>
        <v>8.1091503652008665</v>
      </c>
      <c r="X870" s="192">
        <f t="shared" si="839"/>
        <v>346.16175345430514</v>
      </c>
    </row>
    <row r="871" spans="1:29">
      <c r="A871" s="186" t="s">
        <v>26</v>
      </c>
      <c r="J871">
        <v>54.2</v>
      </c>
      <c r="K871" s="147">
        <v>10929.5</v>
      </c>
      <c r="L871">
        <v>216.5</v>
      </c>
      <c r="M871">
        <v>459.1</v>
      </c>
      <c r="N871">
        <v>1317.6</v>
      </c>
      <c r="O871">
        <v>6.4</v>
      </c>
      <c r="P871" s="266">
        <f t="shared" si="832"/>
        <v>12983.300000000001</v>
      </c>
      <c r="Q871" s="186" t="s">
        <v>26</v>
      </c>
      <c r="R871" s="200">
        <f>IFERROR(R848/J831*1000000,0)</f>
        <v>416.08152627345402</v>
      </c>
      <c r="S871" s="200">
        <f t="shared" si="834"/>
        <v>356.46017943669432</v>
      </c>
      <c r="T871" s="200">
        <f t="shared" si="835"/>
        <v>1527.3473431289622</v>
      </c>
      <c r="U871" s="200">
        <f t="shared" si="836"/>
        <v>467.74984776637876</v>
      </c>
      <c r="V871" s="200">
        <f t="shared" si="837"/>
        <v>242.38874337234796</v>
      </c>
      <c r="W871" s="200">
        <f t="shared" si="838"/>
        <v>8.1614067794630181</v>
      </c>
      <c r="X871" s="192">
        <f t="shared" si="839"/>
        <v>361.77246777792021</v>
      </c>
    </row>
    <row r="872" spans="1:29">
      <c r="A872" s="186" t="s">
        <v>27</v>
      </c>
      <c r="J872">
        <v>12.1</v>
      </c>
      <c r="K872">
        <v>305.3</v>
      </c>
      <c r="M872">
        <v>161.69999999999999</v>
      </c>
      <c r="N872">
        <v>192.8</v>
      </c>
      <c r="O872">
        <v>0.3</v>
      </c>
      <c r="P872" s="266">
        <f t="shared" si="832"/>
        <v>672.2</v>
      </c>
      <c r="Q872" s="186" t="s">
        <v>27</v>
      </c>
      <c r="R872" s="200">
        <f t="shared" si="833"/>
        <v>475.52174431251882</v>
      </c>
      <c r="S872" s="200">
        <f t="shared" si="834"/>
        <v>282.57465800777885</v>
      </c>
      <c r="T872" s="200">
        <f t="shared" si="835"/>
        <v>0</v>
      </c>
      <c r="U872" s="200">
        <f t="shared" si="836"/>
        <v>334.10703411884197</v>
      </c>
      <c r="V872" s="200">
        <f t="shared" si="837"/>
        <v>236.85530307699912</v>
      </c>
      <c r="W872" s="200">
        <f t="shared" si="838"/>
        <v>4.9622690983340272</v>
      </c>
      <c r="X872" s="192">
        <f t="shared" si="839"/>
        <v>272.26048359766577</v>
      </c>
    </row>
    <row r="873" spans="1:29">
      <c r="A873" s="186" t="s">
        <v>28</v>
      </c>
      <c r="K873">
        <v>285.3</v>
      </c>
      <c r="L873">
        <v>318.8</v>
      </c>
      <c r="M873">
        <v>186.7</v>
      </c>
      <c r="N873">
        <v>1660.3</v>
      </c>
      <c r="O873">
        <v>1.1000000000000001</v>
      </c>
      <c r="P873" s="266">
        <f t="shared" si="832"/>
        <v>2452.1999999999998</v>
      </c>
      <c r="Q873" s="186" t="s">
        <v>28</v>
      </c>
      <c r="R873" s="200">
        <f t="shared" si="833"/>
        <v>0</v>
      </c>
      <c r="S873" s="200">
        <f t="shared" si="834"/>
        <v>485.1546953109285</v>
      </c>
      <c r="T873" s="200">
        <f t="shared" si="835"/>
        <v>1703.6223691808655</v>
      </c>
      <c r="U873" s="200">
        <f t="shared" si="836"/>
        <v>621.57604211580883</v>
      </c>
      <c r="V873" s="200">
        <f t="shared" si="837"/>
        <v>509.83835764754417</v>
      </c>
      <c r="W873" s="200">
        <f t="shared" si="838"/>
        <v>10.759595696577254</v>
      </c>
      <c r="X873" s="192">
        <f t="shared" si="839"/>
        <v>747.27453179822055</v>
      </c>
    </row>
    <row r="874" spans="1:29">
      <c r="A874" s="11" t="s">
        <v>9</v>
      </c>
      <c r="Q874" s="193" t="s">
        <v>9</v>
      </c>
      <c r="R874" s="194">
        <f t="shared" ref="R874:X874" si="841">R851/J834*1000000</f>
        <v>899.77381817586729</v>
      </c>
      <c r="S874" s="194">
        <f t="shared" si="841"/>
        <v>367.51607543854271</v>
      </c>
      <c r="T874" s="194">
        <f t="shared" si="841"/>
        <v>1608.0041370244637</v>
      </c>
      <c r="U874" s="194">
        <f t="shared" si="841"/>
        <v>616.9968793589544</v>
      </c>
      <c r="V874" s="194">
        <f t="shared" si="841"/>
        <v>368.23828998991752</v>
      </c>
      <c r="W874" s="194">
        <f t="shared" si="841"/>
        <v>8.4913273520293728</v>
      </c>
      <c r="X874" s="195">
        <f t="shared" si="841"/>
        <v>492.30211551491101</v>
      </c>
    </row>
    <row r="875" spans="1:29">
      <c r="J875" s="90">
        <f t="shared" ref="J875:O880" si="842">IFERROR((J828/11.63+J862)/J868,"")</f>
        <v>0.87022302802991691</v>
      </c>
      <c r="K875" s="90">
        <f t="shared" si="842"/>
        <v>0.66454014045573939</v>
      </c>
      <c r="L875" s="90">
        <f t="shared" si="842"/>
        <v>0.51000695559065667</v>
      </c>
      <c r="M875" s="90">
        <f t="shared" si="842"/>
        <v>0.7679803578525175</v>
      </c>
      <c r="N875" s="90">
        <f t="shared" si="842"/>
        <v>0.57770756998468664</v>
      </c>
      <c r="O875" s="90">
        <f t="shared" si="842"/>
        <v>0.58657713559255098</v>
      </c>
      <c r="P875" s="204">
        <f>P868-('5-x'!$U$82+'5-x'!$U$84)</f>
        <v>0</v>
      </c>
      <c r="R875" s="196">
        <f>'7'!AA6</f>
        <v>899.77381817586729</v>
      </c>
      <c r="S875" s="196">
        <f>'7'!AA7</f>
        <v>367.51640695193237</v>
      </c>
      <c r="T875" s="204"/>
      <c r="U875" s="204"/>
      <c r="V875" s="204"/>
      <c r="W875" s="204"/>
      <c r="X875" s="196">
        <f>'7'!AA12</f>
        <v>492.30278179801905</v>
      </c>
    </row>
    <row r="876" spans="1:29">
      <c r="J876" s="90" t="str">
        <f t="shared" si="842"/>
        <v/>
      </c>
      <c r="K876" s="90">
        <f t="shared" si="842"/>
        <v>0.73826951649430161</v>
      </c>
      <c r="L876" s="90">
        <f t="shared" si="842"/>
        <v>0.60285413141763522</v>
      </c>
      <c r="M876" s="90">
        <f t="shared" si="842"/>
        <v>0.63819545075696293</v>
      </c>
      <c r="N876" s="90">
        <f t="shared" si="842"/>
        <v>0.62390110583494207</v>
      </c>
      <c r="O876" s="90">
        <f t="shared" si="842"/>
        <v>0.58648405111583601</v>
      </c>
      <c r="P876" s="270">
        <f>(P845/41.868)-'5-x'!$U$82</f>
        <v>-2.3167454855865799E-4</v>
      </c>
      <c r="R876" s="172">
        <f>R874-R875</f>
        <v>0</v>
      </c>
      <c r="S876" s="172">
        <f>S874-S875</f>
        <v>-3.3151338965353716E-4</v>
      </c>
      <c r="T876" s="172"/>
      <c r="U876" s="172"/>
      <c r="V876" s="172"/>
      <c r="W876" s="172"/>
      <c r="X876" s="222">
        <f>X874-X875</f>
        <v>-6.6628310804617286E-4</v>
      </c>
    </row>
    <row r="877" spans="1:29">
      <c r="J877" s="90" t="str">
        <f t="shared" si="842"/>
        <v/>
      </c>
      <c r="K877" s="90">
        <f t="shared" si="842"/>
        <v>0.74434388198092727</v>
      </c>
      <c r="L877" s="90" t="str">
        <f t="shared" si="842"/>
        <v/>
      </c>
      <c r="M877" s="90">
        <f t="shared" si="842"/>
        <v>0.82429103085400302</v>
      </c>
      <c r="N877" s="90">
        <f t="shared" si="842"/>
        <v>0.72847099286834249</v>
      </c>
      <c r="O877" s="90">
        <f t="shared" si="842"/>
        <v>0.68652499692912416</v>
      </c>
      <c r="P877" s="270">
        <f>(P839/41.868)-'5-x'!$U$83</f>
        <v>4.999261971533997E-3</v>
      </c>
    </row>
    <row r="878" spans="1:29">
      <c r="J878" s="90">
        <f t="shared" si="842"/>
        <v>0.87956772946921213</v>
      </c>
      <c r="K878" s="90">
        <f t="shared" si="842"/>
        <v>0.64212144142614647</v>
      </c>
      <c r="L878" s="90">
        <f t="shared" si="842"/>
        <v>0.5206694480905677</v>
      </c>
      <c r="M878" s="90">
        <f t="shared" si="842"/>
        <v>0.73150972228179056</v>
      </c>
      <c r="N878" s="90">
        <f t="shared" si="842"/>
        <v>0.63085883763751915</v>
      </c>
      <c r="O878" s="90">
        <f t="shared" si="842"/>
        <v>0.56452869733447963</v>
      </c>
      <c r="P878" s="134"/>
    </row>
    <row r="879" spans="1:29">
      <c r="J879" s="90">
        <f t="shared" si="842"/>
        <v>0.82836494389687543</v>
      </c>
      <c r="K879" s="90">
        <f t="shared" si="842"/>
        <v>0.8471956737928017</v>
      </c>
      <c r="L879" s="90" t="str">
        <f t="shared" si="842"/>
        <v/>
      </c>
      <c r="M879" s="90">
        <f t="shared" si="842"/>
        <v>0.88924693616991879</v>
      </c>
      <c r="N879" s="90">
        <f t="shared" si="842"/>
        <v>0.76985627026969161</v>
      </c>
      <c r="O879" s="90">
        <f t="shared" si="842"/>
        <v>0.83863571223846378</v>
      </c>
      <c r="P879" s="134"/>
      <c r="Z879" s="169"/>
      <c r="AA879" s="185"/>
      <c r="AC879" s="186"/>
    </row>
    <row r="880" spans="1:29">
      <c r="J880" s="90" t="str">
        <f t="shared" si="842"/>
        <v/>
      </c>
      <c r="K880" s="90">
        <f t="shared" si="842"/>
        <v>0.58995780338929105</v>
      </c>
      <c r="L880" s="90">
        <f t="shared" si="842"/>
        <v>0.49368358990237465</v>
      </c>
      <c r="M880" s="90">
        <f t="shared" si="842"/>
        <v>0.72233124443599084</v>
      </c>
      <c r="N880" s="90">
        <f t="shared" si="842"/>
        <v>0.49753929313502948</v>
      </c>
      <c r="O880" s="90">
        <f t="shared" si="842"/>
        <v>0.61088095051981539</v>
      </c>
      <c r="P880" s="134"/>
      <c r="Z880" s="169"/>
      <c r="AA880" s="185"/>
      <c r="AC880" s="186"/>
    </row>
    <row r="881" spans="1:29">
      <c r="A881" s="68" t="str">
        <f>$A$820</f>
        <v>Dati 2015 lorda</v>
      </c>
      <c r="J881" s="90"/>
      <c r="K881" s="90"/>
      <c r="L881" s="90"/>
      <c r="M881" s="90"/>
      <c r="N881" s="90"/>
      <c r="O881" s="90"/>
      <c r="P881" s="269"/>
      <c r="Z881" s="169"/>
      <c r="AA881" s="185"/>
      <c r="AC881" s="186"/>
    </row>
    <row r="882" spans="1:29">
      <c r="A882" s="68" t="s">
        <v>257</v>
      </c>
      <c r="J882" s="428">
        <v>0.20243385951799553</v>
      </c>
      <c r="K882" s="428">
        <v>8.7492198064849021</v>
      </c>
      <c r="L882" s="428">
        <v>0.91447380954282131</v>
      </c>
      <c r="M882" s="588">
        <v>1.4709756638860099</v>
      </c>
      <c r="N882" s="587">
        <v>1.8031245613637501</v>
      </c>
      <c r="O882" s="587">
        <v>1.0849303639785257E-3</v>
      </c>
      <c r="P882" s="287">
        <f>SUM(J882:O882)</f>
        <v>13.141312631159458</v>
      </c>
      <c r="Z882" s="169"/>
      <c r="AA882" s="185"/>
      <c r="AC882" s="186"/>
    </row>
    <row r="883" spans="1:29">
      <c r="A883" t="s">
        <v>260</v>
      </c>
      <c r="J883" s="181">
        <f t="shared" ref="J883:P883" si="843">J882/(J862*11.63)*1000000</f>
        <v>383.39600895071516</v>
      </c>
      <c r="K883" s="181">
        <f t="shared" si="843"/>
        <v>232.55664465966052</v>
      </c>
      <c r="L883" s="181">
        <f t="shared" si="843"/>
        <v>780.84006071243448</v>
      </c>
      <c r="M883" s="181">
        <f t="shared" si="843"/>
        <v>249.42050973951652</v>
      </c>
      <c r="N883" s="181">
        <f t="shared" si="843"/>
        <v>154.6233219630943</v>
      </c>
      <c r="O883" s="181">
        <f t="shared" si="843"/>
        <v>0.4537316128532331</v>
      </c>
      <c r="P883" s="181">
        <f t="shared" si="843"/>
        <v>221.71522945030736</v>
      </c>
      <c r="Z883" s="169"/>
      <c r="AA883" s="185"/>
      <c r="AC883" s="186"/>
    </row>
    <row r="884" spans="1:29">
      <c r="Z884" s="169"/>
      <c r="AA884" s="185"/>
      <c r="AC884" s="186"/>
    </row>
    <row r="885" spans="1:29">
      <c r="A885" s="68" t="s">
        <v>259</v>
      </c>
      <c r="B885" s="68"/>
      <c r="C885" s="68"/>
      <c r="D885" s="68"/>
      <c r="E885" s="68"/>
      <c r="F885" s="68"/>
      <c r="G885" s="68"/>
      <c r="H885" s="68"/>
      <c r="I885" s="68"/>
      <c r="J885" s="271">
        <f>J882+R845</f>
        <v>0.26264085636976431</v>
      </c>
      <c r="K885" s="271">
        <f t="shared" ref="K885:P885" si="844">K882+S845</f>
        <v>34.454648367802704</v>
      </c>
      <c r="L885" s="271">
        <f t="shared" si="844"/>
        <v>4.4309684690638349</v>
      </c>
      <c r="M885" s="271">
        <f t="shared" si="844"/>
        <v>2.5935908036867081</v>
      </c>
      <c r="N885" s="271">
        <f t="shared" si="844"/>
        <v>6.0551453605961729</v>
      </c>
      <c r="O885" s="271">
        <f t="shared" si="844"/>
        <v>3.8768683976851306E-2</v>
      </c>
      <c r="P885" s="271">
        <f t="shared" si="844"/>
        <v>47.835762541496038</v>
      </c>
      <c r="Z885" s="169"/>
      <c r="AA885" s="185"/>
      <c r="AC885" s="186"/>
    </row>
    <row r="886" spans="1:29">
      <c r="A886" t="s">
        <v>260</v>
      </c>
      <c r="J886" s="90">
        <f>J885/((J862*11.63)+J828)*1000000</f>
        <v>391.41590691199769</v>
      </c>
      <c r="K886" s="90">
        <f t="shared" ref="K886:P886" si="845">K885/((K862*11.63)+K828)*1000000</f>
        <v>312.21820268733592</v>
      </c>
      <c r="L886" s="90">
        <f t="shared" si="845"/>
        <v>1319.1563856179177</v>
      </c>
      <c r="M886" s="90">
        <f t="shared" si="845"/>
        <v>311.53596492069391</v>
      </c>
      <c r="N886" s="90">
        <f t="shared" si="845"/>
        <v>242.60270274142374</v>
      </c>
      <c r="O886" s="90">
        <f t="shared" si="845"/>
        <v>5.1849699479333911</v>
      </c>
      <c r="P886" s="90">
        <f t="shared" si="845"/>
        <v>308.32793093848068</v>
      </c>
      <c r="Z886" s="169"/>
      <c r="AA886" s="185"/>
      <c r="AC886" s="186"/>
    </row>
    <row r="887" spans="1:29">
      <c r="Z887" s="169"/>
      <c r="AA887" s="185"/>
      <c r="AC887" s="186"/>
    </row>
    <row r="888" spans="1:29">
      <c r="A888" s="68" t="s">
        <v>261</v>
      </c>
      <c r="B888" s="68"/>
      <c r="C888" s="68"/>
      <c r="D888" s="68"/>
      <c r="E888" s="68"/>
      <c r="F888" s="68"/>
      <c r="G888" s="68"/>
      <c r="H888" s="68"/>
      <c r="I888" s="68"/>
      <c r="J888" s="266">
        <f>IFERROR((J$883*J862*11.63/1000000+R845)/(J862*11.63+J828)*1000000,"")</f>
        <v>391.41590691199769</v>
      </c>
      <c r="K888" s="266">
        <f t="shared" ref="K888:P888" si="846">IFERROR((K$883*K862*11.63/1000000+S845)/(K862*11.63+K828)*1000000,"")</f>
        <v>312.21820268733592</v>
      </c>
      <c r="L888" s="266">
        <f t="shared" si="846"/>
        <v>1319.1563856179177</v>
      </c>
      <c r="M888" s="266">
        <f t="shared" si="846"/>
        <v>311.53596492069391</v>
      </c>
      <c r="N888" s="266">
        <f t="shared" si="846"/>
        <v>242.60270274142374</v>
      </c>
      <c r="O888" s="266">
        <f t="shared" si="846"/>
        <v>5.1849699479333911</v>
      </c>
      <c r="P888" s="266">
        <f t="shared" si="846"/>
        <v>308.32793093848068</v>
      </c>
      <c r="Q888" s="254"/>
      <c r="R888" s="255">
        <f t="shared" ref="R888:R893" si="847">IFERROR(J888/R868-1,"")</f>
        <v>-7.0332725177750244E-2</v>
      </c>
      <c r="S888" s="255">
        <f t="shared" ref="S888:S893" si="848">IFERROR(K888/S868-1,"")</f>
        <v>-0.11659086434649579</v>
      </c>
      <c r="T888" s="255">
        <f t="shared" ref="T888:T893" si="849">IFERROR(L888/T868-1,"")</f>
        <v>-0.17928203512528773</v>
      </c>
      <c r="U888" s="255">
        <f t="shared" ref="U888:U893" si="850">IFERROR(M888/U868-1,"")</f>
        <v>-0.32631880541381053</v>
      </c>
      <c r="V888" s="255">
        <f t="shared" ref="V888:V893" si="851">IFERROR(N888/V868-1,"")</f>
        <v>-0.24128829265675267</v>
      </c>
      <c r="W888" s="255">
        <f t="shared" ref="W888:W893" si="852">IFERROR(O888/W868-1,"")</f>
        <v>-0.30020885323427626</v>
      </c>
      <c r="X888" s="255">
        <f t="shared" ref="X888:X893" si="853">IFERROR(P888/X868-1,"")</f>
        <v>-0.14796697673689452</v>
      </c>
      <c r="Z888" s="169"/>
      <c r="AA888" s="185"/>
      <c r="AC888" s="186"/>
    </row>
    <row r="889" spans="1:29">
      <c r="A889" s="186" t="s">
        <v>24</v>
      </c>
      <c r="J889" s="181" t="str">
        <f t="shared" ref="J889:P889" si="854">IFERROR((J$883*J863*11.63/1000000+R846)/(J863*11.63+J829)*1000000,"")</f>
        <v/>
      </c>
      <c r="K889" s="181">
        <f t="shared" si="854"/>
        <v>281.48384929497723</v>
      </c>
      <c r="L889" s="181">
        <f t="shared" si="854"/>
        <v>1120.8384593231908</v>
      </c>
      <c r="M889" s="181">
        <f t="shared" si="854"/>
        <v>385.00942008401785</v>
      </c>
      <c r="N889" s="181">
        <f t="shared" si="854"/>
        <v>225.97972664796288</v>
      </c>
      <c r="O889" s="181">
        <f t="shared" si="854"/>
        <v>5.1903252464307927</v>
      </c>
      <c r="P889" s="181">
        <f t="shared" si="854"/>
        <v>220.55405552226065</v>
      </c>
      <c r="Q889" s="254"/>
      <c r="R889" s="254" t="str">
        <f t="shared" si="847"/>
        <v/>
      </c>
      <c r="S889" s="254">
        <f t="shared" si="848"/>
        <v>-0.13156593240184233</v>
      </c>
      <c r="T889" s="254">
        <f t="shared" si="849"/>
        <v>-0.1507804930954072</v>
      </c>
      <c r="U889" s="254">
        <f t="shared" si="850"/>
        <v>-0.1951237778132886</v>
      </c>
      <c r="V889" s="254">
        <f t="shared" si="851"/>
        <v>-0.25334247648795027</v>
      </c>
      <c r="W889" s="254">
        <f t="shared" si="852"/>
        <v>-0.29895415571814377</v>
      </c>
      <c r="X889" s="254">
        <f t="shared" si="853"/>
        <v>3.9780789861538768E-3</v>
      </c>
      <c r="Z889" s="169"/>
      <c r="AA889" s="185"/>
      <c r="AC889" s="186"/>
    </row>
    <row r="890" spans="1:29">
      <c r="A890" s="186" t="s">
        <v>25</v>
      </c>
      <c r="J890" s="181" t="str">
        <f t="shared" ref="J890:P890" si="855">IFERROR((J$883*J864*11.63/1000000+R847)/(J864*11.63+J830)*1000000,"")</f>
        <v/>
      </c>
      <c r="K890" s="181">
        <f t="shared" si="855"/>
        <v>279.34490095799987</v>
      </c>
      <c r="L890" s="181">
        <f t="shared" si="855"/>
        <v>866.77793208540561</v>
      </c>
      <c r="M890" s="181">
        <f t="shared" si="855"/>
        <v>290.13590238529349</v>
      </c>
      <c r="N890" s="181">
        <f t="shared" si="855"/>
        <v>190.2055272502792</v>
      </c>
      <c r="O890" s="181">
        <f t="shared" si="855"/>
        <v>3.330163779596842</v>
      </c>
      <c r="P890" s="181">
        <f t="shared" si="855"/>
        <v>272.66566075108369</v>
      </c>
      <c r="Q890" s="254"/>
      <c r="R890" s="254" t="str">
        <f t="shared" si="847"/>
        <v/>
      </c>
      <c r="S890" s="254">
        <f t="shared" si="848"/>
        <v>-0.19001337784318828</v>
      </c>
      <c r="T890" s="254">
        <f t="shared" si="849"/>
        <v>0</v>
      </c>
      <c r="U890" s="254">
        <f t="shared" si="850"/>
        <v>-0.1998017312190643</v>
      </c>
      <c r="V890" s="254">
        <f t="shared" si="851"/>
        <v>-0.46629294317021286</v>
      </c>
      <c r="W890" s="254">
        <f t="shared" si="852"/>
        <v>-0.58933258977565495</v>
      </c>
      <c r="X890" s="254">
        <f t="shared" si="853"/>
        <v>-0.21231719555905026</v>
      </c>
      <c r="Z890" s="169"/>
      <c r="AA890" s="185"/>
      <c r="AC890" s="186"/>
    </row>
    <row r="891" spans="1:29">
      <c r="A891" s="186" t="s">
        <v>26</v>
      </c>
      <c r="J891" s="181">
        <f t="shared" ref="J891:P891" si="856">IFERROR((J$883*J865*11.63/1000000+R848)/(J865*11.63+J831)*1000000,"")</f>
        <v>391.12476797077727</v>
      </c>
      <c r="K891" s="181">
        <f t="shared" si="856"/>
        <v>322.92109115322847</v>
      </c>
      <c r="L891" s="181">
        <f t="shared" si="856"/>
        <v>1290.9284012035023</v>
      </c>
      <c r="M891" s="181">
        <f t="shared" si="856"/>
        <v>331.35744302848167</v>
      </c>
      <c r="N891" s="181">
        <f t="shared" si="856"/>
        <v>221.60935506096499</v>
      </c>
      <c r="O891" s="181">
        <f t="shared" si="856"/>
        <v>5.3880818349385571</v>
      </c>
      <c r="P891" s="181">
        <f t="shared" si="856"/>
        <v>321.85284619299404</v>
      </c>
      <c r="Q891" s="254"/>
      <c r="R891" s="254">
        <f t="shared" si="847"/>
        <v>-5.9980452692040109E-2</v>
      </c>
      <c r="S891" s="254">
        <f t="shared" si="848"/>
        <v>-9.4089298660138931E-2</v>
      </c>
      <c r="T891" s="254">
        <f t="shared" si="849"/>
        <v>-0.15479055434838163</v>
      </c>
      <c r="U891" s="254">
        <f t="shared" si="850"/>
        <v>-0.29159262240106454</v>
      </c>
      <c r="V891" s="254">
        <f t="shared" si="851"/>
        <v>-8.572753017437984E-2</v>
      </c>
      <c r="W891" s="254">
        <f t="shared" si="852"/>
        <v>-0.33980967000727447</v>
      </c>
      <c r="X891" s="254">
        <f t="shared" si="853"/>
        <v>-0.11034455394054887</v>
      </c>
      <c r="Z891" s="169"/>
      <c r="AA891" s="185"/>
      <c r="AC891" s="186"/>
    </row>
    <row r="892" spans="1:29">
      <c r="A892" s="186" t="s">
        <v>27</v>
      </c>
      <c r="J892" s="181">
        <f t="shared" ref="J892:P892" si="857">IFERROR((J$883*J866*11.63/1000000+R849)/(J866*11.63+J832)*1000000,"")</f>
        <v>392.80062635489696</v>
      </c>
      <c r="K892" s="181">
        <f t="shared" si="857"/>
        <v>245.40664985081057</v>
      </c>
      <c r="L892" s="181" t="str">
        <f t="shared" si="857"/>
        <v/>
      </c>
      <c r="M892" s="181">
        <f t="shared" si="857"/>
        <v>258.48524715612751</v>
      </c>
      <c r="N892" s="181">
        <f t="shared" si="857"/>
        <v>183.28173814394552</v>
      </c>
      <c r="O892" s="181">
        <f t="shared" si="857"/>
        <v>1.3782437424801901</v>
      </c>
      <c r="P892" s="181">
        <f t="shared" si="857"/>
        <v>233.84328052362892</v>
      </c>
      <c r="Q892" s="254"/>
      <c r="R892" s="254">
        <f t="shared" si="847"/>
        <v>-0.17395864426182062</v>
      </c>
      <c r="S892" s="254">
        <f t="shared" si="848"/>
        <v>-0.13153340932627122</v>
      </c>
      <c r="T892" s="254" t="str">
        <f t="shared" si="849"/>
        <v/>
      </c>
      <c r="U892" s="254">
        <f t="shared" si="850"/>
        <v>-0.22634000257479092</v>
      </c>
      <c r="V892" s="254">
        <f t="shared" si="851"/>
        <v>-0.22618689232234501</v>
      </c>
      <c r="W892" s="254">
        <f t="shared" si="852"/>
        <v>-0.72225534021463988</v>
      </c>
      <c r="X892" s="254">
        <f t="shared" si="853"/>
        <v>-0.14110458692495398</v>
      </c>
      <c r="Z892" s="169"/>
      <c r="AA892" s="185"/>
      <c r="AC892" s="186"/>
    </row>
    <row r="893" spans="1:29">
      <c r="A893" s="186" t="s">
        <v>28</v>
      </c>
      <c r="J893" s="181" t="str">
        <f t="shared" ref="J893:P893" si="858">IFERROR((J$883*J867*11.63/1000000+R850)/(J867*11.63+J833)*1000000,"")</f>
        <v/>
      </c>
      <c r="K893" s="181">
        <f t="shared" si="858"/>
        <v>352.93894877493796</v>
      </c>
      <c r="L893" s="181">
        <f t="shared" si="858"/>
        <v>1362.9723734263546</v>
      </c>
      <c r="M893" s="181">
        <f t="shared" si="858"/>
        <v>331.54366847094428</v>
      </c>
      <c r="N893" s="181">
        <f t="shared" si="858"/>
        <v>281.50366150828194</v>
      </c>
      <c r="O893" s="181">
        <f t="shared" si="858"/>
        <v>3.0911888319764627</v>
      </c>
      <c r="P893" s="181">
        <f t="shared" si="858"/>
        <v>427.68408382799453</v>
      </c>
      <c r="Q893" s="254"/>
      <c r="R893" s="254" t="str">
        <f t="shared" si="847"/>
        <v/>
      </c>
      <c r="S893" s="254">
        <f t="shared" si="848"/>
        <v>-0.27252286294221151</v>
      </c>
      <c r="T893" s="254">
        <f t="shared" si="849"/>
        <v>-0.19995628251717656</v>
      </c>
      <c r="U893" s="254">
        <f t="shared" si="850"/>
        <v>-0.46660803183084587</v>
      </c>
      <c r="V893" s="254">
        <f t="shared" si="851"/>
        <v>-0.44785703687110978</v>
      </c>
      <c r="W893" s="254">
        <f t="shared" si="852"/>
        <v>-0.71270399751546387</v>
      </c>
      <c r="X893" s="254">
        <f t="shared" si="853"/>
        <v>-0.42767474919983217</v>
      </c>
      <c r="Z893" s="169"/>
      <c r="AA893" s="185"/>
      <c r="AC893" s="186"/>
    </row>
    <row r="894" spans="1:29">
      <c r="Z894" s="169"/>
      <c r="AA894" s="185"/>
      <c r="AC894" s="186"/>
    </row>
    <row r="895" spans="1:29">
      <c r="Z895" s="169"/>
      <c r="AA895" s="185"/>
      <c r="AC895" s="186"/>
    </row>
    <row r="896" spans="1:29">
      <c r="Z896" s="169"/>
      <c r="AA896" s="185"/>
      <c r="AC896" s="186"/>
    </row>
    <row r="897" spans="1:43">
      <c r="Z897" s="169"/>
      <c r="AA897" s="185"/>
      <c r="AC897" s="186"/>
    </row>
    <row r="898" spans="1:43">
      <c r="Z898" s="169"/>
      <c r="AA898" s="185"/>
      <c r="AC898" s="186"/>
    </row>
    <row r="899" spans="1:43">
      <c r="Z899" s="169"/>
      <c r="AA899" s="185"/>
      <c r="AC899" s="186"/>
    </row>
    <row r="900" spans="1:43">
      <c r="Z900" s="169"/>
      <c r="AA900" s="185"/>
      <c r="AC900" s="186"/>
    </row>
    <row r="901" spans="1:43">
      <c r="Z901" s="169"/>
      <c r="AA901" s="185"/>
      <c r="AC901" s="186"/>
    </row>
    <row r="902" spans="1:43">
      <c r="J902" s="254">
        <f t="shared" ref="J902:P902" si="859">J912/J918</f>
        <v>3.2626977557501774E-3</v>
      </c>
      <c r="K902" s="254">
        <f t="shared" si="859"/>
        <v>0.56768851432926271</v>
      </c>
      <c r="L902" s="254">
        <f t="shared" si="859"/>
        <v>0.79822883532184263</v>
      </c>
      <c r="M902" s="254">
        <f t="shared" si="859"/>
        <v>0.49832203757626536</v>
      </c>
      <c r="N902" s="254">
        <f t="shared" si="859"/>
        <v>0.72122971722437679</v>
      </c>
      <c r="O902" s="254">
        <f t="shared" si="859"/>
        <v>0.28349048839560753</v>
      </c>
      <c r="P902" s="254">
        <f t="shared" si="859"/>
        <v>0.48202915764258919</v>
      </c>
    </row>
    <row r="903" spans="1:43">
      <c r="J903" s="166">
        <f>J952*((J912/11.63)/((J912/11.63)+J946))*41.868</f>
        <v>604.47192223242746</v>
      </c>
      <c r="K903" s="166">
        <f t="shared" ref="K903:P903" si="860">K952*((K912/11.63)/((K912/11.63)+K946))*41.868</f>
        <v>501681.31924064824</v>
      </c>
      <c r="L903" s="166">
        <f t="shared" si="860"/>
        <v>32253.578515503217</v>
      </c>
      <c r="M903" s="166">
        <f t="shared" si="860"/>
        <v>24585.970019192639</v>
      </c>
      <c r="N903" s="166">
        <f t="shared" si="860"/>
        <v>115391.91465394583</v>
      </c>
      <c r="O903" s="166">
        <f t="shared" si="860"/>
        <v>4211.6901928777352</v>
      </c>
      <c r="P903" s="166">
        <f t="shared" si="860"/>
        <v>667791.89786782733</v>
      </c>
    </row>
    <row r="904" spans="1:43">
      <c r="A904" s="68" t="s">
        <v>217</v>
      </c>
      <c r="J904" s="68" t="s">
        <v>175</v>
      </c>
      <c r="R904" s="68" t="s">
        <v>122</v>
      </c>
      <c r="S904" s="68"/>
      <c r="AA904" s="68" t="s">
        <v>194</v>
      </c>
      <c r="AB904" s="183" t="s">
        <v>193</v>
      </c>
      <c r="AJ904" s="68" t="s">
        <v>264</v>
      </c>
    </row>
    <row r="905" spans="1:43" ht="15.5">
      <c r="A905" s="68"/>
      <c r="J905" s="180" t="s">
        <v>5</v>
      </c>
      <c r="K905" s="180" t="s">
        <v>186</v>
      </c>
      <c r="L905" s="180" t="s">
        <v>187</v>
      </c>
      <c r="M905" s="180" t="s">
        <v>190</v>
      </c>
      <c r="N905" s="180" t="s">
        <v>192</v>
      </c>
      <c r="O905" s="180" t="s">
        <v>191</v>
      </c>
      <c r="P905" s="180" t="s">
        <v>189</v>
      </c>
      <c r="Q905" s="2"/>
      <c r="R905" s="180" t="s">
        <v>5</v>
      </c>
      <c r="S905" s="180" t="s">
        <v>186</v>
      </c>
      <c r="T905" s="180" t="s">
        <v>187</v>
      </c>
      <c r="U905" s="180" t="s">
        <v>190</v>
      </c>
      <c r="V905" s="180" t="s">
        <v>192</v>
      </c>
      <c r="W905" s="180" t="s">
        <v>191</v>
      </c>
      <c r="X905" s="180" t="s">
        <v>189</v>
      </c>
      <c r="AA905" s="68" t="s">
        <v>5</v>
      </c>
      <c r="AJ905" s="68"/>
      <c r="AK905" s="180" t="s">
        <v>5</v>
      </c>
      <c r="AL905" s="180" t="s">
        <v>186</v>
      </c>
      <c r="AM905" s="180" t="s">
        <v>187</v>
      </c>
      <c r="AN905" s="180" t="s">
        <v>190</v>
      </c>
      <c r="AO905" s="180" t="s">
        <v>192</v>
      </c>
      <c r="AP905" s="180" t="s">
        <v>191</v>
      </c>
      <c r="AQ905" s="180" t="s">
        <v>189</v>
      </c>
    </row>
    <row r="906" spans="1:43" ht="15.5">
      <c r="A906" s="11" t="s">
        <v>16</v>
      </c>
      <c r="J906" s="179">
        <f t="shared" ref="J906:P906" si="861">SUM(J907:J911)</f>
        <v>39604.35</v>
      </c>
      <c r="K906" s="179">
        <f t="shared" si="861"/>
        <v>66029.7</v>
      </c>
      <c r="L906" s="179">
        <f t="shared" si="861"/>
        <v>954.65</v>
      </c>
      <c r="M906" s="179">
        <f t="shared" si="861"/>
        <v>4970.5499999999993</v>
      </c>
      <c r="N906" s="179">
        <f t="shared" si="861"/>
        <v>5919.4500000000007</v>
      </c>
      <c r="O906" s="179">
        <f t="shared" si="861"/>
        <v>1523.55</v>
      </c>
      <c r="P906" s="179">
        <f t="shared" si="861"/>
        <v>119002.24999999999</v>
      </c>
      <c r="Q906" s="2"/>
      <c r="R906" s="206">
        <v>9.4998491999999999</v>
      </c>
      <c r="S906" s="206">
        <v>7.0589447999999999</v>
      </c>
      <c r="T906" s="206">
        <v>9.8096724000000002</v>
      </c>
      <c r="U906" s="206">
        <v>10.513054800000001</v>
      </c>
      <c r="V906" s="206">
        <v>12.732058799999999</v>
      </c>
      <c r="W906" s="206">
        <v>10.299527999999999</v>
      </c>
      <c r="X906" s="206">
        <v>8.3610395999999998</v>
      </c>
      <c r="Z906" s="169">
        <f>AA906*AB906</f>
        <v>822240.92600614368</v>
      </c>
      <c r="AA906">
        <v>8775.5</v>
      </c>
      <c r="AB906" s="90">
        <v>93.697330751084692</v>
      </c>
      <c r="AC906" s="186" t="s">
        <v>58</v>
      </c>
      <c r="AJ906" s="11" t="s">
        <v>16</v>
      </c>
      <c r="AK906" s="256">
        <f>IFERROR(J906*3.6/J923,"")</f>
        <v>0.37897130345074431</v>
      </c>
      <c r="AL906" s="256">
        <f t="shared" ref="AL906:AL918" si="862">IFERROR(K906*3.6/K923,"")</f>
        <v>0.51003513648154264</v>
      </c>
      <c r="AM906" s="256">
        <f t="shared" ref="AM906:AM918" si="863">IFERROR(L906*3.6/L923,"")</f>
        <v>0.36701009939913076</v>
      </c>
      <c r="AN906" s="256">
        <f t="shared" ref="AN906:AN918" si="864">IFERROR(M906*3.6/M923,"")</f>
        <v>0.34234797074739698</v>
      </c>
      <c r="AO906" s="256">
        <f t="shared" ref="AO906:AO918" si="865">IFERROR(N906*3.6/N923,"")</f>
        <v>0.28280815410649157</v>
      </c>
      <c r="AP906" s="256">
        <f t="shared" ref="AP906:AP915" si="866">IFERROR(O906*3.6/O923,"")</f>
        <v>0.34945598535146633</v>
      </c>
      <c r="AQ906" s="256">
        <f t="shared" ref="AQ906:AQ918" si="867">IFERROR(P906*3.6/P923,"")</f>
        <v>0.43057963884183692</v>
      </c>
    </row>
    <row r="907" spans="1:43" ht="15.5">
      <c r="A907" s="10" t="s">
        <v>17</v>
      </c>
      <c r="K907">
        <v>149.69999999999999</v>
      </c>
      <c r="L907">
        <v>31.5</v>
      </c>
      <c r="M907" s="147">
        <v>275.75</v>
      </c>
      <c r="N907" s="147">
        <v>1078.55</v>
      </c>
      <c r="O907" s="147">
        <v>1511.55</v>
      </c>
      <c r="P907" s="68">
        <f>SUM(J907:O907)</f>
        <v>3047.05</v>
      </c>
      <c r="Q907" s="2"/>
      <c r="R907" s="171"/>
      <c r="S907" s="171">
        <v>10.273999999999999</v>
      </c>
      <c r="T907" s="171">
        <v>9.0351143999999994</v>
      </c>
      <c r="U907" s="171">
        <v>9.5710248</v>
      </c>
      <c r="V907" s="171">
        <v>8.8130000000000006</v>
      </c>
      <c r="W907" s="171">
        <v>10.294499999999999</v>
      </c>
      <c r="X907" s="206">
        <v>9.6882552000000004</v>
      </c>
      <c r="Z907" s="169">
        <f>AA907*AB907</f>
        <v>4872.2611990564037</v>
      </c>
      <c r="AA907">
        <v>52</v>
      </c>
      <c r="AB907" s="90">
        <v>93.697330751084692</v>
      </c>
      <c r="AC907" s="186" t="s">
        <v>59</v>
      </c>
      <c r="AJ907" s="10" t="s">
        <v>17</v>
      </c>
      <c r="AK907" s="56" t="str">
        <f t="shared" ref="AK907:AK918" si="868">IFERROR(J907*3.6/J924,"")</f>
        <v/>
      </c>
      <c r="AL907" s="56">
        <f t="shared" si="862"/>
        <v>0.35039906560249173</v>
      </c>
      <c r="AM907" s="56">
        <f t="shared" si="863"/>
        <v>0.39844542532853822</v>
      </c>
      <c r="AN907" s="56">
        <f t="shared" si="864"/>
        <v>0.37613527027952121</v>
      </c>
      <c r="AO907" s="56">
        <f t="shared" si="865"/>
        <v>0.40848746170430045</v>
      </c>
      <c r="AP907" s="56">
        <f t="shared" si="866"/>
        <v>0.34970129680897571</v>
      </c>
      <c r="AQ907" s="256">
        <f t="shared" si="867"/>
        <v>0.37149397623218244</v>
      </c>
    </row>
    <row r="908" spans="1:43" ht="15.5">
      <c r="A908" s="10" t="s">
        <v>18</v>
      </c>
      <c r="K908">
        <v>283.3</v>
      </c>
      <c r="M908">
        <v>33.5</v>
      </c>
      <c r="N908">
        <v>28.1</v>
      </c>
      <c r="O908">
        <v>12</v>
      </c>
      <c r="P908" s="68">
        <f>SUM(J908:O908)</f>
        <v>356.90000000000003</v>
      </c>
      <c r="Q908" s="2"/>
      <c r="R908" s="171"/>
      <c r="S908" s="171">
        <v>12.769</v>
      </c>
      <c r="T908" s="171"/>
      <c r="U908" s="171">
        <v>17.203561199999999</v>
      </c>
      <c r="V908" s="171">
        <v>13.100490000000001</v>
      </c>
      <c r="W908" s="171">
        <v>11.212</v>
      </c>
      <c r="X908" s="206">
        <v>13.159112399999998</v>
      </c>
      <c r="Z908" s="169">
        <f>AA908*AB908</f>
        <v>0</v>
      </c>
      <c r="AA908">
        <v>0</v>
      </c>
      <c r="AB908" s="90">
        <v>101</v>
      </c>
      <c r="AC908" s="186" t="s">
        <v>60</v>
      </c>
      <c r="AJ908" s="10" t="s">
        <v>18</v>
      </c>
      <c r="AK908" s="56" t="str">
        <f t="shared" si="868"/>
        <v/>
      </c>
      <c r="AL908" s="56">
        <f t="shared" si="862"/>
        <v>0.28193280601456655</v>
      </c>
      <c r="AM908" s="56" t="str">
        <f t="shared" si="863"/>
        <v/>
      </c>
      <c r="AN908" s="56">
        <f t="shared" si="864"/>
        <v>0.20925899923557692</v>
      </c>
      <c r="AO908" s="56">
        <f t="shared" si="865"/>
        <v>0.27479888156855203</v>
      </c>
      <c r="AP908" s="56">
        <f t="shared" si="866"/>
        <v>0.32108455226542998</v>
      </c>
      <c r="AQ908" s="256">
        <f t="shared" si="867"/>
        <v>0.27357715530398152</v>
      </c>
    </row>
    <row r="909" spans="1:43" ht="15.5">
      <c r="A909" s="10" t="s">
        <v>19</v>
      </c>
      <c r="J909" s="147">
        <v>39604.35</v>
      </c>
      <c r="K909" s="147">
        <v>3561.15</v>
      </c>
      <c r="L909" s="147">
        <v>837.75</v>
      </c>
      <c r="M909" s="147">
        <v>4506.45</v>
      </c>
      <c r="N909" s="147">
        <v>3609.15</v>
      </c>
      <c r="P909" s="68">
        <f>SUM(J909:O909)</f>
        <v>52118.85</v>
      </c>
      <c r="Q909" s="2"/>
      <c r="R909" s="171">
        <v>9.4993999999999996</v>
      </c>
      <c r="S909" s="171">
        <v>9.8635000000000002</v>
      </c>
      <c r="T909" s="171">
        <v>9.8384999999999998</v>
      </c>
      <c r="U909" s="171">
        <v>10.521000000000001</v>
      </c>
      <c r="V909" s="171">
        <v>15.675000000000001</v>
      </c>
      <c r="W909" s="171"/>
      <c r="X909" s="206">
        <v>10.044133199999999</v>
      </c>
      <c r="Z909" s="169">
        <f>AA909*AB909</f>
        <v>16993.48</v>
      </c>
      <c r="AA909">
        <v>177.2</v>
      </c>
      <c r="AB909" s="244">
        <v>95.9</v>
      </c>
      <c r="AC909" s="186" t="s">
        <v>61</v>
      </c>
      <c r="AJ909" s="10" t="s">
        <v>19</v>
      </c>
      <c r="AK909" s="56">
        <f t="shared" si="868"/>
        <v>0.37897130345074431</v>
      </c>
      <c r="AL909" s="56">
        <f t="shared" si="862"/>
        <v>0.36498200435950734</v>
      </c>
      <c r="AM909" s="56">
        <f t="shared" si="863"/>
        <v>0.36590943741424004</v>
      </c>
      <c r="AN909" s="56">
        <f t="shared" si="864"/>
        <v>0.34217279726261762</v>
      </c>
      <c r="AO909" s="56">
        <f t="shared" si="865"/>
        <v>0.22966507177033493</v>
      </c>
      <c r="AP909" s="56" t="str">
        <f t="shared" si="866"/>
        <v/>
      </c>
      <c r="AQ909" s="256">
        <f t="shared" si="867"/>
        <v>0.35836185722793329</v>
      </c>
    </row>
    <row r="910" spans="1:43" ht="15.5">
      <c r="A910" s="10" t="s">
        <v>20</v>
      </c>
      <c r="K910" s="170">
        <v>61276.5</v>
      </c>
      <c r="L910">
        <v>85.4</v>
      </c>
      <c r="M910">
        <v>2.2000000000000002</v>
      </c>
      <c r="N910" s="147">
        <v>1203.6500000000001</v>
      </c>
      <c r="P910" s="68">
        <f>SUM(J910:O910)</f>
        <v>62567.75</v>
      </c>
      <c r="Q910" s="2"/>
      <c r="R910" s="171"/>
      <c r="S910" s="171">
        <v>6.8235000000000001</v>
      </c>
      <c r="T910" s="171">
        <v>9.8049999999999997</v>
      </c>
      <c r="U910" s="171">
        <v>28.424185199999997</v>
      </c>
      <c r="V910" s="171">
        <v>7.3980755999999994</v>
      </c>
      <c r="W910" s="171"/>
      <c r="X910" s="206">
        <v>6.8370443999999999</v>
      </c>
      <c r="AA910" s="68" t="s">
        <v>186</v>
      </c>
      <c r="AB910" s="90"/>
      <c r="AJ910" s="10" t="s">
        <v>20</v>
      </c>
      <c r="AK910" s="56" t="str">
        <f t="shared" si="868"/>
        <v/>
      </c>
      <c r="AL910" s="56">
        <f t="shared" si="862"/>
        <v>0.5275884809848318</v>
      </c>
      <c r="AM910" s="56">
        <f t="shared" si="863"/>
        <v>0.3671596124426314</v>
      </c>
      <c r="AN910" s="56">
        <f>IFERROR(M910*3.6/M927,"")</f>
        <v>0.12665270700530057</v>
      </c>
      <c r="AO910" s="56">
        <f t="shared" si="865"/>
        <v>0.48661303217826007</v>
      </c>
      <c r="AP910" s="56" t="str">
        <f t="shared" si="866"/>
        <v/>
      </c>
      <c r="AQ910" s="256">
        <f t="shared" si="867"/>
        <v>0.52636331177959483</v>
      </c>
    </row>
    <row r="911" spans="1:43" ht="15.5">
      <c r="A911" s="10" t="s">
        <v>22</v>
      </c>
      <c r="K911" s="147">
        <v>759.05</v>
      </c>
      <c r="M911" s="147">
        <v>152.65</v>
      </c>
      <c r="P911" s="68">
        <f>SUM(J911:O911)</f>
        <v>911.69999999999993</v>
      </c>
      <c r="Q911" s="2"/>
      <c r="R911" s="171"/>
      <c r="S911" s="171">
        <v>10.09</v>
      </c>
      <c r="T911" s="171"/>
      <c r="U911" s="171">
        <v>10.337209199999998</v>
      </c>
      <c r="V911" s="171"/>
      <c r="W911" s="171"/>
      <c r="X911" s="206">
        <v>10.132055999999999</v>
      </c>
      <c r="AA911">
        <v>24618.1</v>
      </c>
      <c r="AB911" s="90">
        <v>57.488105368569357</v>
      </c>
      <c r="AC911" s="186" t="s">
        <v>62</v>
      </c>
      <c r="AJ911" s="10" t="s">
        <v>22</v>
      </c>
      <c r="AK911" s="56" t="str">
        <f t="shared" si="868"/>
        <v/>
      </c>
      <c r="AL911" s="56">
        <f t="shared" si="862"/>
        <v>0.35678889990089196</v>
      </c>
      <c r="AM911" s="56" t="str">
        <f t="shared" si="863"/>
        <v/>
      </c>
      <c r="AN911" s="56">
        <f t="shared" si="864"/>
        <v>0.34825647138881555</v>
      </c>
      <c r="AO911" s="56" t="str">
        <f t="shared" si="865"/>
        <v/>
      </c>
      <c r="AP911" s="56" t="str">
        <f t="shared" si="866"/>
        <v/>
      </c>
      <c r="AQ911" s="256">
        <f t="shared" si="867"/>
        <v>0.35533125503729135</v>
      </c>
    </row>
    <row r="912" spans="1:43" ht="15.5">
      <c r="A912" s="11" t="s">
        <v>23</v>
      </c>
      <c r="J912" s="179">
        <f t="shared" ref="J912:P912" si="869">SUM(J913:J917)</f>
        <v>129.63999999999999</v>
      </c>
      <c r="K912" s="179">
        <f t="shared" si="869"/>
        <v>86706.700000000012</v>
      </c>
      <c r="L912" s="179">
        <f t="shared" si="869"/>
        <v>3776.7</v>
      </c>
      <c r="M912" s="179">
        <f t="shared" si="869"/>
        <v>4937.3</v>
      </c>
      <c r="N912" s="179">
        <f t="shared" si="869"/>
        <v>15314.7</v>
      </c>
      <c r="O912" s="179">
        <f t="shared" si="869"/>
        <v>602.80000000000007</v>
      </c>
      <c r="P912" s="179">
        <f t="shared" si="869"/>
        <v>111467.84</v>
      </c>
      <c r="Q912" s="2"/>
      <c r="R912" s="206">
        <v>6.2006508</v>
      </c>
      <c r="S912" s="206">
        <v>6.5146607999999997</v>
      </c>
      <c r="T912" s="206">
        <v>8.8634556</v>
      </c>
      <c r="U912" s="206">
        <v>7.6618440000000003</v>
      </c>
      <c r="V912" s="206">
        <v>8.8802027999999993</v>
      </c>
      <c r="W912" s="206">
        <v>8.390347199999999</v>
      </c>
      <c r="X912" s="206">
        <v>6.9793956000000001</v>
      </c>
      <c r="Z912" s="169"/>
      <c r="AA912" s="179" t="s">
        <v>213</v>
      </c>
      <c r="AB912" s="90"/>
      <c r="AJ912" s="11" t="s">
        <v>23</v>
      </c>
      <c r="AK912" s="256">
        <f t="shared" si="868"/>
        <v>0.58056687016837316</v>
      </c>
      <c r="AL912" s="256">
        <f t="shared" si="862"/>
        <v>0.55282763608296626</v>
      </c>
      <c r="AM912" s="256">
        <f t="shared" si="863"/>
        <v>0.40611368691594391</v>
      </c>
      <c r="AN912" s="256">
        <f t="shared" si="864"/>
        <v>0.47002039012596691</v>
      </c>
      <c r="AO912" s="256">
        <f t="shared" si="865"/>
        <v>0.4053118802898143</v>
      </c>
      <c r="AP912" s="256">
        <f t="shared" si="866"/>
        <v>0.42906885374928438</v>
      </c>
      <c r="AQ912" s="256">
        <f t="shared" si="867"/>
        <v>0.51591288069829488</v>
      </c>
    </row>
    <row r="913" spans="1:43" ht="15.5">
      <c r="A913" s="10" t="s">
        <v>24</v>
      </c>
      <c r="K913">
        <v>3898.9</v>
      </c>
      <c r="L913">
        <v>148</v>
      </c>
      <c r="M913">
        <v>68.3</v>
      </c>
      <c r="N913">
        <v>978.2</v>
      </c>
      <c r="O913">
        <v>503.8</v>
      </c>
      <c r="P913" s="68">
        <f>SUM(J913:O913)</f>
        <v>5597.2</v>
      </c>
      <c r="Q913" s="2"/>
      <c r="R913" s="171"/>
      <c r="S913" s="171">
        <v>6.5021003999999998</v>
      </c>
      <c r="T913" s="171">
        <v>9.1230371999999988</v>
      </c>
      <c r="U913" s="171">
        <v>6.3723095999999995</v>
      </c>
      <c r="V913" s="171">
        <v>7.1384939999999997</v>
      </c>
      <c r="W913" s="171">
        <v>7.7748875999999996</v>
      </c>
      <c r="X913" s="206">
        <v>6.7951763999999999</v>
      </c>
      <c r="Z913" s="169">
        <f>AA913*AB913</f>
        <v>11210.967198407834</v>
      </c>
      <c r="AA913">
        <v>56.9</v>
      </c>
      <c r="AB913" s="90">
        <v>197.02930049925894</v>
      </c>
      <c r="AC913" s="186" t="s">
        <v>140</v>
      </c>
      <c r="AJ913" s="10" t="s">
        <v>24</v>
      </c>
      <c r="AK913" s="56" t="str">
        <f t="shared" si="868"/>
        <v/>
      </c>
      <c r="AL913" s="56">
        <f t="shared" si="862"/>
        <v>0.55366724266515488</v>
      </c>
      <c r="AM913" s="56">
        <f t="shared" si="863"/>
        <v>0.39460542811334814</v>
      </c>
      <c r="AN913" s="56">
        <f t="shared" si="864"/>
        <v>0.56494430214125202</v>
      </c>
      <c r="AO913" s="56">
        <f t="shared" si="865"/>
        <v>0.50430805153019675</v>
      </c>
      <c r="AP913" s="56">
        <f t="shared" si="866"/>
        <v>0.46302920186267388</v>
      </c>
      <c r="AQ913" s="256">
        <f t="shared" si="867"/>
        <v>0.52975443028370783</v>
      </c>
    </row>
    <row r="914" spans="1:43" ht="15.5">
      <c r="A914" s="10" t="s">
        <v>25</v>
      </c>
      <c r="K914">
        <v>3306.4</v>
      </c>
      <c r="L914">
        <v>0.3</v>
      </c>
      <c r="M914">
        <v>528.79999999999995</v>
      </c>
      <c r="O914">
        <v>1.3</v>
      </c>
      <c r="P914" s="68">
        <f>SUM(J914:O914)</f>
        <v>3836.8</v>
      </c>
      <c r="Q914" s="2"/>
      <c r="R914" s="171"/>
      <c r="S914" s="171">
        <v>6.1169148</v>
      </c>
      <c r="T914" s="171">
        <v>4.8734351999999994</v>
      </c>
      <c r="U914" s="171">
        <v>6.5607156</v>
      </c>
      <c r="V914" s="171"/>
      <c r="W914" s="171">
        <v>6.4769795999999991</v>
      </c>
      <c r="X914" s="206">
        <v>6.1797167999999996</v>
      </c>
      <c r="Z914" s="169">
        <f>AA914*AB914</f>
        <v>161435.23831923329</v>
      </c>
      <c r="AA914">
        <v>627.20000000000005</v>
      </c>
      <c r="AB914" s="90">
        <v>257.3903672181653</v>
      </c>
      <c r="AC914" s="186" t="s">
        <v>141</v>
      </c>
      <c r="AJ914" s="10" t="s">
        <v>25</v>
      </c>
      <c r="AK914" s="56" t="str">
        <f t="shared" si="868"/>
        <v/>
      </c>
      <c r="AL914" s="56">
        <f t="shared" si="862"/>
        <v>0.58853198347637614</v>
      </c>
      <c r="AM914" s="56">
        <f t="shared" si="863"/>
        <v>0.73869864936338958</v>
      </c>
      <c r="AN914" s="56">
        <f t="shared" si="864"/>
        <v>0.54872063041415786</v>
      </c>
      <c r="AO914" s="56" t="str">
        <f t="shared" si="865"/>
        <v/>
      </c>
      <c r="AP914" s="56">
        <f t="shared" si="866"/>
        <v>0.55581462692888528</v>
      </c>
      <c r="AQ914" s="256">
        <f t="shared" si="867"/>
        <v>0.58270289093592809</v>
      </c>
    </row>
    <row r="915" spans="1:43" ht="15.5">
      <c r="A915" s="10" t="s">
        <v>26</v>
      </c>
      <c r="J915">
        <v>112.94</v>
      </c>
      <c r="K915" s="147">
        <v>77578.600000000006</v>
      </c>
      <c r="L915" s="147">
        <v>3552.7</v>
      </c>
      <c r="M915">
        <v>1791.2</v>
      </c>
      <c r="N915" s="147">
        <v>11221.7</v>
      </c>
      <c r="O915">
        <v>0.8</v>
      </c>
      <c r="P915" s="68">
        <f>SUM(J915:O915)</f>
        <v>94257.94</v>
      </c>
      <c r="Q915" s="2"/>
      <c r="R915" s="171">
        <v>6.4063999999999997</v>
      </c>
      <c r="S915" s="171">
        <v>6.4895350000000001</v>
      </c>
      <c r="T915" s="171">
        <v>8.6708628000000001</v>
      </c>
      <c r="U915" s="171">
        <v>6.7072536000000005</v>
      </c>
      <c r="V915" s="171">
        <v>7.2096695999999998</v>
      </c>
      <c r="W915" s="171">
        <v>21.093098399999999</v>
      </c>
      <c r="X915" s="206">
        <v>6.6611987999999993</v>
      </c>
      <c r="Z915" s="169">
        <f>AA915*AB915</f>
        <v>14231.922859206454</v>
      </c>
      <c r="AA915">
        <v>332.4</v>
      </c>
      <c r="AB915" s="90">
        <v>42.815652404351546</v>
      </c>
      <c r="AC915" s="186" t="s">
        <v>142</v>
      </c>
      <c r="AJ915" s="10" t="s">
        <v>26</v>
      </c>
      <c r="AK915" s="56">
        <f t="shared" si="868"/>
        <v>0.56193806193806195</v>
      </c>
      <c r="AL915" s="56">
        <f t="shared" si="862"/>
        <v>0.55473928409354445</v>
      </c>
      <c r="AM915" s="56">
        <f t="shared" si="863"/>
        <v>0.4151835962621851</v>
      </c>
      <c r="AN915" s="56">
        <f t="shared" si="864"/>
        <v>0.53673235197190106</v>
      </c>
      <c r="AO915" s="56">
        <f t="shared" si="865"/>
        <v>0.49932940061497405</v>
      </c>
      <c r="AP915" s="56">
        <f t="shared" si="866"/>
        <v>0.17067193883663864</v>
      </c>
      <c r="AQ915" s="256">
        <f t="shared" si="867"/>
        <v>0.54040682511310922</v>
      </c>
    </row>
    <row r="916" spans="1:43" ht="15.5">
      <c r="A916" s="10" t="s">
        <v>27</v>
      </c>
      <c r="J916">
        <v>16.7</v>
      </c>
      <c r="K916">
        <v>1201.5999999999999</v>
      </c>
      <c r="M916">
        <v>504.4</v>
      </c>
      <c r="N916">
        <v>681.8</v>
      </c>
      <c r="O916">
        <v>12.5</v>
      </c>
      <c r="P916" s="68">
        <f>SUM(J916:O916)</f>
        <v>2417</v>
      </c>
      <c r="Q916" s="2"/>
      <c r="R916" s="171">
        <v>4.8106331999999998</v>
      </c>
      <c r="S916" s="171">
        <v>7.6409099999999999</v>
      </c>
      <c r="T916" s="171"/>
      <c r="U916" s="171">
        <v>8.2312487999999995</v>
      </c>
      <c r="V916" s="171">
        <v>6.2257715999999999</v>
      </c>
      <c r="W916" s="171">
        <v>7.0505711999999994</v>
      </c>
      <c r="X916" s="206">
        <v>7.3436471999999995</v>
      </c>
      <c r="Z916" s="169">
        <f>AA916*AB916</f>
        <v>381.48</v>
      </c>
      <c r="AA916">
        <v>6.8</v>
      </c>
      <c r="AB916" s="90">
        <v>56.1</v>
      </c>
      <c r="AC916" s="187" t="s">
        <v>196</v>
      </c>
      <c r="AJ916" s="10" t="s">
        <v>27</v>
      </c>
      <c r="AK916" s="56">
        <f t="shared" si="868"/>
        <v>0.74834223486421703</v>
      </c>
      <c r="AL916" s="56">
        <f t="shared" si="862"/>
        <v>0.47114807005971809</v>
      </c>
      <c r="AM916" s="56" t="str">
        <f t="shared" si="863"/>
        <v/>
      </c>
      <c r="AN916" s="56">
        <f t="shared" si="864"/>
        <v>0.43735769474007397</v>
      </c>
      <c r="AO916" s="56">
        <f t="shared" si="865"/>
        <v>0.57824157892332573</v>
      </c>
      <c r="AP916" s="56">
        <f>IFERROR(O916*3.6/O933,"")</f>
        <v>0.51059692865735473</v>
      </c>
      <c r="AQ916" s="256">
        <f t="shared" si="867"/>
        <v>0.49030899465335487</v>
      </c>
    </row>
    <row r="917" spans="1:43" ht="15.5">
      <c r="A917" s="10" t="s">
        <v>28</v>
      </c>
      <c r="K917">
        <v>721.2</v>
      </c>
      <c r="L917">
        <v>75.7</v>
      </c>
      <c r="M917">
        <v>2044.6</v>
      </c>
      <c r="N917">
        <v>2433</v>
      </c>
      <c r="O917">
        <v>84.4</v>
      </c>
      <c r="P917" s="68">
        <f>SUM(J917:O917)</f>
        <v>5358.9</v>
      </c>
      <c r="Q917" s="2"/>
      <c r="R917" s="171"/>
      <c r="S917" s="171">
        <v>8.9095104000000003</v>
      </c>
      <c r="T917" s="171">
        <v>17.4631428</v>
      </c>
      <c r="U917" s="171">
        <v>8.6792363999999989</v>
      </c>
      <c r="V917" s="171">
        <v>18.0409212</v>
      </c>
      <c r="W917" s="171">
        <v>12.1710276</v>
      </c>
      <c r="X917" s="206">
        <v>13.138178399999999</v>
      </c>
      <c r="AA917" s="179" t="s">
        <v>214</v>
      </c>
      <c r="AB917" s="90"/>
      <c r="AJ917" s="10" t="s">
        <v>28</v>
      </c>
      <c r="AK917" s="56" t="str">
        <f t="shared" si="868"/>
        <v/>
      </c>
      <c r="AL917" s="56">
        <f t="shared" si="862"/>
        <v>0.40406260707659086</v>
      </c>
      <c r="AM917" s="56">
        <f t="shared" si="863"/>
        <v>0.20614846028745756</v>
      </c>
      <c r="AN917" s="56">
        <f t="shared" si="864"/>
        <v>0.41478303321706966</v>
      </c>
      <c r="AO917" s="56">
        <f t="shared" si="865"/>
        <v>0.19954635132489801</v>
      </c>
      <c r="AP917" s="56">
        <f>IFERROR(O917*3.6/O934,"")</f>
        <v>0.29578439210835411</v>
      </c>
      <c r="AQ917" s="256">
        <f t="shared" si="867"/>
        <v>0.27398071305549881</v>
      </c>
    </row>
    <row r="918" spans="1:43" ht="15.5">
      <c r="A918" s="11" t="s">
        <v>9</v>
      </c>
      <c r="J918" s="179">
        <f t="shared" ref="J918:O918" si="870">J906+J912</f>
        <v>39733.99</v>
      </c>
      <c r="K918" s="179">
        <f t="shared" si="870"/>
        <v>152736.40000000002</v>
      </c>
      <c r="L918" s="179">
        <f t="shared" si="870"/>
        <v>4731.3499999999995</v>
      </c>
      <c r="M918" s="179">
        <f t="shared" si="870"/>
        <v>9907.8499999999985</v>
      </c>
      <c r="N918" s="179">
        <f t="shared" si="870"/>
        <v>21234.15</v>
      </c>
      <c r="O918" s="179">
        <f t="shared" si="870"/>
        <v>2126.35</v>
      </c>
      <c r="P918" s="785">
        <f>P906+P912+'3'!$V$27*1000</f>
        <v>231247.08999999997</v>
      </c>
      <c r="Q918" s="2"/>
      <c r="R918" s="206">
        <v>9.4872888</v>
      </c>
      <c r="S918" s="206">
        <v>6.7491216000000005</v>
      </c>
      <c r="T918" s="206">
        <v>9.0560483999999981</v>
      </c>
      <c r="U918" s="206">
        <v>9.0937295999999996</v>
      </c>
      <c r="V918" s="206">
        <v>9.9562103999999998</v>
      </c>
      <c r="W918" s="206">
        <v>9.7594307999999987</v>
      </c>
      <c r="X918" s="206">
        <v>7.6911515999999995</v>
      </c>
      <c r="Z918" s="169">
        <f t="shared" ref="Z918:Z924" si="871">AA918*AB918</f>
        <v>42.9</v>
      </c>
      <c r="AA918">
        <v>0.6</v>
      </c>
      <c r="AB918" s="90">
        <v>71.5</v>
      </c>
      <c r="AC918" s="186" t="s">
        <v>65</v>
      </c>
      <c r="AJ918" s="11" t="s">
        <v>9</v>
      </c>
      <c r="AK918" s="256">
        <f t="shared" si="868"/>
        <v>0.37940114085475474</v>
      </c>
      <c r="AL918" s="256">
        <f t="shared" si="862"/>
        <v>0.5334776540442806</v>
      </c>
      <c r="AM918" s="256">
        <f t="shared" si="863"/>
        <v>0.39756680306374076</v>
      </c>
      <c r="AN918" s="256">
        <f t="shared" si="864"/>
        <v>0.39594280594202974</v>
      </c>
      <c r="AO918" s="256">
        <f t="shared" si="865"/>
        <v>0.36164193646030268</v>
      </c>
      <c r="AP918" s="256">
        <f>IFERROR(O918*3.6/O935,"")</f>
        <v>0.36885833728268586</v>
      </c>
      <c r="AQ918" s="256">
        <f t="shared" si="867"/>
        <v>0.4695979882043721</v>
      </c>
    </row>
    <row r="919" spans="1:43">
      <c r="P919" s="68">
        <f>P912/11.63</f>
        <v>9584.5090283748923</v>
      </c>
      <c r="Z919" s="169">
        <f t="shared" si="871"/>
        <v>11920.14829406334</v>
      </c>
      <c r="AA919">
        <v>118.4</v>
      </c>
      <c r="AB919" s="90">
        <v>100.67692815931875</v>
      </c>
      <c r="AC919" s="186" t="s">
        <v>66</v>
      </c>
    </row>
    <row r="920" spans="1:43">
      <c r="Z920" s="169">
        <f t="shared" si="871"/>
        <v>731.96</v>
      </c>
      <c r="AA920">
        <v>11.6</v>
      </c>
      <c r="AB920" s="90">
        <v>63.1</v>
      </c>
      <c r="AC920" s="186" t="s">
        <v>68</v>
      </c>
    </row>
    <row r="921" spans="1:43">
      <c r="A921" s="68" t="str">
        <f>$A$904</f>
        <v>Dati 2010 lorda</v>
      </c>
      <c r="J921" s="68" t="s">
        <v>165</v>
      </c>
      <c r="R921" s="168"/>
      <c r="Z921" s="169">
        <f t="shared" si="871"/>
        <v>19978.013259597545</v>
      </c>
      <c r="AA921">
        <v>352.2</v>
      </c>
      <c r="AB921" s="90">
        <v>56.723490231679577</v>
      </c>
      <c r="AC921" s="186" t="s">
        <v>69</v>
      </c>
    </row>
    <row r="922" spans="1:43">
      <c r="J922" s="180" t="s">
        <v>5</v>
      </c>
      <c r="K922" s="180" t="s">
        <v>186</v>
      </c>
      <c r="L922" s="180" t="s">
        <v>187</v>
      </c>
      <c r="M922" s="180" t="s">
        <v>190</v>
      </c>
      <c r="N922" s="180" t="s">
        <v>192</v>
      </c>
      <c r="O922" s="180" t="s">
        <v>191</v>
      </c>
      <c r="P922" s="180" t="s">
        <v>189</v>
      </c>
      <c r="R922" s="68" t="s">
        <v>210</v>
      </c>
      <c r="Z922" s="169">
        <f t="shared" si="871"/>
        <v>10455.509999999998</v>
      </c>
      <c r="AA922">
        <v>141.1</v>
      </c>
      <c r="AB922" s="90">
        <v>74.099999999999994</v>
      </c>
      <c r="AC922" s="186" t="s">
        <v>70</v>
      </c>
      <c r="AJ922" s="68"/>
    </row>
    <row r="923" spans="1:43">
      <c r="A923" s="11" t="s">
        <v>16</v>
      </c>
      <c r="J923" s="179">
        <f t="shared" ref="J923:O923" si="872">SUM(J924:J928)</f>
        <v>376217.56238999998</v>
      </c>
      <c r="K923" s="179">
        <f t="shared" si="872"/>
        <v>466059.89077499998</v>
      </c>
      <c r="L923" s="179">
        <f t="shared" si="872"/>
        <v>9364.1564785999981</v>
      </c>
      <c r="M923" s="179">
        <f t="shared" si="872"/>
        <v>52268.398030620003</v>
      </c>
      <c r="N923" s="179">
        <f t="shared" si="872"/>
        <v>75351.504864940012</v>
      </c>
      <c r="O923" s="179">
        <f t="shared" si="872"/>
        <v>15695.195474999999</v>
      </c>
      <c r="P923" s="182">
        <f t="shared" ref="P923:P934" si="873">SUM(J923:O923)</f>
        <v>994956.70801415993</v>
      </c>
      <c r="Q923" s="168"/>
      <c r="R923" s="179">
        <f t="shared" ref="R923:W923" si="874">SUM(R924:R928)</f>
        <v>35.267207864269302</v>
      </c>
      <c r="S923" s="179">
        <f t="shared" si="874"/>
        <v>27.006490187614173</v>
      </c>
      <c r="T923" s="179">
        <f t="shared" si="874"/>
        <v>1.7136318494869947</v>
      </c>
      <c r="U923" s="179">
        <f t="shared" si="874"/>
        <v>3.8993341403293424</v>
      </c>
      <c r="V923" s="179">
        <f t="shared" si="874"/>
        <v>4.2843136831732807</v>
      </c>
      <c r="W923" s="179">
        <f t="shared" si="874"/>
        <v>4.7010573428824899E-2</v>
      </c>
      <c r="X923" s="190">
        <f t="shared" ref="X923:X934" si="875">SUM(R923:W923)</f>
        <v>72.217988298301904</v>
      </c>
      <c r="Z923" s="169">
        <f t="shared" si="871"/>
        <v>874.38</v>
      </c>
      <c r="AA923">
        <v>11.8</v>
      </c>
      <c r="AB923" s="90">
        <v>74.099999999999994</v>
      </c>
      <c r="AC923" s="186" t="s">
        <v>71</v>
      </c>
      <c r="AJ923" s="68"/>
    </row>
    <row r="924" spans="1:43">
      <c r="A924" s="10" t="s">
        <v>17</v>
      </c>
      <c r="J924" s="167">
        <f t="shared" ref="J924:O928" si="876">IFERROR(J907*R907,"")</f>
        <v>0</v>
      </c>
      <c r="K924" s="167">
        <f t="shared" si="876"/>
        <v>1538.0177999999999</v>
      </c>
      <c r="L924" s="167">
        <f t="shared" si="876"/>
        <v>284.60610359999998</v>
      </c>
      <c r="M924" s="167">
        <f t="shared" si="876"/>
        <v>2639.2100885999998</v>
      </c>
      <c r="N924" s="167">
        <f t="shared" si="876"/>
        <v>9505.2611500000003</v>
      </c>
      <c r="O924" s="167">
        <f t="shared" si="876"/>
        <v>15560.651474999999</v>
      </c>
      <c r="P924" s="182">
        <f t="shared" si="873"/>
        <v>29527.746617199999</v>
      </c>
      <c r="Q924" s="168"/>
      <c r="R924" s="181">
        <f t="shared" ref="R924:W924" si="877">J924*J938/1000000</f>
        <v>0</v>
      </c>
      <c r="S924" s="181">
        <f t="shared" si="877"/>
        <v>8.9122585844076674E-2</v>
      </c>
      <c r="T924" s="181">
        <f t="shared" si="877"/>
        <v>5.2082649921744044E-2</v>
      </c>
      <c r="U924" s="181">
        <f t="shared" si="877"/>
        <v>0.1968907100606147</v>
      </c>
      <c r="V924" s="181">
        <f t="shared" si="877"/>
        <v>0.54044734050200072</v>
      </c>
      <c r="W924" s="181">
        <f t="shared" si="877"/>
        <v>4.6607584463094431E-2</v>
      </c>
      <c r="X924" s="190">
        <f t="shared" si="875"/>
        <v>0.92515087079153058</v>
      </c>
      <c r="Z924" s="169">
        <f t="shared" si="871"/>
        <v>116516.94633447606</v>
      </c>
      <c r="AA924">
        <v>1515.8999999999999</v>
      </c>
      <c r="AB924" s="90">
        <v>76.863214152962641</v>
      </c>
      <c r="AC924" s="203" t="s">
        <v>72</v>
      </c>
      <c r="AJ924" s="68"/>
    </row>
    <row r="925" spans="1:43">
      <c r="A925" s="10" t="s">
        <v>18</v>
      </c>
      <c r="J925" s="167">
        <f t="shared" si="876"/>
        <v>0</v>
      </c>
      <c r="K925" s="167">
        <f t="shared" si="876"/>
        <v>3617.4577000000004</v>
      </c>
      <c r="L925" s="167">
        <f t="shared" si="876"/>
        <v>0</v>
      </c>
      <c r="M925" s="167">
        <f t="shared" si="876"/>
        <v>576.31930019999993</v>
      </c>
      <c r="N925" s="167">
        <f t="shared" si="876"/>
        <v>368.12376900000004</v>
      </c>
      <c r="O925" s="167">
        <f t="shared" si="876"/>
        <v>134.54399999999998</v>
      </c>
      <c r="P925" s="182">
        <f t="shared" si="873"/>
        <v>4696.4447692000003</v>
      </c>
      <c r="Q925" s="168"/>
      <c r="R925" s="181">
        <f t="shared" ref="R925:W925" si="878">J925*J938/1000000</f>
        <v>0</v>
      </c>
      <c r="S925" s="181">
        <f t="shared" si="878"/>
        <v>0.20961863016511656</v>
      </c>
      <c r="T925" s="181">
        <f t="shared" si="878"/>
        <v>0</v>
      </c>
      <c r="U925" s="181">
        <f t="shared" si="878"/>
        <v>4.2994650834412007E-2</v>
      </c>
      <c r="V925" s="181">
        <f t="shared" si="878"/>
        <v>2.0930672897043218E-2</v>
      </c>
      <c r="W925" s="181">
        <f t="shared" si="878"/>
        <v>4.0298896573047097E-4</v>
      </c>
      <c r="X925" s="190">
        <f t="shared" si="875"/>
        <v>0.27394694286230226</v>
      </c>
      <c r="AB925" s="90"/>
      <c r="AC925" s="186" t="s">
        <v>73</v>
      </c>
      <c r="AJ925" s="68"/>
    </row>
    <row r="926" spans="1:43">
      <c r="A926" s="10" t="s">
        <v>19</v>
      </c>
      <c r="J926" s="167">
        <f t="shared" si="876"/>
        <v>376217.56238999998</v>
      </c>
      <c r="K926" s="167">
        <f t="shared" si="876"/>
        <v>35125.403025</v>
      </c>
      <c r="L926" s="167">
        <f t="shared" si="876"/>
        <v>8242.2033749999991</v>
      </c>
      <c r="M926" s="167">
        <f t="shared" si="876"/>
        <v>47412.36045</v>
      </c>
      <c r="N926" s="167">
        <f t="shared" si="876"/>
        <v>56573.426250000004</v>
      </c>
      <c r="O926" s="167">
        <f t="shared" si="876"/>
        <v>0</v>
      </c>
      <c r="P926" s="182">
        <f t="shared" si="873"/>
        <v>523570.95548999996</v>
      </c>
      <c r="Q926" s="168"/>
      <c r="R926" s="178">
        <f t="shared" ref="R926:W926" si="879">J926*J938/1000000</f>
        <v>35.267207864269302</v>
      </c>
      <c r="S926" s="181">
        <f t="shared" si="879"/>
        <v>2.0353904528304896</v>
      </c>
      <c r="T926" s="181">
        <f t="shared" si="879"/>
        <v>1.5083154842219</v>
      </c>
      <c r="U926" s="181">
        <f t="shared" si="879"/>
        <v>3.5370633641379401</v>
      </c>
      <c r="V926" s="181">
        <f t="shared" si="879"/>
        <v>3.2166352167923948</v>
      </c>
      <c r="W926" s="181">
        <f t="shared" si="879"/>
        <v>0</v>
      </c>
      <c r="X926" s="190">
        <f t="shared" si="875"/>
        <v>45.564612382252037</v>
      </c>
      <c r="AB926" s="90"/>
      <c r="AC926" s="186" t="s">
        <v>74</v>
      </c>
      <c r="AJ926" s="68"/>
    </row>
    <row r="927" spans="1:43">
      <c r="A927" s="10" t="s">
        <v>20</v>
      </c>
      <c r="J927" s="167">
        <f t="shared" si="876"/>
        <v>0</v>
      </c>
      <c r="K927" s="167">
        <f t="shared" si="876"/>
        <v>418120.19774999999</v>
      </c>
      <c r="L927" s="167">
        <f t="shared" si="876"/>
        <v>837.34699999999998</v>
      </c>
      <c r="M927" s="167">
        <f t="shared" si="876"/>
        <v>62.533207439999998</v>
      </c>
      <c r="N927" s="167">
        <f t="shared" si="876"/>
        <v>8904.6936959399991</v>
      </c>
      <c r="O927" s="167">
        <f t="shared" si="876"/>
        <v>0</v>
      </c>
      <c r="P927" s="182">
        <f t="shared" si="873"/>
        <v>427924.77165338001</v>
      </c>
      <c r="Q927" s="168"/>
      <c r="R927" s="181">
        <f t="shared" ref="R927:W927" si="880">J927*J938/1000000</f>
        <v>0</v>
      </c>
      <c r="S927" s="181">
        <f t="shared" si="880"/>
        <v>24.228557834061927</v>
      </c>
      <c r="T927" s="181">
        <f t="shared" si="880"/>
        <v>0.15323371534335081</v>
      </c>
      <c r="U927" s="181">
        <f t="shared" si="880"/>
        <v>4.6651108482843326E-3</v>
      </c>
      <c r="V927" s="181">
        <f t="shared" si="880"/>
        <v>0.5063004529818419</v>
      </c>
      <c r="W927" s="181">
        <f t="shared" si="880"/>
        <v>0</v>
      </c>
      <c r="X927" s="190">
        <f t="shared" si="875"/>
        <v>24.892757113235405</v>
      </c>
      <c r="Z927" s="169"/>
      <c r="AA927" s="179" t="s">
        <v>215</v>
      </c>
      <c r="AB927" s="90"/>
      <c r="AJ927" s="68" t="s">
        <v>265</v>
      </c>
    </row>
    <row r="928" spans="1:43">
      <c r="A928" s="10" t="s">
        <v>22</v>
      </c>
      <c r="J928" s="167">
        <f t="shared" si="876"/>
        <v>0</v>
      </c>
      <c r="K928" s="167">
        <f t="shared" si="876"/>
        <v>7658.8144999999995</v>
      </c>
      <c r="L928" s="167">
        <f t="shared" si="876"/>
        <v>0</v>
      </c>
      <c r="M928" s="167">
        <f t="shared" si="876"/>
        <v>1577.9749843799998</v>
      </c>
      <c r="N928" s="167">
        <f t="shared" si="876"/>
        <v>0</v>
      </c>
      <c r="O928" s="167">
        <f t="shared" si="876"/>
        <v>0</v>
      </c>
      <c r="P928" s="182">
        <f t="shared" si="873"/>
        <v>9236.7894843799986</v>
      </c>
      <c r="Q928" s="168"/>
      <c r="R928" s="181">
        <f t="shared" ref="R928:W928" si="881">J928*J938/1000000</f>
        <v>0</v>
      </c>
      <c r="S928" s="181">
        <f t="shared" si="881"/>
        <v>0.44380068471256262</v>
      </c>
      <c r="T928" s="181">
        <f t="shared" si="881"/>
        <v>0</v>
      </c>
      <c r="U928" s="181">
        <f t="shared" si="881"/>
        <v>0.11772030444809115</v>
      </c>
      <c r="V928" s="181">
        <f t="shared" si="881"/>
        <v>0</v>
      </c>
      <c r="W928" s="181">
        <f t="shared" si="881"/>
        <v>0</v>
      </c>
      <c r="X928" s="190">
        <f t="shared" si="875"/>
        <v>0.56152098916065374</v>
      </c>
      <c r="Z928" s="169">
        <f t="shared" ref="Z928:Z943" si="882">AA928*AB928</f>
        <v>0</v>
      </c>
      <c r="AA928">
        <v>0</v>
      </c>
      <c r="AB928" s="90">
        <v>63.1</v>
      </c>
      <c r="AC928" s="187" t="s">
        <v>195</v>
      </c>
    </row>
    <row r="929" spans="1:43">
      <c r="A929" s="11" t="s">
        <v>23</v>
      </c>
      <c r="J929" s="179">
        <f t="shared" ref="J929:O929" si="883">SUM(J930:J934)</f>
        <v>803.87639044000002</v>
      </c>
      <c r="K929" s="179">
        <f t="shared" si="883"/>
        <v>564631.90265176003</v>
      </c>
      <c r="L929" s="179">
        <f t="shared" si="883"/>
        <v>33478.605715680002</v>
      </c>
      <c r="M929" s="179">
        <f t="shared" si="883"/>
        <v>37815.976441439998</v>
      </c>
      <c r="N929" s="179">
        <f t="shared" si="883"/>
        <v>136025.91653760002</v>
      </c>
      <c r="O929" s="179">
        <f t="shared" si="883"/>
        <v>5057.6497945200008</v>
      </c>
      <c r="P929" s="182">
        <f t="shared" si="873"/>
        <v>777813.92753144004</v>
      </c>
      <c r="Q929" s="168"/>
      <c r="R929" s="179">
        <f t="shared" ref="R929:W929" si="884">SUM(R930:R934)</f>
        <v>7.5356598396746077E-2</v>
      </c>
      <c r="S929" s="179">
        <f t="shared" si="884"/>
        <v>32.718382852516939</v>
      </c>
      <c r="T929" s="179">
        <f t="shared" si="884"/>
        <v>6.1265534340348582</v>
      </c>
      <c r="U929" s="179">
        <f t="shared" si="884"/>
        <v>2.8211526188656748</v>
      </c>
      <c r="V929" s="179">
        <f t="shared" si="884"/>
        <v>7.7341215219629227</v>
      </c>
      <c r="W929" s="179">
        <f t="shared" si="884"/>
        <v>1.5148777052269474E-2</v>
      </c>
      <c r="X929" s="190">
        <f t="shared" si="875"/>
        <v>49.490715802829406</v>
      </c>
      <c r="Z929" s="169">
        <f t="shared" si="882"/>
        <v>1220.1063550452</v>
      </c>
      <c r="AA929">
        <v>12.9</v>
      </c>
      <c r="AB929" s="90">
        <v>94.581887987999991</v>
      </c>
      <c r="AC929" s="187" t="s">
        <v>198</v>
      </c>
      <c r="AJ929" s="11" t="s">
        <v>23</v>
      </c>
      <c r="AK929" s="256">
        <f t="shared" ref="AK929:AK934" si="885">IFERROR(((J912/11.63)+J946)/J952,"")</f>
        <v>0.77208548955652923</v>
      </c>
      <c r="AL929" s="256">
        <f t="shared" ref="AL929:AL934" si="886">IFERROR(((K912/11.63)+K946)/K952,"")</f>
        <v>0.62219601972117611</v>
      </c>
      <c r="AM929" s="256">
        <f t="shared" ref="AM929:AM934" si="887">IFERROR(((L912/11.63)+L946)/L952,"")</f>
        <v>0.42153834165919912</v>
      </c>
      <c r="AN929" s="256">
        <f t="shared" ref="AN929:AN934" si="888">IFERROR(((M912/11.63)+M946)/M952,"")</f>
        <v>0.72294401994815727</v>
      </c>
      <c r="AO929" s="256">
        <f t="shared" ref="AO929:AO934" si="889">IFERROR(((N912/11.63)+N946)/N952,"")</f>
        <v>0.47778841494519503</v>
      </c>
      <c r="AP929" s="256">
        <f t="shared" ref="AP929:AP934" si="890">IFERROR(((O912/11.63)+O946)/O952,"")</f>
        <v>0.51525157374342456</v>
      </c>
      <c r="AQ929" s="256">
        <f t="shared" ref="AQ929:AQ934" si="891">IFERROR(((P912/11.63)+P946)/P952,"")</f>
        <v>0.6009120884533764</v>
      </c>
    </row>
    <row r="930" spans="1:43">
      <c r="A930" s="10" t="s">
        <v>24</v>
      </c>
      <c r="J930" s="167">
        <f t="shared" ref="J930:O934" si="892">IFERROR(J913*R913,"")</f>
        <v>0</v>
      </c>
      <c r="K930" s="167">
        <f t="shared" si="892"/>
        <v>25351.039249559999</v>
      </c>
      <c r="L930" s="167">
        <f t="shared" si="892"/>
        <v>1350.2095055999998</v>
      </c>
      <c r="M930" s="167">
        <f t="shared" si="892"/>
        <v>435.22874567999992</v>
      </c>
      <c r="N930" s="167">
        <f t="shared" si="892"/>
        <v>6982.8748308000004</v>
      </c>
      <c r="O930" s="167">
        <f t="shared" si="892"/>
        <v>3916.98837288</v>
      </c>
      <c r="P930" s="182">
        <f t="shared" si="873"/>
        <v>38036.34070452</v>
      </c>
      <c r="Q930" s="168"/>
      <c r="R930" s="181">
        <f t="shared" ref="R930:W930" si="893">J930*J938/1000000</f>
        <v>0</v>
      </c>
      <c r="S930" s="181">
        <f t="shared" si="893"/>
        <v>1.469001315690539</v>
      </c>
      <c r="T930" s="181">
        <f t="shared" si="893"/>
        <v>0.24708707266521146</v>
      </c>
      <c r="U930" s="181">
        <f t="shared" si="893"/>
        <v>3.2468994092540199E-2</v>
      </c>
      <c r="V930" s="181">
        <f t="shared" si="893"/>
        <v>0.39703024165350981</v>
      </c>
      <c r="W930" s="181">
        <f t="shared" si="893"/>
        <v>1.173224441941069E-2</v>
      </c>
      <c r="X930" s="190">
        <f t="shared" si="875"/>
        <v>2.1573198685212112</v>
      </c>
      <c r="Z930" s="169">
        <f t="shared" si="882"/>
        <v>20649.646364818225</v>
      </c>
      <c r="AA930">
        <v>410.7</v>
      </c>
      <c r="AB930" s="90">
        <v>50.279148684729059</v>
      </c>
      <c r="AC930" s="187" t="s">
        <v>199</v>
      </c>
      <c r="AJ930" s="10" t="s">
        <v>24</v>
      </c>
      <c r="AK930" s="56" t="str">
        <f t="shared" si="885"/>
        <v/>
      </c>
      <c r="AL930" s="56">
        <f t="shared" si="886"/>
        <v>0.68807995963564428</v>
      </c>
      <c r="AM930" s="56">
        <f t="shared" si="887"/>
        <v>0.41619315644845645</v>
      </c>
      <c r="AN930" s="56">
        <f t="shared" si="888"/>
        <v>0.63770168428506402</v>
      </c>
      <c r="AO930" s="56">
        <f t="shared" si="889"/>
        <v>0.59415476775303155</v>
      </c>
      <c r="AP930" s="56">
        <f t="shared" si="890"/>
        <v>0.53362373219160919</v>
      </c>
      <c r="AQ930" s="256">
        <f t="shared" si="891"/>
        <v>0.65350725267726539</v>
      </c>
    </row>
    <row r="931" spans="1:43">
      <c r="A931" s="10" t="s">
        <v>25</v>
      </c>
      <c r="J931" s="167">
        <f t="shared" si="892"/>
        <v>0</v>
      </c>
      <c r="K931" s="167">
        <f t="shared" si="892"/>
        <v>20224.967094719999</v>
      </c>
      <c r="L931" s="167">
        <f t="shared" si="892"/>
        <v>1.4620305599999999</v>
      </c>
      <c r="M931" s="167">
        <f t="shared" si="892"/>
        <v>3469.3064092799996</v>
      </c>
      <c r="N931" s="167">
        <f t="shared" si="892"/>
        <v>0</v>
      </c>
      <c r="O931" s="167">
        <f t="shared" si="892"/>
        <v>8.4200734799999992</v>
      </c>
      <c r="P931" s="182">
        <f t="shared" si="873"/>
        <v>23704.155608040001</v>
      </c>
      <c r="Q931" s="168"/>
      <c r="R931" s="181">
        <f t="shared" ref="R931:W931" si="894">J931*J938/1000000</f>
        <v>0</v>
      </c>
      <c r="S931" s="181">
        <f t="shared" si="894"/>
        <v>1.1719639175130543</v>
      </c>
      <c r="T931" s="181">
        <f t="shared" si="894"/>
        <v>2.6755022070219363E-4</v>
      </c>
      <c r="U931" s="181">
        <f t="shared" si="894"/>
        <v>0.25881766870000317</v>
      </c>
      <c r="V931" s="181">
        <f t="shared" si="894"/>
        <v>0</v>
      </c>
      <c r="W931" s="181">
        <f t="shared" si="894"/>
        <v>2.5219977874002317E-5</v>
      </c>
      <c r="X931" s="190">
        <f t="shared" si="875"/>
        <v>1.4310743564116337</v>
      </c>
      <c r="Z931" s="169">
        <f t="shared" si="882"/>
        <v>174566.58217688787</v>
      </c>
      <c r="AA931">
        <v>1878</v>
      </c>
      <c r="AB931" s="90">
        <v>92.953451638385445</v>
      </c>
      <c r="AC931" s="187" t="s">
        <v>212</v>
      </c>
      <c r="AJ931" s="10" t="s">
        <v>25</v>
      </c>
      <c r="AK931" s="56" t="str">
        <f t="shared" si="885"/>
        <v/>
      </c>
      <c r="AL931" s="56">
        <f t="shared" si="886"/>
        <v>0.73801561453965503</v>
      </c>
      <c r="AM931" s="56">
        <f t="shared" si="887"/>
        <v>0.25795356835769556</v>
      </c>
      <c r="AN931" s="56">
        <f t="shared" si="888"/>
        <v>0.72444816213274843</v>
      </c>
      <c r="AO931" s="56" t="str">
        <f t="shared" si="889"/>
        <v/>
      </c>
      <c r="AP931" s="56">
        <f t="shared" si="890"/>
        <v>0.77944969905417016</v>
      </c>
      <c r="AQ931" s="256">
        <f t="shared" si="891"/>
        <v>0.73594977967440633</v>
      </c>
    </row>
    <row r="932" spans="1:43">
      <c r="A932" s="10" t="s">
        <v>26</v>
      </c>
      <c r="J932" s="167">
        <f t="shared" si="892"/>
        <v>723.538816</v>
      </c>
      <c r="K932" s="167">
        <f t="shared" si="892"/>
        <v>503449.03995100001</v>
      </c>
      <c r="L932" s="167">
        <f t="shared" si="892"/>
        <v>30804.97426956</v>
      </c>
      <c r="M932" s="167">
        <f t="shared" si="892"/>
        <v>12014.032648320001</v>
      </c>
      <c r="N932" s="167">
        <f t="shared" si="892"/>
        <v>80904.749350320009</v>
      </c>
      <c r="O932" s="167">
        <f t="shared" si="892"/>
        <v>16.874478719999999</v>
      </c>
      <c r="P932" s="182">
        <f t="shared" si="873"/>
        <v>627913.20951391989</v>
      </c>
      <c r="Q932" s="168"/>
      <c r="R932" s="178">
        <f t="shared" ref="R932:W932" si="895">J932*J938/1000000</f>
        <v>6.7825631689376872E-2</v>
      </c>
      <c r="S932" s="181">
        <f t="shared" si="895"/>
        <v>29.173056567453891</v>
      </c>
      <c r="T932" s="181">
        <f t="shared" si="895"/>
        <v>5.6372813879801358</v>
      </c>
      <c r="U932" s="181">
        <f t="shared" si="895"/>
        <v>0.89627249798590847</v>
      </c>
      <c r="V932" s="181">
        <f t="shared" si="895"/>
        <v>4.6000584234722917</v>
      </c>
      <c r="W932" s="181">
        <f t="shared" si="895"/>
        <v>5.0542786944149444E-5</v>
      </c>
      <c r="X932" s="190">
        <f t="shared" si="875"/>
        <v>40.37454505136855</v>
      </c>
      <c r="Z932" s="169">
        <f t="shared" si="882"/>
        <v>0</v>
      </c>
      <c r="AA932">
        <v>66.900000000000006</v>
      </c>
      <c r="AB932" s="90">
        <v>0</v>
      </c>
      <c r="AC932" s="186" t="s">
        <v>200</v>
      </c>
      <c r="AJ932" s="10" t="s">
        <v>26</v>
      </c>
      <c r="AK932" s="56">
        <f t="shared" si="885"/>
        <v>0.74367968263067141</v>
      </c>
      <c r="AL932" s="56">
        <f t="shared" si="886"/>
        <v>0.6054654064087468</v>
      </c>
      <c r="AM932" s="56">
        <f t="shared" si="887"/>
        <v>0.42922018756792724</v>
      </c>
      <c r="AN932" s="56">
        <f t="shared" si="888"/>
        <v>0.74397469711194708</v>
      </c>
      <c r="AO932" s="56">
        <f t="shared" si="889"/>
        <v>0.53433993225854193</v>
      </c>
      <c r="AP932" s="56">
        <f t="shared" si="890"/>
        <v>0.28131269704786477</v>
      </c>
      <c r="AQ932" s="256">
        <f t="shared" si="891"/>
        <v>0.59466254055761347</v>
      </c>
    </row>
    <row r="933" spans="1:43">
      <c r="A933" s="10" t="s">
        <v>27</v>
      </c>
      <c r="J933" s="167">
        <f t="shared" si="892"/>
        <v>80.337574439999997</v>
      </c>
      <c r="K933" s="167">
        <f t="shared" si="892"/>
        <v>9181.3174559999989</v>
      </c>
      <c r="L933" s="167">
        <f t="shared" si="892"/>
        <v>0</v>
      </c>
      <c r="M933" s="167">
        <f t="shared" si="892"/>
        <v>4151.8418947199998</v>
      </c>
      <c r="N933" s="167">
        <f t="shared" si="892"/>
        <v>4244.7310768799998</v>
      </c>
      <c r="O933" s="167">
        <f t="shared" si="892"/>
        <v>88.132139999999993</v>
      </c>
      <c r="P933" s="182">
        <f t="shared" si="873"/>
        <v>17746.360142040001</v>
      </c>
      <c r="Q933" s="168"/>
      <c r="R933" s="178">
        <f t="shared" ref="R933:W933" si="896">J933*J938/1000000</f>
        <v>7.5309667073692101E-3</v>
      </c>
      <c r="S933" s="181">
        <f t="shared" si="896"/>
        <v>0.53202424128906678</v>
      </c>
      <c r="T933" s="181">
        <f t="shared" si="896"/>
        <v>0</v>
      </c>
      <c r="U933" s="181">
        <f t="shared" si="896"/>
        <v>0.3097362738350472</v>
      </c>
      <c r="V933" s="181">
        <f t="shared" si="896"/>
        <v>0.24134567009197738</v>
      </c>
      <c r="W933" s="181">
        <f t="shared" si="896"/>
        <v>2.6397520473758079E-4</v>
      </c>
      <c r="X933" s="190">
        <f t="shared" si="875"/>
        <v>1.0909011271281981</v>
      </c>
      <c r="Z933" s="169">
        <f t="shared" si="882"/>
        <v>0</v>
      </c>
      <c r="AA933">
        <v>475.2</v>
      </c>
      <c r="AB933" s="90">
        <v>0</v>
      </c>
      <c r="AC933" s="186" t="s">
        <v>201</v>
      </c>
      <c r="AJ933" s="10" t="s">
        <v>27</v>
      </c>
      <c r="AK933" s="56">
        <f t="shared" si="885"/>
        <v>0.83755741039783582</v>
      </c>
      <c r="AL933" s="56">
        <f t="shared" si="886"/>
        <v>0.73353425608931433</v>
      </c>
      <c r="AM933" s="56" t="str">
        <f t="shared" si="887"/>
        <v/>
      </c>
      <c r="AN933" s="56">
        <f t="shared" si="888"/>
        <v>0.77191145126171279</v>
      </c>
      <c r="AO933" s="56">
        <f t="shared" si="889"/>
        <v>0.73454671928205117</v>
      </c>
      <c r="AP933" s="56">
        <f t="shared" si="890"/>
        <v>0.70551256329416256</v>
      </c>
      <c r="AQ933" s="256">
        <f t="shared" si="891"/>
        <v>0.74724633618812053</v>
      </c>
    </row>
    <row r="934" spans="1:43">
      <c r="A934" s="10" t="s">
        <v>28</v>
      </c>
      <c r="J934" s="167">
        <f t="shared" si="892"/>
        <v>0</v>
      </c>
      <c r="K934" s="167">
        <f t="shared" si="892"/>
        <v>6425.5389004800008</v>
      </c>
      <c r="L934" s="167">
        <f t="shared" si="892"/>
        <v>1321.95990996</v>
      </c>
      <c r="M934" s="167">
        <f t="shared" si="892"/>
        <v>17745.566743439998</v>
      </c>
      <c r="N934" s="167">
        <f t="shared" si="892"/>
        <v>43893.561279599999</v>
      </c>
      <c r="O934" s="167">
        <f t="shared" si="892"/>
        <v>1027.2347294400001</v>
      </c>
      <c r="P934" s="182">
        <f t="shared" si="873"/>
        <v>70413.861562919992</v>
      </c>
      <c r="Q934" s="168"/>
      <c r="R934" s="181">
        <f t="shared" ref="R934:W934" si="897">J934*J938/1000000</f>
        <v>0</v>
      </c>
      <c r="S934" s="181">
        <f t="shared" si="897"/>
        <v>0.3723368105703867</v>
      </c>
      <c r="T934" s="181">
        <f t="shared" si="897"/>
        <v>0.24191742316880854</v>
      </c>
      <c r="U934" s="181">
        <f t="shared" si="897"/>
        <v>1.323857184252176</v>
      </c>
      <c r="V934" s="181">
        <f t="shared" si="897"/>
        <v>2.4956871867451444</v>
      </c>
      <c r="W934" s="181">
        <f t="shared" si="897"/>
        <v>3.0767946633030526E-3</v>
      </c>
      <c r="X934" s="190">
        <f t="shared" si="875"/>
        <v>4.4368753993998187</v>
      </c>
      <c r="Z934" s="169">
        <f t="shared" si="882"/>
        <v>0</v>
      </c>
      <c r="AA934">
        <v>2.9</v>
      </c>
      <c r="AB934" s="90">
        <v>0</v>
      </c>
      <c r="AC934" s="186" t="s">
        <v>134</v>
      </c>
      <c r="AJ934" s="10" t="s">
        <v>28</v>
      </c>
      <c r="AK934" s="56" t="str">
        <f t="shared" si="885"/>
        <v/>
      </c>
      <c r="AL934" s="56">
        <f t="shared" si="886"/>
        <v>0.62481776032210201</v>
      </c>
      <c r="AM934" s="56">
        <f t="shared" si="887"/>
        <v>0.25614789337919175</v>
      </c>
      <c r="AN934" s="56">
        <f t="shared" si="888"/>
        <v>0.69228065667276484</v>
      </c>
      <c r="AO934" s="56">
        <f t="shared" si="889"/>
        <v>0.3237267050460283</v>
      </c>
      <c r="AP934" s="56">
        <f t="shared" si="890"/>
        <v>0.4230576759848822</v>
      </c>
      <c r="AQ934" s="256">
        <f t="shared" si="891"/>
        <v>0.49552355560717898</v>
      </c>
    </row>
    <row r="935" spans="1:43">
      <c r="A935" s="11" t="s">
        <v>9</v>
      </c>
      <c r="J935" s="182">
        <f t="shared" ref="J935:P935" si="898">J923+J929</f>
        <v>377021.43878043996</v>
      </c>
      <c r="K935" s="182">
        <f t="shared" si="898"/>
        <v>1030691.79342676</v>
      </c>
      <c r="L935" s="182">
        <f t="shared" si="898"/>
        <v>42842.762194280003</v>
      </c>
      <c r="M935" s="182">
        <f t="shared" si="898"/>
        <v>90084.374472060008</v>
      </c>
      <c r="N935" s="182">
        <f t="shared" si="898"/>
        <v>211377.42140254003</v>
      </c>
      <c r="O935" s="182">
        <f t="shared" si="898"/>
        <v>20752.845269519999</v>
      </c>
      <c r="P935" s="182">
        <f t="shared" si="898"/>
        <v>1772770.6355456</v>
      </c>
      <c r="R935" s="199">
        <f t="shared" ref="R935:X935" si="899">R923+R929</f>
        <v>35.342564462666047</v>
      </c>
      <c r="S935" s="199">
        <f t="shared" si="899"/>
        <v>59.724873040131115</v>
      </c>
      <c r="T935" s="199">
        <f t="shared" si="899"/>
        <v>7.8401852835218531</v>
      </c>
      <c r="U935" s="199">
        <f t="shared" si="899"/>
        <v>6.7204867591950173</v>
      </c>
      <c r="V935" s="199">
        <f t="shared" si="899"/>
        <v>12.018435205136203</v>
      </c>
      <c r="W935" s="199">
        <f t="shared" si="899"/>
        <v>6.2159350481094375E-2</v>
      </c>
      <c r="X935" s="199">
        <f t="shared" si="899"/>
        <v>121.7087041011313</v>
      </c>
      <c r="Z935" s="169">
        <f t="shared" si="882"/>
        <v>0</v>
      </c>
      <c r="AA935">
        <v>0.3</v>
      </c>
      <c r="AB935" s="90">
        <v>0</v>
      </c>
      <c r="AC935" s="186" t="s">
        <v>128</v>
      </c>
      <c r="AJ935" s="275" t="s">
        <v>266</v>
      </c>
      <c r="AK935" s="274">
        <f t="shared" ref="AK935:AQ935" si="900">IFERROR(((J918/11.63)+J946)/(J952+J923/41.868),"")</f>
        <v>0.38132824857613862</v>
      </c>
      <c r="AL935" s="274">
        <f t="shared" si="900"/>
        <v>0.57770025284144522</v>
      </c>
      <c r="AM935" s="274">
        <f t="shared" si="900"/>
        <v>0.40991293866614142</v>
      </c>
      <c r="AN935" s="274">
        <f t="shared" si="900"/>
        <v>0.58448430873757695</v>
      </c>
      <c r="AO935" s="274">
        <f t="shared" si="900"/>
        <v>0.41578721973986843</v>
      </c>
      <c r="AP935" s="274">
        <f t="shared" si="900"/>
        <v>0.39637328443478526</v>
      </c>
      <c r="AQ935" s="274">
        <f t="shared" si="900"/>
        <v>0.51756308250443284</v>
      </c>
    </row>
    <row r="936" spans="1:43">
      <c r="E936" t="s">
        <v>176</v>
      </c>
      <c r="J936" s="168">
        <f t="shared" ref="J936:P936" si="901">J935/41.868</f>
        <v>9005.002359330274</v>
      </c>
      <c r="K936" s="168">
        <f t="shared" si="901"/>
        <v>24617.650554761633</v>
      </c>
      <c r="L936" s="168">
        <f t="shared" si="901"/>
        <v>1023.2817950291392</v>
      </c>
      <c r="M936" s="168">
        <f t="shared" si="901"/>
        <v>2151.6283192906276</v>
      </c>
      <c r="N936" s="168">
        <f t="shared" si="901"/>
        <v>5048.6629741697725</v>
      </c>
      <c r="O936" s="168">
        <f t="shared" si="901"/>
        <v>495.67319359701918</v>
      </c>
      <c r="P936" s="168">
        <f t="shared" si="901"/>
        <v>42341.899196178463</v>
      </c>
      <c r="R936" s="197">
        <v>35.34256446266604</v>
      </c>
      <c r="S936" s="197">
        <v>59.724873040131122</v>
      </c>
      <c r="T936" s="197">
        <v>7.8242134788818545</v>
      </c>
      <c r="U936" s="197">
        <v>6.7204867591950173</v>
      </c>
      <c r="V936" s="197">
        <v>12.018435205136207</v>
      </c>
      <c r="W936" s="197">
        <v>6.2159350481094368E-2</v>
      </c>
      <c r="X936" s="197">
        <v>121.70870410113133</v>
      </c>
      <c r="Z936" s="169">
        <f t="shared" si="882"/>
        <v>0</v>
      </c>
      <c r="AA936">
        <v>0</v>
      </c>
      <c r="AB936" s="90">
        <v>0</v>
      </c>
      <c r="AC936" s="186" t="s">
        <v>131</v>
      </c>
    </row>
    <row r="937" spans="1:43">
      <c r="J937" s="183" t="s">
        <v>193</v>
      </c>
      <c r="T937" s="198">
        <v>1.597180464E-2</v>
      </c>
      <c r="U937" s="198"/>
      <c r="Z937" s="169">
        <f t="shared" si="882"/>
        <v>0</v>
      </c>
      <c r="AA937">
        <v>3.2</v>
      </c>
      <c r="AB937" s="90">
        <v>0</v>
      </c>
      <c r="AC937" s="186" t="s">
        <v>129</v>
      </c>
    </row>
    <row r="938" spans="1:43">
      <c r="J938" s="168">
        <f>SUM(Z906:Z909)/SUM(AA906:AA909)+J939</f>
        <v>93.741524558893687</v>
      </c>
      <c r="K938" s="185">
        <f>AB911+K939</f>
        <v>57.9463942771512</v>
      </c>
      <c r="L938" s="147">
        <f>SUM(Z913:Z916)/SUM(AA913:AA916)+L939</f>
        <v>182.99906173109932</v>
      </c>
      <c r="M938" s="168">
        <f>SUM(Z918:Z926)/SUM(AA918:AA926)+M939</f>
        <v>74.602136037248073</v>
      </c>
      <c r="N938" s="168">
        <f>SUM(Z928:Z944)/SUM(AA928:AA944)+N939</f>
        <v>56.857705640417961</v>
      </c>
      <c r="O938" s="168">
        <f>SUM(Z946:Z956)/SUM(AA946:AA956)+O939</f>
        <v>2.995220639571226</v>
      </c>
      <c r="P938" s="317">
        <f>P929/41.868</f>
        <v>18577.766493060095</v>
      </c>
      <c r="R938" s="172"/>
      <c r="S938" s="172"/>
      <c r="T938" s="172"/>
      <c r="U938" s="172"/>
      <c r="V938" s="172"/>
      <c r="W938" s="172"/>
      <c r="X938" s="172"/>
      <c r="Z938" s="169">
        <f t="shared" si="882"/>
        <v>0</v>
      </c>
      <c r="AA938">
        <v>743.1</v>
      </c>
      <c r="AB938" s="90">
        <v>0</v>
      </c>
      <c r="AC938" s="186" t="s">
        <v>207</v>
      </c>
    </row>
    <row r="939" spans="1:43">
      <c r="A939" s="453" t="s">
        <v>376</v>
      </c>
      <c r="B939" s="452"/>
      <c r="C939" s="452"/>
      <c r="D939" s="452"/>
      <c r="E939" s="452"/>
      <c r="F939" s="452"/>
      <c r="G939" s="452"/>
      <c r="H939" s="452"/>
      <c r="I939" s="452"/>
      <c r="J939" s="452">
        <v>8.4833367796877113E-4</v>
      </c>
      <c r="K939" s="452">
        <v>0.45828890858184446</v>
      </c>
      <c r="L939" s="452">
        <v>3.2556362614508672E-3</v>
      </c>
      <c r="M939" s="452">
        <v>-2.7430704564033181E-3</v>
      </c>
      <c r="N939" s="452">
        <v>3.9284032529879434</v>
      </c>
      <c r="O939" s="452">
        <v>-6.3035303867300385E-3</v>
      </c>
      <c r="P939" s="318">
        <f>P923/41.868</f>
        <v>23764.132703118368</v>
      </c>
      <c r="R939" s="455">
        <f>R935-R936</f>
        <v>0</v>
      </c>
      <c r="S939" s="455">
        <f>S935-S936</f>
        <v>0</v>
      </c>
      <c r="T939" s="455">
        <f>T935-SUM(T936:T937)</f>
        <v>0</v>
      </c>
      <c r="U939" s="455">
        <f>U935-U936</f>
        <v>0</v>
      </c>
      <c r="V939" s="455">
        <f>V935-V936</f>
        <v>0</v>
      </c>
      <c r="W939" s="454">
        <f>W935-W936</f>
        <v>0</v>
      </c>
      <c r="X939" s="172">
        <f>X935-X936</f>
        <v>0</v>
      </c>
      <c r="Z939" s="169">
        <f t="shared" si="882"/>
        <v>3761.7990666666656</v>
      </c>
      <c r="AA939">
        <v>77</v>
      </c>
      <c r="AB939" s="90">
        <v>48.854533333333322</v>
      </c>
      <c r="AC939" s="189" t="s">
        <v>130</v>
      </c>
    </row>
    <row r="940" spans="1:43">
      <c r="O940" s="168"/>
      <c r="P940" s="319">
        <f>P952-P938</f>
        <v>5421.033506939908</v>
      </c>
      <c r="R940" s="172"/>
      <c r="S940" s="172"/>
      <c r="T940" s="172"/>
      <c r="U940" s="172"/>
      <c r="V940" s="172"/>
      <c r="W940" s="172"/>
      <c r="X940" s="172"/>
      <c r="Z940" s="169">
        <f t="shared" si="882"/>
        <v>0</v>
      </c>
      <c r="AA940">
        <v>1.4</v>
      </c>
      <c r="AB940" s="90">
        <v>0</v>
      </c>
      <c r="AC940" s="186" t="s">
        <v>132</v>
      </c>
      <c r="AJ940" s="68" t="s">
        <v>343</v>
      </c>
      <c r="AK940" s="180" t="s">
        <v>5</v>
      </c>
      <c r="AL940" s="180" t="s">
        <v>186</v>
      </c>
      <c r="AM940" s="180" t="s">
        <v>187</v>
      </c>
      <c r="AN940" s="180" t="s">
        <v>190</v>
      </c>
      <c r="AO940" s="180" t="s">
        <v>192</v>
      </c>
      <c r="AP940" s="180" t="s">
        <v>191</v>
      </c>
      <c r="AQ940" s="180" t="s">
        <v>189</v>
      </c>
    </row>
    <row r="941" spans="1:43">
      <c r="N941" s="222"/>
      <c r="O941" s="168"/>
      <c r="V941" s="90"/>
      <c r="Z941" s="169">
        <f t="shared" si="882"/>
        <v>5720</v>
      </c>
      <c r="AA941">
        <v>40</v>
      </c>
      <c r="AB941" s="90">
        <v>143</v>
      </c>
      <c r="AC941" s="186" t="s">
        <v>133</v>
      </c>
      <c r="AJ941" s="11" t="s">
        <v>23</v>
      </c>
      <c r="AK941" s="199">
        <f t="shared" ref="AK941:AK946" si="902">IFERROR(J946/(J952-J929/41.868),0)</f>
        <v>0.87714931610030611</v>
      </c>
      <c r="AL941" s="199">
        <f t="shared" ref="AL941:AL946" si="903">IFERROR(K946/(K952-K929/41.868),0)</f>
        <v>0.89398639365241295</v>
      </c>
      <c r="AM941" s="199">
        <f t="shared" ref="AM941:AM946" si="904">IFERROR(L946/(L952-L929/41.868),0)</f>
        <v>0.90001877625378024</v>
      </c>
      <c r="AN941" s="199">
        <f t="shared" ref="AN941:AN946" si="905">IFERROR(M946/(M952-M929/41.868),0)</f>
        <v>0.90141968678720619</v>
      </c>
      <c r="AO941" s="199">
        <f t="shared" ref="AO941:AO946" si="906">IFERROR(N946/(N952-N929/41.868),0)</f>
        <v>0.86309420565421124</v>
      </c>
      <c r="AP941" s="199">
        <f t="shared" ref="AP941:AP946" si="907">IFERROR(O946/(O952-O929/41.868),0)</f>
        <v>0.89870722439062067</v>
      </c>
      <c r="AQ941" s="199">
        <f t="shared" ref="AQ941:AQ946" si="908">IFERROR(P946/(P952-P929/41.868),0)</f>
        <v>0.89220256502901085</v>
      </c>
    </row>
    <row r="942" spans="1:43">
      <c r="J942" s="168"/>
      <c r="M942" s="222"/>
      <c r="N942" s="222"/>
      <c r="O942" s="168"/>
      <c r="P942" s="168"/>
      <c r="V942" s="90"/>
      <c r="Z942" s="169">
        <f t="shared" si="882"/>
        <v>0</v>
      </c>
      <c r="AB942" s="90">
        <v>45.85</v>
      </c>
      <c r="AC942" s="186" t="s">
        <v>208</v>
      </c>
      <c r="AJ942" s="10" t="s">
        <v>24</v>
      </c>
      <c r="AK942" s="381">
        <f t="shared" si="902"/>
        <v>0</v>
      </c>
      <c r="AL942" s="381">
        <f t="shared" si="903"/>
        <v>0.89773120783899385</v>
      </c>
      <c r="AM942" s="381">
        <f t="shared" si="904"/>
        <v>0.89605734767024592</v>
      </c>
      <c r="AN942" s="381">
        <f t="shared" si="905"/>
        <v>0.87370582324931112</v>
      </c>
      <c r="AO942" s="381">
        <f t="shared" si="906"/>
        <v>0.90143109363113061</v>
      </c>
      <c r="AP942" s="381">
        <f t="shared" si="907"/>
        <v>0.90478208239249158</v>
      </c>
      <c r="AQ942" s="381">
        <f t="shared" si="908"/>
        <v>0.8982241668968679</v>
      </c>
    </row>
    <row r="943" spans="1:43">
      <c r="A943" s="68" t="s">
        <v>374</v>
      </c>
      <c r="J943" s="281">
        <f>J946/(J952-J929/41.868)</f>
        <v>0.87714931610030611</v>
      </c>
      <c r="K943" s="281">
        <f t="shared" ref="K943:P943" si="909">K946/(K952-K929/41.868)</f>
        <v>0.89398639365241295</v>
      </c>
      <c r="L943" s="281">
        <f t="shared" si="909"/>
        <v>0.90001877625378024</v>
      </c>
      <c r="M943" s="281">
        <f t="shared" si="909"/>
        <v>0.90141968678720619</v>
      </c>
      <c r="N943" s="281">
        <f t="shared" si="909"/>
        <v>0.86309420565421124</v>
      </c>
      <c r="O943" s="281">
        <f t="shared" si="909"/>
        <v>0.89870722439062067</v>
      </c>
      <c r="P943" s="281">
        <f t="shared" si="909"/>
        <v>0.89220256502901085</v>
      </c>
      <c r="Z943" s="169">
        <f t="shared" si="882"/>
        <v>61306.034999999996</v>
      </c>
      <c r="AA943">
        <v>1337.1</v>
      </c>
      <c r="AB943" s="90">
        <v>45.85</v>
      </c>
      <c r="AC943" s="186" t="s">
        <v>209</v>
      </c>
      <c r="AJ943" s="10" t="s">
        <v>25</v>
      </c>
      <c r="AK943" s="381">
        <f t="shared" si="902"/>
        <v>0</v>
      </c>
      <c r="AL943" s="381">
        <f t="shared" si="903"/>
        <v>0.89719716487459411</v>
      </c>
      <c r="AM943" s="381">
        <f t="shared" si="904"/>
        <v>0</v>
      </c>
      <c r="AN943" s="381">
        <f t="shared" si="905"/>
        <v>0.90044313888918426</v>
      </c>
      <c r="AO943" s="381">
        <f t="shared" si="906"/>
        <v>0</v>
      </c>
      <c r="AP943" s="381">
        <f t="shared" si="907"/>
        <v>1.005580974407964</v>
      </c>
      <c r="AQ943" s="381">
        <f t="shared" si="908"/>
        <v>0.89762898301431382</v>
      </c>
    </row>
    <row r="944" spans="1:43">
      <c r="A944" s="68" t="s">
        <v>252</v>
      </c>
      <c r="P944" s="168"/>
      <c r="R944" s="191" t="s">
        <v>225</v>
      </c>
      <c r="S944" s="165"/>
      <c r="T944" s="165"/>
      <c r="U944" s="165"/>
      <c r="V944" s="165"/>
      <c r="W944" s="165"/>
      <c r="X944" s="165"/>
      <c r="Z944" s="169"/>
      <c r="AB944" s="90"/>
      <c r="AJ944" s="10" t="s">
        <v>26</v>
      </c>
      <c r="AK944" s="381">
        <f t="shared" si="902"/>
        <v>0.89674855314501944</v>
      </c>
      <c r="AL944" s="381">
        <f t="shared" si="903"/>
        <v>0.89090579842647488</v>
      </c>
      <c r="AM944" s="381">
        <f t="shared" si="904"/>
        <v>0.90218691022965047</v>
      </c>
      <c r="AN944" s="381">
        <f t="shared" si="905"/>
        <v>0.90643414163145475</v>
      </c>
      <c r="AO944" s="381">
        <f t="shared" si="906"/>
        <v>0.82529377921159397</v>
      </c>
      <c r="AP944" s="381">
        <f t="shared" si="907"/>
        <v>0.5077173030056864</v>
      </c>
      <c r="AQ944" s="381">
        <f t="shared" si="908"/>
        <v>0.88756481193603465</v>
      </c>
    </row>
    <row r="945" spans="1:43">
      <c r="A945" s="68" t="str">
        <f>$A$904</f>
        <v>Dati 2010 lorda</v>
      </c>
      <c r="J945" s="180" t="s">
        <v>5</v>
      </c>
      <c r="K945" s="180" t="s">
        <v>186</v>
      </c>
      <c r="L945" s="180" t="s">
        <v>187</v>
      </c>
      <c r="M945" s="180" t="s">
        <v>190</v>
      </c>
      <c r="N945" s="180" t="s">
        <v>192</v>
      </c>
      <c r="O945" s="180" t="s">
        <v>191</v>
      </c>
      <c r="P945" s="180" t="s">
        <v>189</v>
      </c>
      <c r="R945" s="191" t="s">
        <v>5</v>
      </c>
      <c r="S945" s="191" t="s">
        <v>186</v>
      </c>
      <c r="T945" s="191" t="s">
        <v>187</v>
      </c>
      <c r="U945" s="191" t="s">
        <v>190</v>
      </c>
      <c r="V945" s="191" t="s">
        <v>192</v>
      </c>
      <c r="W945" s="191" t="s">
        <v>191</v>
      </c>
      <c r="X945" s="191" t="s">
        <v>189</v>
      </c>
      <c r="AA945" s="179" t="s">
        <v>216</v>
      </c>
      <c r="AB945" s="90"/>
      <c r="AJ945" s="10" t="s">
        <v>27</v>
      </c>
      <c r="AK945" s="381">
        <f t="shared" si="902"/>
        <v>0.84937888305986342</v>
      </c>
      <c r="AL945" s="381">
        <f t="shared" si="903"/>
        <v>0.90286279310669548</v>
      </c>
      <c r="AM945" s="381">
        <f t="shared" si="904"/>
        <v>0</v>
      </c>
      <c r="AN945" s="381">
        <f t="shared" si="905"/>
        <v>0.89949443720951983</v>
      </c>
      <c r="AO945" s="381">
        <f t="shared" si="906"/>
        <v>0.90238617595217085</v>
      </c>
      <c r="AP945" s="381">
        <f t="shared" si="907"/>
        <v>0.87682672233820447</v>
      </c>
      <c r="AQ945" s="381">
        <f t="shared" si="908"/>
        <v>0.90039103238655793</v>
      </c>
    </row>
    <row r="946" spans="1:43">
      <c r="A946" s="193" t="s">
        <v>251</v>
      </c>
      <c r="J946" s="179">
        <f t="shared" ref="J946:O946" si="910">SUM(J947:J951)</f>
        <v>30.7</v>
      </c>
      <c r="K946" s="179">
        <f t="shared" si="910"/>
        <v>3077.1000000000004</v>
      </c>
      <c r="L946" s="179">
        <f t="shared" si="910"/>
        <v>23.2</v>
      </c>
      <c r="M946" s="179">
        <f t="shared" si="910"/>
        <v>1153.8</v>
      </c>
      <c r="N946" s="179">
        <f t="shared" si="910"/>
        <v>527.46</v>
      </c>
      <c r="O946" s="179">
        <f t="shared" si="910"/>
        <v>24.400000000000006</v>
      </c>
      <c r="P946" s="266">
        <f t="shared" ref="P946:P957" si="911">SUM(J946:O946)</f>
        <v>4836.66</v>
      </c>
      <c r="Q946" s="193" t="s">
        <v>16</v>
      </c>
      <c r="R946" s="192">
        <f t="shared" ref="R946:R957" si="912">IFERROR(R923/J906*1000000,0)</f>
        <v>890.48823839475472</v>
      </c>
      <c r="S946" s="192">
        <f t="shared" ref="S946:S957" si="913">IFERROR(S923/K906*1000000,0)</f>
        <v>409.00519293006289</v>
      </c>
      <c r="T946" s="192">
        <f t="shared" ref="T946:T957" si="914">IFERROR(T923/L906*1000000,0)</f>
        <v>1795.0367668642903</v>
      </c>
      <c r="U946" s="192">
        <f t="shared" ref="U946:U957" si="915">IFERROR(U923/M906*1000000,0)</f>
        <v>784.4874592005599</v>
      </c>
      <c r="V946" s="192">
        <f t="shared" ref="V946:V957" si="916">IFERROR(V923/N906*1000000,0)</f>
        <v>723.76887771216582</v>
      </c>
      <c r="W946" s="192">
        <f t="shared" ref="W946:W957" si="917">IFERROR(W923/O906*1000000,0)</f>
        <v>30.855943965622988</v>
      </c>
      <c r="X946" s="192">
        <f>IFERROR(X923/P906*1000000,0)</f>
        <v>606.86237695759462</v>
      </c>
      <c r="Z946" s="169">
        <f>AA946*AB946</f>
        <v>1487.2552262141671</v>
      </c>
      <c r="AA946">
        <v>16</v>
      </c>
      <c r="AB946" s="90">
        <v>92.953451638385445</v>
      </c>
      <c r="AC946" s="187" t="s">
        <v>197</v>
      </c>
      <c r="AJ946" s="10" t="s">
        <v>28</v>
      </c>
      <c r="AK946" s="381">
        <f t="shared" si="902"/>
        <v>0</v>
      </c>
      <c r="AL946" s="381">
        <f t="shared" si="903"/>
        <v>0.89930505594163579</v>
      </c>
      <c r="AM946" s="381">
        <f t="shared" si="904"/>
        <v>0.90701825992669582</v>
      </c>
      <c r="AN946" s="381">
        <f t="shared" si="905"/>
        <v>0.8993679457587459</v>
      </c>
      <c r="AO946" s="381">
        <f t="shared" si="906"/>
        <v>0.87672983170950003</v>
      </c>
      <c r="AP946" s="381">
        <f t="shared" si="907"/>
        <v>0.8987162067473784</v>
      </c>
      <c r="AQ946" s="381">
        <f t="shared" si="908"/>
        <v>0.8936797733252797</v>
      </c>
    </row>
    <row r="947" spans="1:43">
      <c r="A947" s="186" t="s">
        <v>24</v>
      </c>
      <c r="K947">
        <v>348.5</v>
      </c>
      <c r="L947">
        <v>1.3</v>
      </c>
      <c r="M947">
        <v>2.8</v>
      </c>
      <c r="N947">
        <v>43.96</v>
      </c>
      <c r="O947">
        <v>16.100000000000001</v>
      </c>
      <c r="P947" s="266">
        <f t="shared" si="911"/>
        <v>412.66</v>
      </c>
      <c r="Q947" s="186" t="s">
        <v>17</v>
      </c>
      <c r="R947" s="200">
        <f t="shared" si="912"/>
        <v>0</v>
      </c>
      <c r="S947" s="200">
        <f t="shared" si="913"/>
        <v>595.34125480345142</v>
      </c>
      <c r="T947" s="200">
        <f t="shared" si="914"/>
        <v>1653.4174578331445</v>
      </c>
      <c r="U947" s="200">
        <f t="shared" si="915"/>
        <v>714.01889414547486</v>
      </c>
      <c r="V947" s="200">
        <f t="shared" si="916"/>
        <v>501.08695980900353</v>
      </c>
      <c r="W947" s="200">
        <f t="shared" si="917"/>
        <v>30.834298874065983</v>
      </c>
      <c r="X947" s="192">
        <f>IFERROR(X924/P907*1000000,0)</f>
        <v>303.62182136542901</v>
      </c>
      <c r="Z947" s="169">
        <f>AA947*AB947</f>
        <v>0</v>
      </c>
      <c r="AA947">
        <v>86.4</v>
      </c>
      <c r="AB947" s="90">
        <v>0</v>
      </c>
      <c r="AC947" s="186" t="s">
        <v>202</v>
      </c>
      <c r="AJ947" s="186"/>
    </row>
    <row r="948" spans="1:43">
      <c r="A948" s="186" t="s">
        <v>25</v>
      </c>
      <c r="K948">
        <v>407</v>
      </c>
      <c r="M948">
        <v>74.5</v>
      </c>
      <c r="O948">
        <v>0.2</v>
      </c>
      <c r="P948" s="266">
        <f t="shared" si="911"/>
        <v>481.7</v>
      </c>
      <c r="Q948" s="186" t="s">
        <v>18</v>
      </c>
      <c r="R948" s="200">
        <f t="shared" si="912"/>
        <v>0</v>
      </c>
      <c r="S948" s="200">
        <f t="shared" si="913"/>
        <v>739.91750852494374</v>
      </c>
      <c r="T948" s="200">
        <f t="shared" si="914"/>
        <v>0</v>
      </c>
      <c r="U948" s="200">
        <f t="shared" si="915"/>
        <v>1283.4224129675226</v>
      </c>
      <c r="V948" s="200">
        <f t="shared" si="916"/>
        <v>744.86380416523912</v>
      </c>
      <c r="W948" s="200">
        <f t="shared" si="917"/>
        <v>33.58241381087258</v>
      </c>
      <c r="X948" s="192">
        <f t="shared" ref="X948:X957" si="918">IFERROR(X925/P908*1000000,0)</f>
        <v>767.57338991959148</v>
      </c>
      <c r="Z948" s="169">
        <f t="shared" ref="Z948:Z953" si="919">AA948*AB948</f>
        <v>0</v>
      </c>
      <c r="AA948">
        <v>0</v>
      </c>
      <c r="AB948" s="90">
        <v>0</v>
      </c>
      <c r="AC948" s="186" t="s">
        <v>203</v>
      </c>
      <c r="AJ948" s="186"/>
    </row>
    <row r="949" spans="1:43">
      <c r="A949" s="186" t="s">
        <v>26</v>
      </c>
      <c r="J949">
        <v>18.399999999999999</v>
      </c>
      <c r="K949">
        <v>1903.8</v>
      </c>
      <c r="L949">
        <v>19.7</v>
      </c>
      <c r="M949">
        <v>331.8</v>
      </c>
      <c r="N949">
        <v>191.9</v>
      </c>
      <c r="O949">
        <v>0.1</v>
      </c>
      <c r="P949" s="266">
        <f t="shared" si="911"/>
        <v>2465.7000000000003</v>
      </c>
      <c r="Q949" s="186" t="s">
        <v>19</v>
      </c>
      <c r="R949" s="200">
        <f t="shared" si="912"/>
        <v>890.48823839475472</v>
      </c>
      <c r="S949" s="200">
        <f t="shared" si="913"/>
        <v>571.55425995268081</v>
      </c>
      <c r="T949" s="200">
        <f t="shared" si="914"/>
        <v>1800.4362688414203</v>
      </c>
      <c r="U949" s="200">
        <f t="shared" si="915"/>
        <v>784.88907324788704</v>
      </c>
      <c r="V949" s="200">
        <f t="shared" si="916"/>
        <v>891.24453591355166</v>
      </c>
      <c r="W949" s="200">
        <f t="shared" si="917"/>
        <v>0</v>
      </c>
      <c r="X949" s="192">
        <f>IFERROR(X926/P909*1000000,0)</f>
        <v>874.24439300276265</v>
      </c>
      <c r="Z949" s="169">
        <f t="shared" si="919"/>
        <v>0</v>
      </c>
      <c r="AA949">
        <v>44.4</v>
      </c>
      <c r="AB949" s="90">
        <v>0</v>
      </c>
      <c r="AC949" s="186" t="s">
        <v>136</v>
      </c>
      <c r="AJ949" s="193"/>
    </row>
    <row r="950" spans="1:43">
      <c r="A950" s="186" t="s">
        <v>27</v>
      </c>
      <c r="J950">
        <v>12.3</v>
      </c>
      <c r="K950">
        <v>306.8</v>
      </c>
      <c r="M950">
        <v>233.9</v>
      </c>
      <c r="N950">
        <v>85.2</v>
      </c>
      <c r="O950">
        <v>2.1</v>
      </c>
      <c r="P950" s="266">
        <f t="shared" si="911"/>
        <v>640.30000000000007</v>
      </c>
      <c r="Q950" s="186" t="s">
        <v>20</v>
      </c>
      <c r="R950" s="200">
        <f t="shared" si="912"/>
        <v>0</v>
      </c>
      <c r="S950" s="200">
        <f t="shared" si="913"/>
        <v>395.39722135014119</v>
      </c>
      <c r="T950" s="200">
        <f t="shared" si="914"/>
        <v>1794.3058002734285</v>
      </c>
      <c r="U950" s="200">
        <f t="shared" si="915"/>
        <v>2120.5049310383329</v>
      </c>
      <c r="V950" s="200">
        <f t="shared" si="916"/>
        <v>420.63760477035839</v>
      </c>
      <c r="W950" s="200">
        <f t="shared" si="917"/>
        <v>0</v>
      </c>
      <c r="X950" s="192">
        <f>IFERROR(X927/P910*1000000,0)</f>
        <v>397.85284133176287</v>
      </c>
      <c r="Z950" s="169">
        <f t="shared" si="919"/>
        <v>0</v>
      </c>
      <c r="AA950">
        <v>5.8</v>
      </c>
      <c r="AB950" s="90">
        <v>0</v>
      </c>
      <c r="AC950" s="186" t="s">
        <v>137</v>
      </c>
      <c r="AJ950" s="209"/>
    </row>
    <row r="951" spans="1:43">
      <c r="A951" s="186" t="s">
        <v>28</v>
      </c>
      <c r="K951">
        <v>111</v>
      </c>
      <c r="L951">
        <v>2.2000000000000002</v>
      </c>
      <c r="M951">
        <v>510.8</v>
      </c>
      <c r="N951">
        <v>206.4</v>
      </c>
      <c r="O951">
        <v>5.9</v>
      </c>
      <c r="P951" s="266">
        <f t="shared" si="911"/>
        <v>836.3</v>
      </c>
      <c r="Q951" s="186" t="s">
        <v>22</v>
      </c>
      <c r="R951" s="200">
        <f t="shared" si="912"/>
        <v>0</v>
      </c>
      <c r="S951" s="200">
        <f t="shared" si="913"/>
        <v>584.67911825645569</v>
      </c>
      <c r="T951" s="200">
        <f t="shared" si="914"/>
        <v>0</v>
      </c>
      <c r="U951" s="200">
        <f t="shared" si="915"/>
        <v>771.17788698389222</v>
      </c>
      <c r="V951" s="200">
        <f t="shared" si="916"/>
        <v>0</v>
      </c>
      <c r="W951" s="200">
        <f t="shared" si="917"/>
        <v>0</v>
      </c>
      <c r="X951" s="192">
        <f>IFERROR(X928/P911*1000000,0)</f>
        <v>615.90543946545336</v>
      </c>
      <c r="Z951" s="169">
        <f t="shared" si="919"/>
        <v>0</v>
      </c>
      <c r="AB951" s="90">
        <v>0</v>
      </c>
      <c r="AC951" s="188" t="s">
        <v>139</v>
      </c>
      <c r="AJ951" s="209"/>
    </row>
    <row r="952" spans="1:43">
      <c r="A952" s="193" t="s">
        <v>253</v>
      </c>
      <c r="J952" s="179">
        <f t="shared" ref="J952:O952" si="920">SUM(J953:J957)</f>
        <v>54.199999999999996</v>
      </c>
      <c r="K952" s="179">
        <f t="shared" si="920"/>
        <v>16928</v>
      </c>
      <c r="L952" s="179">
        <f t="shared" si="920"/>
        <v>825.4</v>
      </c>
      <c r="M952" s="179">
        <f t="shared" si="920"/>
        <v>2183.1999999999998</v>
      </c>
      <c r="N952" s="179">
        <f t="shared" si="920"/>
        <v>3860.05</v>
      </c>
      <c r="O952" s="179">
        <f t="shared" si="920"/>
        <v>147.94999999999999</v>
      </c>
      <c r="P952" s="266">
        <f t="shared" si="911"/>
        <v>23998.800000000003</v>
      </c>
      <c r="Q952" s="193" t="s">
        <v>23</v>
      </c>
      <c r="R952" s="192">
        <f t="shared" si="912"/>
        <v>581.27582842291031</v>
      </c>
      <c r="S952" s="192">
        <f t="shared" si="913"/>
        <v>377.34549755113426</v>
      </c>
      <c r="T952" s="192">
        <f t="shared" si="914"/>
        <v>1622.197535953308</v>
      </c>
      <c r="U952" s="192">
        <f t="shared" si="915"/>
        <v>571.39582744934978</v>
      </c>
      <c r="V952" s="192">
        <f t="shared" si="916"/>
        <v>505.01293018883308</v>
      </c>
      <c r="W952" s="192">
        <f t="shared" si="917"/>
        <v>25.130685222742986</v>
      </c>
      <c r="X952" s="192">
        <f t="shared" si="918"/>
        <v>443.99098253657206</v>
      </c>
      <c r="Z952" s="169">
        <f t="shared" si="919"/>
        <v>0</v>
      </c>
      <c r="AA952">
        <v>21.5</v>
      </c>
      <c r="AB952" s="90">
        <v>0</v>
      </c>
      <c r="AC952" s="186" t="s">
        <v>204</v>
      </c>
      <c r="AJ952" s="209"/>
    </row>
    <row r="953" spans="1:43">
      <c r="A953" s="186" t="s">
        <v>24</v>
      </c>
      <c r="K953">
        <v>993.7</v>
      </c>
      <c r="L953">
        <v>33.700000000000003</v>
      </c>
      <c r="M953">
        <v>13.6</v>
      </c>
      <c r="N953">
        <v>215.55</v>
      </c>
      <c r="O953">
        <v>111.35</v>
      </c>
      <c r="P953" s="266">
        <f t="shared" si="911"/>
        <v>1367.8999999999999</v>
      </c>
      <c r="Q953" s="186" t="s">
        <v>24</v>
      </c>
      <c r="R953" s="200">
        <f t="shared" si="912"/>
        <v>0</v>
      </c>
      <c r="S953" s="200">
        <f t="shared" si="913"/>
        <v>376.77327340802253</v>
      </c>
      <c r="T953" s="200">
        <f t="shared" si="914"/>
        <v>1669.5072477379151</v>
      </c>
      <c r="U953" s="200">
        <f t="shared" si="915"/>
        <v>475.38790765066182</v>
      </c>
      <c r="V953" s="200">
        <f t="shared" si="916"/>
        <v>405.87839056788982</v>
      </c>
      <c r="W953" s="200">
        <f t="shared" si="917"/>
        <v>23.287503809866394</v>
      </c>
      <c r="X953" s="192">
        <f t="shared" si="918"/>
        <v>385.42840500986409</v>
      </c>
      <c r="Z953" s="169">
        <f t="shared" si="919"/>
        <v>0</v>
      </c>
      <c r="AA953">
        <v>1.7</v>
      </c>
      <c r="AB953" s="90">
        <v>0</v>
      </c>
      <c r="AC953" s="186" t="s">
        <v>138</v>
      </c>
      <c r="AJ953" s="186"/>
    </row>
    <row r="954" spans="1:43">
      <c r="A954" s="186" t="s">
        <v>25</v>
      </c>
      <c r="K954">
        <v>936.7</v>
      </c>
      <c r="L954">
        <v>0.1</v>
      </c>
      <c r="M954">
        <v>165.6</v>
      </c>
      <c r="O954">
        <v>0.4</v>
      </c>
      <c r="P954" s="266">
        <f t="shared" si="911"/>
        <v>1102.8000000000002</v>
      </c>
      <c r="Q954" s="186" t="s">
        <v>25</v>
      </c>
      <c r="R954" s="200">
        <f t="shared" si="912"/>
        <v>0</v>
      </c>
      <c r="S954" s="200">
        <f t="shared" si="913"/>
        <v>354.45315676054145</v>
      </c>
      <c r="T954" s="200">
        <f t="shared" si="914"/>
        <v>891.83406900731211</v>
      </c>
      <c r="U954" s="200">
        <f t="shared" si="915"/>
        <v>489.44339769289564</v>
      </c>
      <c r="V954" s="200">
        <f t="shared" si="916"/>
        <v>0</v>
      </c>
      <c r="W954" s="200">
        <f t="shared" si="917"/>
        <v>19.399982980001781</v>
      </c>
      <c r="X954" s="192">
        <f t="shared" si="918"/>
        <v>372.98643567859511</v>
      </c>
      <c r="Z954" s="169">
        <f>AA954*AB954</f>
        <v>0</v>
      </c>
      <c r="AA954">
        <v>0.5</v>
      </c>
      <c r="AB954" s="90">
        <v>0</v>
      </c>
      <c r="AC954" s="186" t="s">
        <v>205</v>
      </c>
      <c r="AJ954" s="186"/>
    </row>
    <row r="955" spans="1:43">
      <c r="A955" s="186" t="s">
        <v>26</v>
      </c>
      <c r="J955">
        <v>37.799999999999997</v>
      </c>
      <c r="K955">
        <v>14161.6</v>
      </c>
      <c r="L955">
        <v>757.6</v>
      </c>
      <c r="M955">
        <v>653</v>
      </c>
      <c r="N955">
        <v>2164.9</v>
      </c>
      <c r="O955">
        <v>0.6</v>
      </c>
      <c r="P955" s="266">
        <f t="shared" si="911"/>
        <v>17775.5</v>
      </c>
      <c r="Q955" s="186" t="s">
        <v>26</v>
      </c>
      <c r="R955" s="200">
        <f t="shared" si="912"/>
        <v>600.54570293409665</v>
      </c>
      <c r="S955" s="200">
        <f t="shared" si="913"/>
        <v>376.04515378537241</v>
      </c>
      <c r="T955" s="200">
        <f t="shared" si="914"/>
        <v>1586.7597567990924</v>
      </c>
      <c r="U955" s="200">
        <f t="shared" si="915"/>
        <v>500.37544550352192</v>
      </c>
      <c r="V955" s="200">
        <f t="shared" si="916"/>
        <v>409.92527188147</v>
      </c>
      <c r="W955" s="200">
        <f t="shared" si="917"/>
        <v>63.178483680186801</v>
      </c>
      <c r="X955" s="192">
        <f t="shared" si="918"/>
        <v>428.34105064643416</v>
      </c>
      <c r="Z955" s="169">
        <f>AA955*AB955</f>
        <v>0</v>
      </c>
      <c r="AA955">
        <v>318.39999999999998</v>
      </c>
      <c r="AB955" s="90">
        <v>0</v>
      </c>
      <c r="AC955" s="186" t="s">
        <v>206</v>
      </c>
      <c r="AJ955" s="193"/>
    </row>
    <row r="956" spans="1:43">
      <c r="A956" s="186" t="s">
        <v>27</v>
      </c>
      <c r="J956">
        <v>16.399999999999999</v>
      </c>
      <c r="K956">
        <v>559.1</v>
      </c>
      <c r="M956">
        <v>359.2</v>
      </c>
      <c r="N956">
        <v>195.8</v>
      </c>
      <c r="O956">
        <v>4.5</v>
      </c>
      <c r="P956" s="266">
        <f t="shared" si="911"/>
        <v>1135</v>
      </c>
      <c r="Q956" s="186" t="s">
        <v>27</v>
      </c>
      <c r="R956" s="200">
        <f t="shared" si="912"/>
        <v>450.95609026162936</v>
      </c>
      <c r="S956" s="200">
        <f t="shared" si="913"/>
        <v>442.76318349622738</v>
      </c>
      <c r="T956" s="200">
        <f t="shared" si="914"/>
        <v>0</v>
      </c>
      <c r="U956" s="200">
        <f t="shared" si="915"/>
        <v>614.06874273403491</v>
      </c>
      <c r="V956" s="200">
        <f t="shared" si="916"/>
        <v>353.98308901727398</v>
      </c>
      <c r="W956" s="200">
        <f t="shared" si="917"/>
        <v>21.118016379006466</v>
      </c>
      <c r="X956" s="192">
        <f t="shared" si="918"/>
        <v>451.34510845188174</v>
      </c>
      <c r="Z956" s="169">
        <f>AA956*AB956</f>
        <v>0</v>
      </c>
      <c r="AA956">
        <v>0.8</v>
      </c>
      <c r="AB956" s="90">
        <v>0</v>
      </c>
      <c r="AC956" s="186" t="s">
        <v>219</v>
      </c>
      <c r="AJ956" s="186"/>
    </row>
    <row r="957" spans="1:43">
      <c r="A957" s="186" t="s">
        <v>28</v>
      </c>
      <c r="K957">
        <v>276.89999999999998</v>
      </c>
      <c r="L957">
        <v>34</v>
      </c>
      <c r="M957">
        <v>991.8</v>
      </c>
      <c r="N957">
        <v>1283.8</v>
      </c>
      <c r="O957">
        <v>31.1</v>
      </c>
      <c r="P957" s="266">
        <f t="shared" si="911"/>
        <v>2617.6</v>
      </c>
      <c r="Q957" s="186" t="s">
        <v>28</v>
      </c>
      <c r="R957" s="200">
        <f t="shared" si="912"/>
        <v>0</v>
      </c>
      <c r="S957" s="200">
        <f t="shared" si="913"/>
        <v>516.27400245477907</v>
      </c>
      <c r="T957" s="200">
        <f t="shared" si="914"/>
        <v>3195.738747276203</v>
      </c>
      <c r="U957" s="200">
        <f t="shared" si="915"/>
        <v>647.48957461223517</v>
      </c>
      <c r="V957" s="200">
        <f t="shared" si="916"/>
        <v>1025.765387071576</v>
      </c>
      <c r="W957" s="200">
        <f t="shared" si="917"/>
        <v>36.454913072311044</v>
      </c>
      <c r="X957" s="192">
        <f t="shared" si="918"/>
        <v>827.9451752038326</v>
      </c>
      <c r="AJ957" s="186"/>
    </row>
    <row r="958" spans="1:43">
      <c r="Q958" s="193" t="s">
        <v>9</v>
      </c>
      <c r="R958" s="195">
        <f t="shared" ref="R958:X958" si="921">R935/J918*1000000</f>
        <v>889.47937175868947</v>
      </c>
      <c r="S958" s="195">
        <f t="shared" si="921"/>
        <v>391.03234749628189</v>
      </c>
      <c r="T958" s="282">
        <f t="shared" si="921"/>
        <v>1657.0715088762943</v>
      </c>
      <c r="U958" s="194">
        <f t="shared" si="921"/>
        <v>678.29920307584575</v>
      </c>
      <c r="V958" s="194">
        <f t="shared" si="921"/>
        <v>565.99558753876204</v>
      </c>
      <c r="W958" s="194">
        <f t="shared" si="921"/>
        <v>29.232887568412714</v>
      </c>
      <c r="X958" s="195">
        <f t="shared" si="921"/>
        <v>526.31453265479502</v>
      </c>
      <c r="AJ958" s="186"/>
    </row>
    <row r="959" spans="1:43">
      <c r="J959" s="90">
        <f t="shared" ref="J959:O964" si="922">IFERROR((J912/11.63+J946)/J952,"")</f>
        <v>0.77208548955652923</v>
      </c>
      <c r="K959" s="90">
        <f t="shared" si="922"/>
        <v>0.62219601972117611</v>
      </c>
      <c r="L959" s="90">
        <f t="shared" si="922"/>
        <v>0.42153834165919912</v>
      </c>
      <c r="M959" s="90">
        <f t="shared" si="922"/>
        <v>0.72294401994815727</v>
      </c>
      <c r="N959" s="90">
        <f t="shared" si="922"/>
        <v>0.47778841494519503</v>
      </c>
      <c r="O959" s="90">
        <f t="shared" si="922"/>
        <v>0.51525157374342456</v>
      </c>
      <c r="P959" s="204">
        <f>P952-('5-x'!$P$82+'5-x'!$P$84)</f>
        <v>0</v>
      </c>
      <c r="R959" s="204">
        <f>'7'!V6</f>
        <v>889.47914790018706</v>
      </c>
      <c r="S959" s="204">
        <f>'7'!V7</f>
        <v>391.03106741154966</v>
      </c>
      <c r="T959" s="204"/>
      <c r="U959" s="204"/>
      <c r="V959" s="204"/>
      <c r="W959" s="204"/>
      <c r="X959" s="195">
        <f>'7'!V12</f>
        <v>526.3129167115593</v>
      </c>
      <c r="AJ959" s="186"/>
    </row>
    <row r="960" spans="1:43">
      <c r="J960" s="90" t="str">
        <f t="shared" si="922"/>
        <v/>
      </c>
      <c r="K960" s="90">
        <f t="shared" si="922"/>
        <v>0.68807995963564428</v>
      </c>
      <c r="L960" s="90">
        <f t="shared" si="922"/>
        <v>0.41619315644845645</v>
      </c>
      <c r="M960" s="90">
        <f t="shared" si="922"/>
        <v>0.63770168428506402</v>
      </c>
      <c r="N960" s="90">
        <f t="shared" si="922"/>
        <v>0.59415476775303155</v>
      </c>
      <c r="O960" s="90">
        <f t="shared" si="922"/>
        <v>0.53362373219160919</v>
      </c>
      <c r="P960" s="270">
        <f>(P929/41.868)-'5-x'!$P$82</f>
        <v>-3.1397399070556276E-3</v>
      </c>
      <c r="R960" s="222">
        <f>R958-R959</f>
        <v>2.2385850240880245E-4</v>
      </c>
      <c r="S960" s="222">
        <f>S958-S959</f>
        <v>1.2800847322296249E-3</v>
      </c>
      <c r="T960" s="222"/>
      <c r="U960" s="222"/>
      <c r="V960" s="222"/>
      <c r="W960" s="222"/>
      <c r="X960" s="222">
        <f>X958-X959</f>
        <v>1.6159432357198966E-3</v>
      </c>
      <c r="AJ960" s="186"/>
    </row>
    <row r="961" spans="1:36">
      <c r="J961" s="90" t="str">
        <f t="shared" si="922"/>
        <v/>
      </c>
      <c r="K961" s="90">
        <f t="shared" si="922"/>
        <v>0.73801561453965503</v>
      </c>
      <c r="L961" s="90">
        <f t="shared" si="922"/>
        <v>0.25795356835769556</v>
      </c>
      <c r="M961" s="90">
        <f t="shared" si="922"/>
        <v>0.72444816213274843</v>
      </c>
      <c r="N961" s="90" t="str">
        <f t="shared" si="922"/>
        <v/>
      </c>
      <c r="O961" s="90">
        <f t="shared" si="922"/>
        <v>0.77944969905417016</v>
      </c>
      <c r="P961" s="270">
        <f>(P923/41.868)-'5-x'!$P$83</f>
        <v>2.8848783731518779E-3</v>
      </c>
      <c r="AJ961" s="186"/>
    </row>
    <row r="962" spans="1:36">
      <c r="J962" s="90">
        <f t="shared" si="922"/>
        <v>0.74367968263067141</v>
      </c>
      <c r="K962" s="90">
        <f t="shared" si="922"/>
        <v>0.6054654064087468</v>
      </c>
      <c r="L962" s="90">
        <f t="shared" si="922"/>
        <v>0.42922018756792724</v>
      </c>
      <c r="M962" s="90">
        <f t="shared" si="922"/>
        <v>0.74397469711194708</v>
      </c>
      <c r="N962" s="90">
        <f t="shared" si="922"/>
        <v>0.53433993225854193</v>
      </c>
      <c r="O962" s="90">
        <f t="shared" si="922"/>
        <v>0.28131269704786477</v>
      </c>
      <c r="AJ962" s="186"/>
    </row>
    <row r="963" spans="1:36">
      <c r="J963" s="90">
        <f t="shared" si="922"/>
        <v>0.83755741039783582</v>
      </c>
      <c r="K963" s="90">
        <f t="shared" si="922"/>
        <v>0.73353425608931433</v>
      </c>
      <c r="L963" s="90" t="str">
        <f t="shared" si="922"/>
        <v/>
      </c>
      <c r="M963" s="90">
        <f t="shared" si="922"/>
        <v>0.77191145126171279</v>
      </c>
      <c r="N963" s="90">
        <f t="shared" si="922"/>
        <v>0.73454671928205117</v>
      </c>
      <c r="O963" s="90">
        <f t="shared" si="922"/>
        <v>0.70551256329416256</v>
      </c>
      <c r="AJ963" s="186"/>
    </row>
    <row r="964" spans="1:36">
      <c r="J964" s="90" t="str">
        <f t="shared" si="922"/>
        <v/>
      </c>
      <c r="K964" s="90">
        <f t="shared" si="922"/>
        <v>0.62481776032210201</v>
      </c>
      <c r="L964" s="90">
        <f t="shared" si="922"/>
        <v>0.25614789337919175</v>
      </c>
      <c r="M964" s="90">
        <f t="shared" si="922"/>
        <v>0.69228065667276484</v>
      </c>
      <c r="N964" s="90">
        <f t="shared" si="922"/>
        <v>0.3237267050460283</v>
      </c>
      <c r="O964" s="90">
        <f t="shared" si="922"/>
        <v>0.4230576759848822</v>
      </c>
      <c r="AJ964" s="186"/>
    </row>
    <row r="965" spans="1:36">
      <c r="A965" s="68" t="str">
        <f>$A$904</f>
        <v>Dati 2010 lorda</v>
      </c>
      <c r="J965" s="90"/>
      <c r="K965" s="90"/>
      <c r="L965" s="90"/>
      <c r="M965" s="90"/>
      <c r="N965" s="90"/>
      <c r="O965" s="90"/>
      <c r="AJ965" s="186"/>
    </row>
    <row r="966" spans="1:36">
      <c r="A966" s="68" t="s">
        <v>257</v>
      </c>
      <c r="B966" s="68"/>
      <c r="C966" s="68"/>
      <c r="D966" s="68"/>
      <c r="E966" s="68"/>
      <c r="F966" s="68"/>
      <c r="G966" s="68"/>
      <c r="H966" s="68"/>
      <c r="I966" s="68"/>
      <c r="J966" s="428">
        <v>0.13690999236926871</v>
      </c>
      <c r="K966" s="428">
        <v>8.3468434076785414</v>
      </c>
      <c r="L966" s="428">
        <v>0.16884324058662892</v>
      </c>
      <c r="M966" s="588">
        <v>3.8784817191730143</v>
      </c>
      <c r="N966" s="587">
        <v>1.4763555534524291</v>
      </c>
      <c r="O966" s="587">
        <v>0</v>
      </c>
      <c r="P966" s="287">
        <f>SUM(J966:O966)</f>
        <v>14.007433913259881</v>
      </c>
      <c r="AJ966" s="186"/>
    </row>
    <row r="967" spans="1:36">
      <c r="A967" t="s">
        <v>260</v>
      </c>
      <c r="J967" s="181">
        <f t="shared" ref="J967:P967" si="923">J966/(J946*11.63)*1000000</f>
        <v>383.45734066751078</v>
      </c>
      <c r="K967" s="181">
        <f t="shared" si="923"/>
        <v>233.23887659740089</v>
      </c>
      <c r="L967" s="181">
        <f t="shared" si="923"/>
        <v>625.7717873907734</v>
      </c>
      <c r="M967" s="181">
        <f t="shared" si="923"/>
        <v>289.03570788431529</v>
      </c>
      <c r="N967" s="181">
        <f t="shared" si="923"/>
        <v>240.66986638971335</v>
      </c>
      <c r="O967" s="181">
        <f t="shared" si="923"/>
        <v>0</v>
      </c>
      <c r="P967" s="181">
        <f t="shared" si="923"/>
        <v>249.01947221567406</v>
      </c>
      <c r="AJ967" s="186"/>
    </row>
    <row r="968" spans="1:36">
      <c r="AJ968" s="186"/>
    </row>
    <row r="969" spans="1:36">
      <c r="A969" s="68" t="s">
        <v>259</v>
      </c>
      <c r="B969" s="68"/>
      <c r="C969" s="68"/>
      <c r="D969" s="68"/>
      <c r="E969" s="68"/>
      <c r="F969" s="68"/>
      <c r="G969" s="68"/>
      <c r="H969" s="68"/>
      <c r="I969" s="68"/>
      <c r="J969" s="271">
        <f>J966+R929</f>
        <v>0.21226659076601478</v>
      </c>
      <c r="K969" s="271">
        <f t="shared" ref="K969:P969" si="924">K966+S929</f>
        <v>41.06522626019548</v>
      </c>
      <c r="L969" s="271">
        <f t="shared" si="924"/>
        <v>6.2953966746214869</v>
      </c>
      <c r="M969" s="271">
        <f t="shared" si="924"/>
        <v>6.6996343380386891</v>
      </c>
      <c r="N969" s="271">
        <f t="shared" si="924"/>
        <v>9.2104770754153513</v>
      </c>
      <c r="O969" s="271">
        <f t="shared" si="924"/>
        <v>1.5148777052269474E-2</v>
      </c>
      <c r="P969" s="271">
        <f t="shared" si="924"/>
        <v>63.498149716089287</v>
      </c>
      <c r="AJ969" s="186"/>
    </row>
    <row r="970" spans="1:36">
      <c r="A970" t="s">
        <v>260</v>
      </c>
      <c r="J970" s="90">
        <f>J969/((J946*11.63)+J912)*1000000</f>
        <v>436.15138204699753</v>
      </c>
      <c r="K970" s="90">
        <f t="shared" ref="K970:P970" si="925">K969/((K946*11.63)+K912)*1000000</f>
        <v>335.24447285973156</v>
      </c>
      <c r="L970" s="90">
        <f t="shared" si="925"/>
        <v>1555.7572673928603</v>
      </c>
      <c r="M970" s="90">
        <f t="shared" si="925"/>
        <v>364.98346741880005</v>
      </c>
      <c r="N970" s="90">
        <f t="shared" si="925"/>
        <v>429.41169269411756</v>
      </c>
      <c r="O970" s="90">
        <f t="shared" si="925"/>
        <v>17.086911217892592</v>
      </c>
      <c r="P970" s="90">
        <f t="shared" si="925"/>
        <v>378.60024318297189</v>
      </c>
      <c r="AJ970" s="186"/>
    </row>
    <row r="971" spans="1:36">
      <c r="AJ971" s="186"/>
    </row>
    <row r="972" spans="1:36">
      <c r="A972" s="68" t="s">
        <v>261</v>
      </c>
      <c r="B972" s="68"/>
      <c r="C972" s="68"/>
      <c r="D972" s="68"/>
      <c r="E972" s="68"/>
      <c r="F972" s="68"/>
      <c r="G972" s="68"/>
      <c r="H972" s="68"/>
      <c r="I972" s="68"/>
      <c r="J972" s="266">
        <f t="shared" ref="J972:P972" si="926">IFERROR((J$967*J946*11.63/1000000+R929)/(J946*11.63+J912)*1000000,"")</f>
        <v>436.15138204699758</v>
      </c>
      <c r="K972" s="266">
        <f t="shared" si="926"/>
        <v>335.24447285973156</v>
      </c>
      <c r="L972" s="266">
        <f t="shared" si="926"/>
        <v>1555.7572673928603</v>
      </c>
      <c r="M972" s="266">
        <f t="shared" si="926"/>
        <v>364.98346741880005</v>
      </c>
      <c r="N972" s="266">
        <f t="shared" si="926"/>
        <v>429.41169269411756</v>
      </c>
      <c r="O972" s="266">
        <f t="shared" si="926"/>
        <v>17.086911217892592</v>
      </c>
      <c r="P972" s="266">
        <f t="shared" si="926"/>
        <v>378.60024318297189</v>
      </c>
      <c r="Q972" s="254"/>
      <c r="R972" s="255">
        <f>IFERROR(J972/R952-1,"")</f>
        <v>-0.24966537275368461</v>
      </c>
      <c r="S972" s="255">
        <f t="shared" ref="S972:X972" si="927">IFERROR(K972/S952-1,"")</f>
        <v>-0.11157155700711008</v>
      </c>
      <c r="T972" s="255">
        <f t="shared" si="927"/>
        <v>-4.0956953199539403E-2</v>
      </c>
      <c r="U972" s="255">
        <f t="shared" si="927"/>
        <v>-0.36124232994831718</v>
      </c>
      <c r="V972" s="255">
        <f t="shared" si="927"/>
        <v>-0.14970158777211295</v>
      </c>
      <c r="W972" s="255">
        <f t="shared" si="927"/>
        <v>-0.32007778274071375</v>
      </c>
      <c r="X972" s="255">
        <f t="shared" si="927"/>
        <v>-0.14727943117226228</v>
      </c>
      <c r="AJ972" s="186"/>
    </row>
    <row r="973" spans="1:36">
      <c r="A973" s="186" t="s">
        <v>24</v>
      </c>
      <c r="J973" s="181" t="str">
        <f>IFERROR((J$967*J947*11.63/1000000+R930)/(J947*11.63+J913)*1000000,"")</f>
        <v/>
      </c>
      <c r="K973" s="181">
        <f t="shared" ref="K973:P973" si="928">IFERROR((K$967*K947*11.63/1000000+S930)/(K947*11.63+K913)*1000000,"")</f>
        <v>303.61481053124896</v>
      </c>
      <c r="L973" s="181">
        <f t="shared" si="928"/>
        <v>1572.7666079290123</v>
      </c>
      <c r="M973" s="181">
        <f t="shared" si="928"/>
        <v>415.2239935366934</v>
      </c>
      <c r="N973" s="181">
        <f t="shared" si="928"/>
        <v>349.17062676934501</v>
      </c>
      <c r="O973" s="181">
        <f t="shared" si="928"/>
        <v>16.977589555802879</v>
      </c>
      <c r="P973" s="181">
        <f t="shared" si="928"/>
        <v>322.45887907813363</v>
      </c>
      <c r="Q973" s="254"/>
      <c r="R973" s="254" t="str">
        <f>IFERROR(J973/R953-1,"")</f>
        <v/>
      </c>
      <c r="S973" s="254">
        <f t="shared" ref="S973:X973" si="929">IFERROR(K973/S953-1,"")</f>
        <v>-0.19417105203623986</v>
      </c>
      <c r="T973" s="254">
        <f t="shared" si="929"/>
        <v>-5.7945624339146073E-2</v>
      </c>
      <c r="U973" s="254">
        <f t="shared" si="929"/>
        <v>-0.12655751891396405</v>
      </c>
      <c r="V973" s="254">
        <f t="shared" si="929"/>
        <v>-0.13971614433377799</v>
      </c>
      <c r="W973" s="254">
        <f t="shared" si="929"/>
        <v>-0.27095708950094277</v>
      </c>
      <c r="X973" s="254">
        <f t="shared" si="929"/>
        <v>-0.16337541580548254</v>
      </c>
      <c r="AJ973" s="186"/>
    </row>
    <row r="974" spans="1:36">
      <c r="A974" s="186" t="s">
        <v>25</v>
      </c>
      <c r="J974" s="181" t="str">
        <f t="shared" ref="J974:P974" si="930">IFERROR((J$967*J948*11.63/1000000+R931)/(J948*11.63+J914)*1000000,"")</f>
        <v/>
      </c>
      <c r="K974" s="181">
        <f t="shared" si="930"/>
        <v>283.08867353680711</v>
      </c>
      <c r="L974" s="181">
        <f t="shared" si="930"/>
        <v>891.83406900731211</v>
      </c>
      <c r="M974" s="181">
        <f t="shared" si="930"/>
        <v>364.99107480872391</v>
      </c>
      <c r="N974" s="181" t="str">
        <f t="shared" si="930"/>
        <v/>
      </c>
      <c r="O974" s="181">
        <f t="shared" si="930"/>
        <v>6.9553165675682056</v>
      </c>
      <c r="P974" s="181">
        <f t="shared" si="930"/>
        <v>299.41018169179546</v>
      </c>
      <c r="Q974" s="254"/>
      <c r="R974" s="254" t="str">
        <f t="shared" ref="R974:X974" si="931">IFERROR(J974/R954-1,"")</f>
        <v/>
      </c>
      <c r="S974" s="254">
        <f t="shared" si="931"/>
        <v>-0.20133685329806827</v>
      </c>
      <c r="T974" s="254">
        <f t="shared" si="931"/>
        <v>0</v>
      </c>
      <c r="U974" s="254">
        <f t="shared" si="931"/>
        <v>-0.25427316717480808</v>
      </c>
      <c r="V974" s="254" t="str">
        <f t="shared" si="931"/>
        <v/>
      </c>
      <c r="W974" s="254">
        <f t="shared" si="931"/>
        <v>-0.64147821290678442</v>
      </c>
      <c r="X974" s="254">
        <f t="shared" si="931"/>
        <v>-0.19726254616454952</v>
      </c>
      <c r="AJ974" s="186"/>
    </row>
    <row r="975" spans="1:36">
      <c r="A975" s="186" t="s">
        <v>26</v>
      </c>
      <c r="J975" s="181">
        <f t="shared" ref="J975:P975" si="932">IFERROR((J$967*J949*11.63/1000000+R932)/(J949*11.63+J915)*1000000,"")</f>
        <v>458.45140559351438</v>
      </c>
      <c r="K975" s="181">
        <f t="shared" si="932"/>
        <v>344.3372915766252</v>
      </c>
      <c r="L975" s="181">
        <f t="shared" si="932"/>
        <v>1528.5408466898591</v>
      </c>
      <c r="M975" s="181">
        <f t="shared" si="932"/>
        <v>356.03561231383247</v>
      </c>
      <c r="N975" s="181">
        <f t="shared" si="932"/>
        <v>381.84753817325367</v>
      </c>
      <c r="O975" s="181">
        <f t="shared" si="932"/>
        <v>25.747726410672158</v>
      </c>
      <c r="P975" s="181">
        <f t="shared" si="932"/>
        <v>386.51177148333477</v>
      </c>
      <c r="Q975" s="254"/>
      <c r="R975" s="254">
        <f t="shared" ref="R975:X975" si="933">IFERROR(J975/R955-1,"")</f>
        <v>-0.23660863219293671</v>
      </c>
      <c r="S975" s="254">
        <f t="shared" si="933"/>
        <v>-8.4319294876073481E-2</v>
      </c>
      <c r="T975" s="254">
        <f t="shared" si="933"/>
        <v>-3.6690437767766482E-2</v>
      </c>
      <c r="U975" s="254">
        <f t="shared" si="933"/>
        <v>-0.28846306206021355</v>
      </c>
      <c r="V975" s="254">
        <f t="shared" si="933"/>
        <v>-6.8494761446020402E-2</v>
      </c>
      <c r="W975" s="254">
        <f t="shared" si="933"/>
        <v>-0.59246051961283741</v>
      </c>
      <c r="X975" s="254">
        <f t="shared" si="933"/>
        <v>-9.7654145219031485E-2</v>
      </c>
      <c r="AJ975" s="186"/>
    </row>
    <row r="976" spans="1:36">
      <c r="A976" s="186" t="s">
        <v>27</v>
      </c>
      <c r="J976" s="181">
        <f t="shared" ref="J976:P976" si="934">IFERROR((J$967*J950*11.63/1000000+R933)/(J950*11.63+J916)*1000000,"")</f>
        <v>390.51359215091156</v>
      </c>
      <c r="K976" s="181">
        <f t="shared" si="934"/>
        <v>286.02317156738837</v>
      </c>
      <c r="L976" s="181" t="str">
        <f t="shared" si="934"/>
        <v/>
      </c>
      <c r="M976" s="181">
        <f t="shared" si="934"/>
        <v>339.87728972641463</v>
      </c>
      <c r="N976" s="181">
        <f t="shared" si="934"/>
        <v>286.85750535115648</v>
      </c>
      <c r="O976" s="181">
        <f t="shared" si="934"/>
        <v>7.1493433561081376</v>
      </c>
      <c r="P976" s="181">
        <f t="shared" si="934"/>
        <v>298.59737991155879</v>
      </c>
      <c r="Q976" s="254"/>
      <c r="R976" s="254">
        <f t="shared" ref="R976:X976" si="935">IFERROR(J976/R956-1,"")</f>
        <v>-0.13403189227503531</v>
      </c>
      <c r="S976" s="254">
        <f t="shared" si="935"/>
        <v>-0.35400416694802839</v>
      </c>
      <c r="T976" s="254" t="str">
        <f t="shared" si="935"/>
        <v/>
      </c>
      <c r="U976" s="254">
        <f t="shared" si="935"/>
        <v>-0.44651589297124983</v>
      </c>
      <c r="V976" s="254">
        <f t="shared" si="935"/>
        <v>-0.18962935165199901</v>
      </c>
      <c r="W976" s="254">
        <f t="shared" si="935"/>
        <v>-0.66145762803672514</v>
      </c>
      <c r="X976" s="254">
        <f t="shared" si="935"/>
        <v>-0.33842779212618301</v>
      </c>
      <c r="AJ976" s="186"/>
    </row>
    <row r="977" spans="1:43">
      <c r="A977" s="186" t="s">
        <v>28</v>
      </c>
      <c r="J977" s="181" t="str">
        <f t="shared" ref="J977:P977" si="936">IFERROR((J$967*J951*11.63/1000000+R934)/(J951*11.63+J917)*1000000,"")</f>
        <v/>
      </c>
      <c r="K977" s="181">
        <f t="shared" si="936"/>
        <v>334.68606577918399</v>
      </c>
      <c r="L977" s="181">
        <f t="shared" si="936"/>
        <v>2546.5357514462894</v>
      </c>
      <c r="M977" s="181">
        <f t="shared" si="936"/>
        <v>380.81730493705248</v>
      </c>
      <c r="N977" s="181">
        <f t="shared" si="936"/>
        <v>635.86264076183056</v>
      </c>
      <c r="O977" s="181">
        <f t="shared" si="936"/>
        <v>20.10753487065524</v>
      </c>
      <c r="P977" s="181">
        <f t="shared" si="936"/>
        <v>454.68011253115702</v>
      </c>
      <c r="Q977" s="254"/>
      <c r="R977" s="254" t="str">
        <f t="shared" ref="R977:X977" si="937">IFERROR(J977/R957-1,"")</f>
        <v/>
      </c>
      <c r="S977" s="254">
        <f t="shared" si="937"/>
        <v>-0.35172783408070318</v>
      </c>
      <c r="T977" s="254">
        <f t="shared" si="937"/>
        <v>-0.20314645444132229</v>
      </c>
      <c r="U977" s="254">
        <f t="shared" si="937"/>
        <v>-0.41185569641779307</v>
      </c>
      <c r="V977" s="254">
        <f t="shared" si="937"/>
        <v>-0.38010908851473924</v>
      </c>
      <c r="W977" s="254">
        <f t="shared" si="937"/>
        <v>-0.44842729892757005</v>
      </c>
      <c r="X977" s="254">
        <f t="shared" si="937"/>
        <v>-0.4508330670334314</v>
      </c>
      <c r="AJ977" s="186"/>
    </row>
    <row r="978" spans="1:43">
      <c r="J978" s="90"/>
      <c r="K978" s="90"/>
      <c r="L978" s="90"/>
      <c r="M978" s="90"/>
      <c r="N978" s="90"/>
      <c r="O978" s="90"/>
      <c r="AJ978" s="186"/>
    </row>
    <row r="979" spans="1:43">
      <c r="J979" s="90"/>
      <c r="K979" s="90"/>
      <c r="L979" s="90"/>
      <c r="M979" s="90"/>
      <c r="N979" s="90"/>
      <c r="O979" s="90"/>
      <c r="AJ979" s="186"/>
    </row>
    <row r="980" spans="1:43">
      <c r="J980" s="90"/>
      <c r="K980" s="90"/>
      <c r="L980" s="90"/>
      <c r="M980" s="90"/>
      <c r="N980" s="90"/>
      <c r="O980" s="90"/>
      <c r="AJ980" s="186"/>
    </row>
    <row r="981" spans="1:43">
      <c r="J981" s="90"/>
      <c r="K981" s="90"/>
      <c r="L981" s="90"/>
      <c r="M981" s="90"/>
      <c r="N981" s="90"/>
      <c r="O981" s="90"/>
      <c r="AJ981" s="186"/>
    </row>
    <row r="982" spans="1:43">
      <c r="J982" s="90"/>
      <c r="K982" s="90"/>
      <c r="L982" s="90"/>
      <c r="M982" s="90"/>
      <c r="N982" s="90"/>
      <c r="O982" s="90"/>
      <c r="AJ982" s="186"/>
    </row>
    <row r="983" spans="1:43">
      <c r="J983" s="90"/>
      <c r="K983" s="90"/>
      <c r="L983" s="90"/>
      <c r="M983" s="90"/>
      <c r="N983" s="90"/>
      <c r="O983" s="90"/>
      <c r="AJ983" s="186"/>
    </row>
    <row r="984" spans="1:43">
      <c r="J984" s="90"/>
      <c r="K984" s="90"/>
      <c r="L984" s="90"/>
      <c r="M984" s="90"/>
      <c r="N984" s="90"/>
      <c r="O984" s="90"/>
      <c r="AJ984" s="186"/>
    </row>
    <row r="985" spans="1:43">
      <c r="V985">
        <f>174-161</f>
        <v>13</v>
      </c>
      <c r="AJ985" s="186"/>
    </row>
    <row r="986" spans="1:43">
      <c r="V986">
        <f>179-V985</f>
        <v>166</v>
      </c>
      <c r="AJ986" s="186"/>
    </row>
    <row r="987" spans="1:43">
      <c r="A987" s="68" t="s">
        <v>220</v>
      </c>
      <c r="J987" s="68" t="s">
        <v>175</v>
      </c>
      <c r="R987" s="68" t="s">
        <v>122</v>
      </c>
      <c r="S987" s="68"/>
      <c r="AA987" s="68" t="s">
        <v>194</v>
      </c>
      <c r="AB987" s="183" t="s">
        <v>193</v>
      </c>
      <c r="AJ987" s="68" t="s">
        <v>264</v>
      </c>
    </row>
    <row r="988" spans="1:43" ht="15.5">
      <c r="A988" s="68"/>
      <c r="J988" s="180" t="s">
        <v>5</v>
      </c>
      <c r="K988" s="180" t="s">
        <v>186</v>
      </c>
      <c r="L988" s="180" t="s">
        <v>187</v>
      </c>
      <c r="M988" s="180" t="s">
        <v>190</v>
      </c>
      <c r="N988" s="180" t="s">
        <v>192</v>
      </c>
      <c r="O988" s="180" t="s">
        <v>191</v>
      </c>
      <c r="P988" s="180" t="s">
        <v>189</v>
      </c>
      <c r="Q988" s="2"/>
      <c r="R988" s="180" t="s">
        <v>5</v>
      </c>
      <c r="S988" s="180" t="s">
        <v>186</v>
      </c>
      <c r="T988" s="180" t="s">
        <v>187</v>
      </c>
      <c r="U988" s="180" t="s">
        <v>190</v>
      </c>
      <c r="V988" s="180" t="s">
        <v>192</v>
      </c>
      <c r="W988" s="180" t="s">
        <v>191</v>
      </c>
      <c r="X988" s="180" t="s">
        <v>189</v>
      </c>
      <c r="AA988" s="68" t="s">
        <v>5</v>
      </c>
      <c r="AJ988" s="68"/>
      <c r="AK988" s="180" t="s">
        <v>5</v>
      </c>
      <c r="AL988" s="180" t="s">
        <v>186</v>
      </c>
      <c r="AM988" s="180" t="s">
        <v>187</v>
      </c>
      <c r="AN988" s="180" t="s">
        <v>190</v>
      </c>
      <c r="AO988" s="180" t="s">
        <v>192</v>
      </c>
      <c r="AP988" s="180" t="s">
        <v>191</v>
      </c>
      <c r="AQ988" s="180" t="s">
        <v>189</v>
      </c>
    </row>
    <row r="989" spans="1:43" ht="15.5">
      <c r="A989" s="11" t="s">
        <v>16</v>
      </c>
      <c r="J989" s="179">
        <f t="shared" ref="J989:P989" si="938">SUM(J990:J994)</f>
        <v>43069.4</v>
      </c>
      <c r="K989" s="179">
        <f t="shared" si="938"/>
        <v>81680.600000000006</v>
      </c>
      <c r="L989" s="179">
        <f t="shared" si="938"/>
        <v>2059.5</v>
      </c>
      <c r="M989" s="179">
        <f t="shared" si="938"/>
        <v>27658.100000000002</v>
      </c>
      <c r="N989" s="179">
        <f t="shared" si="938"/>
        <v>2008.5</v>
      </c>
      <c r="O989" s="179">
        <f t="shared" si="938"/>
        <v>1053.8</v>
      </c>
      <c r="P989" s="179">
        <f t="shared" si="938"/>
        <v>157529.9</v>
      </c>
      <c r="Q989" s="2"/>
      <c r="R989" s="206">
        <v>9.7887383999999997</v>
      </c>
      <c r="S989" s="206">
        <v>7.2808451999999999</v>
      </c>
      <c r="T989" s="206">
        <v>10.165550399999999</v>
      </c>
      <c r="U989" s="206">
        <v>9.5793983999999988</v>
      </c>
      <c r="V989" s="206">
        <v>18.451227599999999</v>
      </c>
      <c r="W989" s="206">
        <v>10.718208000000001</v>
      </c>
      <c r="X989" s="206">
        <v>8.5745664000000001</v>
      </c>
      <c r="Z989" s="169">
        <f>AA989*AB989</f>
        <v>957945.97731600225</v>
      </c>
      <c r="AA989" s="207">
        <v>10159.1</v>
      </c>
      <c r="AB989" s="246">
        <v>94.29437423748189</v>
      </c>
      <c r="AC989" s="186" t="s">
        <v>58</v>
      </c>
      <c r="AH989" s="186"/>
      <c r="AI989" s="207"/>
      <c r="AJ989" s="11" t="s">
        <v>16</v>
      </c>
      <c r="AK989" s="256">
        <f>IFERROR(J989*3.6/J1006,"")</f>
        <v>0.36776955853677729</v>
      </c>
      <c r="AL989" s="256">
        <f t="shared" ref="AL989:AL1001" si="939">IFERROR(K989*3.6/K1006,"")</f>
        <v>0.49448518056676388</v>
      </c>
      <c r="AM989" s="256">
        <f t="shared" ref="AM989:AM1001" si="940">IFERROR(L989*3.6/L1006,"")</f>
        <v>0.35415429116275626</v>
      </c>
      <c r="AN989" s="256">
        <f t="shared" ref="AN989:AN1001" si="941">IFERROR(M989*3.6/M1006,"")</f>
        <v>0.3757536569378479</v>
      </c>
      <c r="AO989" s="256">
        <f t="shared" ref="AO989:AO1001" si="942">IFERROR(N989*3.6/N1006,"")</f>
        <v>0.19514083708283092</v>
      </c>
      <c r="AP989" s="256">
        <f t="shared" ref="AP989:AP998" si="943">IFERROR(O989*3.6/O1006,"")</f>
        <v>0.33586045906208917</v>
      </c>
      <c r="AQ989" s="256">
        <f t="shared" ref="AQ989:AQ1001" si="944">IFERROR(P989*3.6/P1006,"")</f>
        <v>0.41991702994863439</v>
      </c>
    </row>
    <row r="990" spans="1:43">
      <c r="A990" s="10" t="s">
        <v>17</v>
      </c>
      <c r="K990">
        <v>256.39999999999998</v>
      </c>
      <c r="L990">
        <v>23.6</v>
      </c>
      <c r="M990">
        <v>270.7</v>
      </c>
      <c r="N990">
        <v>34.299999999999997</v>
      </c>
      <c r="O990">
        <v>1017.6</v>
      </c>
      <c r="P990" s="68">
        <f>SUM(J990:O990)</f>
        <v>1602.6</v>
      </c>
      <c r="R990" s="171"/>
      <c r="S990" s="171">
        <v>9.8808479999999985</v>
      </c>
      <c r="T990" s="171">
        <v>9.0393011999999988</v>
      </c>
      <c r="U990" s="171">
        <v>9.8347932</v>
      </c>
      <c r="V990" s="171">
        <v>33.875398799999999</v>
      </c>
      <c r="W990" s="171">
        <v>10.630285199999999</v>
      </c>
      <c r="X990" s="206">
        <v>10.8521856</v>
      </c>
      <c r="Z990" s="169">
        <f>AA990*AB990</f>
        <v>0</v>
      </c>
      <c r="AA990" s="207">
        <v>0</v>
      </c>
      <c r="AB990" s="186">
        <v>94.305048520078358</v>
      </c>
      <c r="AC990" s="186" t="s">
        <v>59</v>
      </c>
      <c r="AH990" s="186"/>
      <c r="AI990" s="207"/>
      <c r="AJ990" s="10" t="s">
        <v>17</v>
      </c>
      <c r="AK990" s="56" t="str">
        <f t="shared" ref="AK990:AK1001" si="945">IFERROR(J990*3.6/J1007,"")</f>
        <v/>
      </c>
      <c r="AL990" s="56">
        <f t="shared" si="939"/>
        <v>0.3643411982453329</v>
      </c>
      <c r="AM990" s="56">
        <f t="shared" si="940"/>
        <v>0.39826087441361069</v>
      </c>
      <c r="AN990" s="56">
        <f t="shared" si="941"/>
        <v>0.36604735115325054</v>
      </c>
      <c r="AO990" s="56">
        <f t="shared" si="942"/>
        <v>0.10627181162513724</v>
      </c>
      <c r="AP990" s="56">
        <f t="shared" si="943"/>
        <v>0.33865507202008088</v>
      </c>
      <c r="AQ990" s="256">
        <f t="shared" si="944"/>
        <v>0.33179437558999003</v>
      </c>
    </row>
    <row r="991" spans="1:43">
      <c r="A991" s="10" t="s">
        <v>18</v>
      </c>
      <c r="K991">
        <v>725.4</v>
      </c>
      <c r="M991">
        <v>94.1</v>
      </c>
      <c r="O991">
        <v>36.200000000000003</v>
      </c>
      <c r="P991" s="68">
        <f>SUM(J991:O991)</f>
        <v>855.7</v>
      </c>
      <c r="R991" s="171"/>
      <c r="S991" s="171">
        <v>12.2589504</v>
      </c>
      <c r="T991" s="171"/>
      <c r="U991" s="171">
        <v>15.813543599999999</v>
      </c>
      <c r="V991" s="171"/>
      <c r="W991" s="171">
        <v>13.2051672</v>
      </c>
      <c r="X991" s="206">
        <v>12.6901908</v>
      </c>
      <c r="Z991" s="169">
        <f>AA991*AB991</f>
        <v>0</v>
      </c>
      <c r="AA991" s="207">
        <v>0</v>
      </c>
      <c r="AB991" s="186">
        <v>101</v>
      </c>
      <c r="AC991" s="186" t="s">
        <v>60</v>
      </c>
      <c r="AH991" s="186"/>
      <c r="AI991" s="207"/>
      <c r="AJ991" s="10" t="s">
        <v>18</v>
      </c>
      <c r="AK991" s="56" t="str">
        <f t="shared" si="945"/>
        <v/>
      </c>
      <c r="AL991" s="56">
        <f t="shared" si="939"/>
        <v>0.29366298765675736</v>
      </c>
      <c r="AM991" s="56" t="str">
        <f t="shared" si="940"/>
        <v/>
      </c>
      <c r="AN991" s="56">
        <f t="shared" si="941"/>
        <v>0.22765295945432498</v>
      </c>
      <c r="AO991" s="56" t="str">
        <f t="shared" si="942"/>
        <v/>
      </c>
      <c r="AP991" s="56">
        <f t="shared" si="943"/>
        <v>0.27262055417215775</v>
      </c>
      <c r="AQ991" s="256">
        <f t="shared" si="944"/>
        <v>0.2836907876450111</v>
      </c>
    </row>
    <row r="992" spans="1:43">
      <c r="A992" s="10" t="s">
        <v>19</v>
      </c>
      <c r="J992">
        <v>43069.4</v>
      </c>
      <c r="K992">
        <v>5928.7</v>
      </c>
      <c r="L992">
        <v>2035.9</v>
      </c>
      <c r="M992">
        <v>25264.2</v>
      </c>
      <c r="N992">
        <v>1952.5</v>
      </c>
      <c r="P992" s="68">
        <f>SUM(J992:O992)</f>
        <v>78250.7</v>
      </c>
      <c r="R992" s="171">
        <v>9.7887383999999997</v>
      </c>
      <c r="S992" s="171">
        <v>9.4789151999999994</v>
      </c>
      <c r="T992" s="171">
        <v>10.178110800000001</v>
      </c>
      <c r="U992" s="171">
        <v>9.6296399999999984</v>
      </c>
      <c r="V992" s="171">
        <v>18.216766799999998</v>
      </c>
      <c r="W992" s="171"/>
      <c r="X992" s="206">
        <v>9.9352764000000011</v>
      </c>
      <c r="Z992" s="169">
        <f>AA992*AB992</f>
        <v>0</v>
      </c>
      <c r="AA992" s="207">
        <v>0</v>
      </c>
      <c r="AB992" s="189">
        <v>96.1</v>
      </c>
      <c r="AC992" s="186" t="s">
        <v>61</v>
      </c>
      <c r="AH992" s="186"/>
      <c r="AI992" s="207"/>
      <c r="AJ992" s="10" t="s">
        <v>19</v>
      </c>
      <c r="AK992" s="56">
        <f t="shared" si="945"/>
        <v>0.36776955853677729</v>
      </c>
      <c r="AL992" s="56">
        <f t="shared" si="939"/>
        <v>0.37979029499071798</v>
      </c>
      <c r="AM992" s="56">
        <f t="shared" si="940"/>
        <v>0.3537002171365633</v>
      </c>
      <c r="AN992" s="56">
        <f t="shared" si="941"/>
        <v>0.37384575124303721</v>
      </c>
      <c r="AO992" s="56">
        <f t="shared" si="942"/>
        <v>0.19762013970558159</v>
      </c>
      <c r="AP992" s="56" t="str">
        <f t="shared" si="943"/>
        <v/>
      </c>
      <c r="AQ992" s="256">
        <f t="shared" si="944"/>
        <v>0.36237999883101413</v>
      </c>
    </row>
    <row r="993" spans="1:43">
      <c r="A993" s="10" t="s">
        <v>20</v>
      </c>
      <c r="K993">
        <v>58677.5</v>
      </c>
      <c r="M993">
        <v>2.7</v>
      </c>
      <c r="N993">
        <v>21.7</v>
      </c>
      <c r="P993" s="68">
        <f>SUM(J993:O993)</f>
        <v>58701.899999999994</v>
      </c>
      <c r="R993" s="171"/>
      <c r="S993" s="171">
        <v>6.5774627999999993</v>
      </c>
      <c r="T993" s="171"/>
      <c r="U993" s="171">
        <v>17.3919672</v>
      </c>
      <c r="V993" s="171">
        <v>14.888260799999999</v>
      </c>
      <c r="W993" s="171"/>
      <c r="X993" s="206">
        <v>6.5816496000000004</v>
      </c>
      <c r="AA993" s="68" t="s">
        <v>186</v>
      </c>
      <c r="AH993" s="193"/>
      <c r="AI993" s="210"/>
      <c r="AJ993" s="10" t="s">
        <v>20</v>
      </c>
      <c r="AK993" s="56" t="str">
        <f t="shared" si="945"/>
        <v/>
      </c>
      <c r="AL993" s="56">
        <f t="shared" si="939"/>
        <v>0.5473235059573428</v>
      </c>
      <c r="AM993" s="56" t="str">
        <f t="shared" si="940"/>
        <v/>
      </c>
      <c r="AN993" s="56">
        <f t="shared" si="941"/>
        <v>0.20699211070269269</v>
      </c>
      <c r="AO993" s="56">
        <f t="shared" si="942"/>
        <v>0.24180124517969223</v>
      </c>
      <c r="AP993" s="56" t="str">
        <f t="shared" si="943"/>
        <v/>
      </c>
      <c r="AQ993" s="256">
        <f t="shared" si="944"/>
        <v>0.54702663202796986</v>
      </c>
    </row>
    <row r="994" spans="1:43">
      <c r="A994" s="10" t="s">
        <v>22</v>
      </c>
      <c r="K994">
        <v>16092.6</v>
      </c>
      <c r="M994">
        <v>2026.4</v>
      </c>
      <c r="P994" s="68">
        <f>SUM(J994:O994)</f>
        <v>18119</v>
      </c>
      <c r="R994" s="171"/>
      <c r="S994" s="171">
        <v>8.7671591999999983</v>
      </c>
      <c r="T994" s="171"/>
      <c r="U994" s="171">
        <v>8.6373683999999997</v>
      </c>
      <c r="V994" s="171"/>
      <c r="W994" s="171"/>
      <c r="X994" s="206">
        <v>8.7545988000000001</v>
      </c>
      <c r="AA994" s="207">
        <v>25283.599999999999</v>
      </c>
      <c r="AB994" s="186">
        <v>55.871124635974198</v>
      </c>
      <c r="AC994" s="186" t="s">
        <v>62</v>
      </c>
      <c r="AH994" s="186"/>
      <c r="AI994" s="207"/>
      <c r="AJ994" s="10" t="s">
        <v>22</v>
      </c>
      <c r="AK994" s="56" t="str">
        <f t="shared" si="945"/>
        <v/>
      </c>
      <c r="AL994" s="56">
        <f t="shared" si="939"/>
        <v>0.41062331798423379</v>
      </c>
      <c r="AM994" s="56" t="str">
        <f t="shared" si="940"/>
        <v/>
      </c>
      <c r="AN994" s="56">
        <f t="shared" si="941"/>
        <v>0.41679361505525231</v>
      </c>
      <c r="AO994" s="56" t="str">
        <f t="shared" si="942"/>
        <v/>
      </c>
      <c r="AP994" s="56" t="str">
        <f t="shared" si="943"/>
        <v/>
      </c>
      <c r="AQ994" s="256">
        <f t="shared" si="944"/>
        <v>0.41130430561577208</v>
      </c>
    </row>
    <row r="995" spans="1:43">
      <c r="A995" s="11" t="s">
        <v>23</v>
      </c>
      <c r="J995" s="179">
        <f t="shared" ref="J995:P995" si="946">SUM(J996:J1000)</f>
        <v>536.9</v>
      </c>
      <c r="K995" s="179">
        <f t="shared" si="946"/>
        <v>67578.060000000012</v>
      </c>
      <c r="L995" s="179">
        <f t="shared" si="946"/>
        <v>3777.4399999999996</v>
      </c>
      <c r="M995" s="179">
        <f t="shared" si="946"/>
        <v>8188.5800000000008</v>
      </c>
      <c r="N995" s="179">
        <f t="shared" si="946"/>
        <v>14115.220000000001</v>
      </c>
      <c r="O995" s="179">
        <f t="shared" si="946"/>
        <v>230.8</v>
      </c>
      <c r="P995" s="179">
        <f t="shared" si="946"/>
        <v>94427.000000000015</v>
      </c>
      <c r="R995" s="206">
        <v>7.0756919999999992</v>
      </c>
      <c r="S995" s="206">
        <v>6.8621651999999997</v>
      </c>
      <c r="T995" s="206">
        <v>8.5955003999999988</v>
      </c>
      <c r="U995" s="206">
        <v>7.933986</v>
      </c>
      <c r="V995" s="206">
        <v>7.5362400000000003</v>
      </c>
      <c r="W995" s="206">
        <v>8.0093484000000004</v>
      </c>
      <c r="X995" s="206">
        <v>7.1301204</v>
      </c>
      <c r="Z995" s="169"/>
      <c r="AA995" s="179" t="s">
        <v>213</v>
      </c>
      <c r="AH995" s="193"/>
      <c r="AI995" s="210"/>
      <c r="AJ995" s="11" t="s">
        <v>23</v>
      </c>
      <c r="AK995" s="256">
        <f t="shared" si="945"/>
        <v>0.5087841584964411</v>
      </c>
      <c r="AL995" s="256">
        <f t="shared" si="939"/>
        <v>0.52443936659819768</v>
      </c>
      <c r="AM995" s="256">
        <f t="shared" si="940"/>
        <v>0.4188154182462015</v>
      </c>
      <c r="AN995" s="256">
        <f t="shared" si="941"/>
        <v>0.4537456684331404</v>
      </c>
      <c r="AO995" s="256">
        <f t="shared" si="942"/>
        <v>0.47768250484681762</v>
      </c>
      <c r="AP995" s="256">
        <f t="shared" si="943"/>
        <v>0.44948494665098226</v>
      </c>
      <c r="AQ995" s="256">
        <f t="shared" si="944"/>
        <v>0.5048443600091127</v>
      </c>
    </row>
    <row r="996" spans="1:43">
      <c r="A996" s="10" t="s">
        <v>24</v>
      </c>
      <c r="K996">
        <v>1723.14</v>
      </c>
      <c r="L996">
        <v>159.69999999999999</v>
      </c>
      <c r="M996">
        <v>88.1</v>
      </c>
      <c r="N996">
        <v>174.6</v>
      </c>
      <c r="O996">
        <v>113</v>
      </c>
      <c r="P996" s="68">
        <f>SUM(J996:O996)</f>
        <v>2258.54</v>
      </c>
      <c r="R996" s="171"/>
      <c r="S996" s="171">
        <v>6.4895399999999999</v>
      </c>
      <c r="T996" s="171">
        <v>9.0267408000000007</v>
      </c>
      <c r="U996" s="171">
        <v>7.6199760000000003</v>
      </c>
      <c r="V996" s="171">
        <v>6.7533083999999999</v>
      </c>
      <c r="W996" s="171">
        <v>8.4782700000000002</v>
      </c>
      <c r="X996" s="206">
        <v>6.8328575999999996</v>
      </c>
      <c r="Z996" s="169">
        <f>AA996*AB996</f>
        <v>20923.624976985011</v>
      </c>
      <c r="AA996" s="207">
        <v>105.9</v>
      </c>
      <c r="AB996" s="186">
        <v>197.57908382422107</v>
      </c>
      <c r="AC996" s="186" t="s">
        <v>140</v>
      </c>
      <c r="AH996" s="186"/>
      <c r="AI996" s="207"/>
      <c r="AJ996" s="10" t="s">
        <v>24</v>
      </c>
      <c r="AK996" s="56" t="str">
        <f t="shared" si="945"/>
        <v/>
      </c>
      <c r="AL996" s="56">
        <f t="shared" si="939"/>
        <v>0.55473885668321632</v>
      </c>
      <c r="AM996" s="56">
        <f t="shared" si="940"/>
        <v>0.39881504075092084</v>
      </c>
      <c r="AN996" s="56">
        <f t="shared" si="941"/>
        <v>0.47244243288955234</v>
      </c>
      <c r="AO996" s="56">
        <f t="shared" si="942"/>
        <v>0.53307205694915394</v>
      </c>
      <c r="AP996" s="56">
        <f t="shared" si="943"/>
        <v>0.42461492733777056</v>
      </c>
      <c r="AQ996" s="256">
        <f t="shared" si="944"/>
        <v>0.52686027094814558</v>
      </c>
    </row>
    <row r="997" spans="1:43">
      <c r="A997" s="10" t="s">
        <v>25</v>
      </c>
      <c r="K997">
        <v>5494.84</v>
      </c>
      <c r="M997">
        <v>549.6</v>
      </c>
      <c r="N997">
        <v>31.5</v>
      </c>
      <c r="O997">
        <v>0.6</v>
      </c>
      <c r="P997" s="68">
        <f>SUM(J997:O997)</f>
        <v>6076.5400000000009</v>
      </c>
      <c r="R997" s="171"/>
      <c r="S997" s="171">
        <v>6.6653856000000005</v>
      </c>
      <c r="T997" s="171"/>
      <c r="U997" s="171">
        <v>6.5021003999999998</v>
      </c>
      <c r="V997" s="171">
        <v>5.2167528000000001</v>
      </c>
      <c r="W997" s="171">
        <v>11.555567999999999</v>
      </c>
      <c r="X997" s="206">
        <v>6.6444516</v>
      </c>
      <c r="Z997" s="169">
        <f>AA997*AB997</f>
        <v>231724.41016036036</v>
      </c>
      <c r="AA997" s="207">
        <v>878.9</v>
      </c>
      <c r="AB997">
        <v>263.65275931318735</v>
      </c>
      <c r="AC997" s="186" t="s">
        <v>141</v>
      </c>
      <c r="AH997" s="186"/>
      <c r="AI997" s="207"/>
      <c r="AJ997" s="10" t="s">
        <v>25</v>
      </c>
      <c r="AK997" s="56" t="str">
        <f t="shared" si="945"/>
        <v/>
      </c>
      <c r="AL997" s="56">
        <f t="shared" si="939"/>
        <v>0.5401037863435838</v>
      </c>
      <c r="AM997" s="56" t="str">
        <f t="shared" si="940"/>
        <v/>
      </c>
      <c r="AN997" s="56">
        <f t="shared" si="941"/>
        <v>0.55366724266515488</v>
      </c>
      <c r="AO997" s="56">
        <f t="shared" si="942"/>
        <v>0.69008445253530126</v>
      </c>
      <c r="AP997" s="56">
        <f t="shared" si="943"/>
        <v>0.31153812603586434</v>
      </c>
      <c r="AQ997" s="256">
        <f t="shared" si="944"/>
        <v>0.54187566965075007</v>
      </c>
    </row>
    <row r="998" spans="1:43">
      <c r="A998" s="10" t="s">
        <v>26</v>
      </c>
      <c r="K998">
        <v>56993.14</v>
      </c>
      <c r="L998">
        <v>3323.74</v>
      </c>
      <c r="M998">
        <v>1944.4</v>
      </c>
      <c r="N998">
        <v>10410.44</v>
      </c>
      <c r="O998">
        <v>0.6</v>
      </c>
      <c r="P998" s="68">
        <f>SUM(J998:O998)</f>
        <v>72672.320000000007</v>
      </c>
      <c r="R998" s="171"/>
      <c r="S998" s="171">
        <v>6.9249671999999993</v>
      </c>
      <c r="T998" s="171">
        <v>8.2186883999999996</v>
      </c>
      <c r="U998" s="171">
        <v>7.85025</v>
      </c>
      <c r="V998" s="171">
        <v>6.2508924000000006</v>
      </c>
      <c r="W998" s="171">
        <v>12.840915600000001</v>
      </c>
      <c r="X998" s="206">
        <v>6.9124068000000003</v>
      </c>
      <c r="Z998" s="169">
        <f>AA998*AB998</f>
        <v>12031.861655884784</v>
      </c>
      <c r="AA998" s="207">
        <v>285.60000000000002</v>
      </c>
      <c r="AB998">
        <v>42.128367142453726</v>
      </c>
      <c r="AC998" s="186" t="s">
        <v>142</v>
      </c>
      <c r="AH998" s="186"/>
      <c r="AI998" s="207"/>
      <c r="AJ998" s="10" t="s">
        <v>26</v>
      </c>
      <c r="AK998" s="56" t="str">
        <f t="shared" si="945"/>
        <v/>
      </c>
      <c r="AL998" s="56">
        <f t="shared" si="939"/>
        <v>0.51985805795585582</v>
      </c>
      <c r="AM998" s="56">
        <f t="shared" si="940"/>
        <v>0.43802609671879034</v>
      </c>
      <c r="AN998" s="56">
        <f t="shared" si="941"/>
        <v>0.45858412152479217</v>
      </c>
      <c r="AO998" s="56">
        <f t="shared" si="942"/>
        <v>0.57591776815739137</v>
      </c>
      <c r="AP998" s="56">
        <f t="shared" si="943"/>
        <v>0.28035384018877907</v>
      </c>
      <c r="AQ998" s="256">
        <f t="shared" si="944"/>
        <v>0.52080471345539836</v>
      </c>
    </row>
    <row r="999" spans="1:43">
      <c r="A999" s="10" t="s">
        <v>27</v>
      </c>
      <c r="J999">
        <v>536.9</v>
      </c>
      <c r="K999">
        <v>2216.1999999999998</v>
      </c>
      <c r="L999">
        <v>14.4</v>
      </c>
      <c r="M999">
        <v>1281.6400000000001</v>
      </c>
      <c r="N999">
        <v>1274.44</v>
      </c>
      <c r="O999">
        <v>19.8</v>
      </c>
      <c r="P999" s="68">
        <f>SUM(J999:O999)</f>
        <v>5343.38</v>
      </c>
      <c r="R999" s="171">
        <v>7.0756919999999992</v>
      </c>
      <c r="S999" s="171">
        <v>5.3842248000000001</v>
      </c>
      <c r="T999" s="171">
        <v>6.7742424000000003</v>
      </c>
      <c r="U999" s="171">
        <v>5.2209396000000003</v>
      </c>
      <c r="V999" s="171">
        <v>8.892763200000001</v>
      </c>
      <c r="W999" s="171">
        <v>9.4370472000000003</v>
      </c>
      <c r="X999" s="206">
        <v>6.3681227999999992</v>
      </c>
      <c r="Z999" s="169">
        <f>AA999*AB999</f>
        <v>284.93763564346858</v>
      </c>
      <c r="AA999" s="207">
        <v>5.0999999999999996</v>
      </c>
      <c r="AB999" s="186">
        <v>55.870124635974236</v>
      </c>
      <c r="AC999" s="187" t="s">
        <v>196</v>
      </c>
      <c r="AH999" s="193"/>
      <c r="AI999" s="210"/>
      <c r="AJ999" s="10" t="s">
        <v>27</v>
      </c>
      <c r="AK999" s="56">
        <f t="shared" si="945"/>
        <v>0.5087841584964411</v>
      </c>
      <c r="AL999" s="56">
        <f t="shared" si="939"/>
        <v>0.66861992835068851</v>
      </c>
      <c r="AM999" s="56">
        <f t="shared" si="940"/>
        <v>0.53142473909702437</v>
      </c>
      <c r="AN999" s="56">
        <f t="shared" si="941"/>
        <v>0.68953105682356486</v>
      </c>
      <c r="AO999" s="56">
        <f t="shared" si="942"/>
        <v>0.40482355360592531</v>
      </c>
      <c r="AP999" s="56">
        <f>IFERROR(O999*3.6/O1016,"")</f>
        <v>0.38147525637044605</v>
      </c>
      <c r="AQ999" s="256">
        <f t="shared" si="944"/>
        <v>0.56509620490483481</v>
      </c>
    </row>
    <row r="1000" spans="1:43">
      <c r="A1000" s="10" t="s">
        <v>28</v>
      </c>
      <c r="K1000">
        <v>1150.74</v>
      </c>
      <c r="L1000">
        <v>279.60000000000002</v>
      </c>
      <c r="M1000">
        <v>4324.84</v>
      </c>
      <c r="N1000">
        <v>2224.2399999999998</v>
      </c>
      <c r="O1000">
        <v>96.8</v>
      </c>
      <c r="P1000" s="68">
        <f>SUM(J1000:O1000)</f>
        <v>8076.22</v>
      </c>
      <c r="R1000" s="171"/>
      <c r="S1000" s="171">
        <v>8.2312487999999995</v>
      </c>
      <c r="T1000" s="171">
        <v>12.924651600000001</v>
      </c>
      <c r="U1000" s="171">
        <v>8.9639387999999993</v>
      </c>
      <c r="V1000" s="171">
        <v>12.870223199999998</v>
      </c>
      <c r="W1000" s="171">
        <v>7.1175599999999992</v>
      </c>
      <c r="X1000" s="206">
        <v>10.048319999999999</v>
      </c>
      <c r="AA1000" s="179" t="s">
        <v>214</v>
      </c>
      <c r="AH1000" s="186"/>
      <c r="AI1000" s="207"/>
      <c r="AJ1000" s="10" t="s">
        <v>28</v>
      </c>
      <c r="AK1000" s="56" t="str">
        <f t="shared" si="945"/>
        <v/>
      </c>
      <c r="AL1000" s="56">
        <f t="shared" si="939"/>
        <v>0.43735769474007397</v>
      </c>
      <c r="AM1000" s="56">
        <f t="shared" si="940"/>
        <v>0.27853748877842088</v>
      </c>
      <c r="AN1000" s="56">
        <f t="shared" si="941"/>
        <v>0.40160916761279103</v>
      </c>
      <c r="AO1000" s="56">
        <f t="shared" si="942"/>
        <v>0.27971542871144617</v>
      </c>
      <c r="AP1000" s="56">
        <f>IFERROR(O1000*3.6/O1017,"")</f>
        <v>0.50579131050528559</v>
      </c>
      <c r="AQ1000" s="256">
        <f t="shared" si="944"/>
        <v>0.35819662064362157</v>
      </c>
    </row>
    <row r="1001" spans="1:43" ht="15.5">
      <c r="A1001" s="11" t="s">
        <v>9</v>
      </c>
      <c r="J1001" s="179">
        <f t="shared" ref="J1001:O1001" si="947">J989+J995</f>
        <v>43606.3</v>
      </c>
      <c r="K1001" s="179">
        <f t="shared" si="947"/>
        <v>149258.66000000003</v>
      </c>
      <c r="L1001" s="179">
        <f t="shared" si="947"/>
        <v>5836.94</v>
      </c>
      <c r="M1001" s="179">
        <f t="shared" si="947"/>
        <v>35846.68</v>
      </c>
      <c r="N1001" s="179">
        <f t="shared" si="947"/>
        <v>16123.720000000001</v>
      </c>
      <c r="O1001" s="179">
        <f t="shared" si="947"/>
        <v>1284.5999999999999</v>
      </c>
      <c r="P1001" s="785">
        <f>P989+P995+'3'!$Q$27*1000</f>
        <v>253072.90000000002</v>
      </c>
      <c r="Q1001" s="2"/>
      <c r="R1001" s="206">
        <v>9.7552439999999994</v>
      </c>
      <c r="S1001" s="206">
        <v>7.0924391999999994</v>
      </c>
      <c r="T1001" s="206">
        <v>9.1481580000000005</v>
      </c>
      <c r="U1001" s="206">
        <v>9.2067731999999989</v>
      </c>
      <c r="V1001" s="206">
        <v>8.8969500000000004</v>
      </c>
      <c r="W1001" s="206">
        <v>10.2325392</v>
      </c>
      <c r="X1001" s="206">
        <v>8.0344692000000002</v>
      </c>
      <c r="Z1001" s="169">
        <f t="shared" ref="Z1001:Z1009" si="948">AA1001*AB1001</f>
        <v>0</v>
      </c>
      <c r="AA1001" s="207">
        <v>0</v>
      </c>
      <c r="AB1001" s="147">
        <v>71.5</v>
      </c>
      <c r="AC1001" s="186" t="s">
        <v>65</v>
      </c>
      <c r="AH1001" s="186"/>
      <c r="AI1001" s="207"/>
      <c r="AJ1001" s="11" t="s">
        <v>9</v>
      </c>
      <c r="AK1001" s="256">
        <f t="shared" si="945"/>
        <v>0.36902887538691292</v>
      </c>
      <c r="AL1001" s="256">
        <f t="shared" si="939"/>
        <v>0.50761202448789799</v>
      </c>
      <c r="AM1001" s="256">
        <f t="shared" si="940"/>
        <v>0.39346783462333884</v>
      </c>
      <c r="AN1001" s="256">
        <f t="shared" si="941"/>
        <v>0.3911103091993493</v>
      </c>
      <c r="AO1001" s="256">
        <f t="shared" si="942"/>
        <v>0.40469211663231924</v>
      </c>
      <c r="AP1001" s="256">
        <f>IFERROR(O1001*3.6/O1018,"")</f>
        <v>0.35184021531813958</v>
      </c>
      <c r="AQ1001" s="256">
        <f t="shared" si="944"/>
        <v>0.4501577824185975</v>
      </c>
    </row>
    <row r="1002" spans="1:43">
      <c r="J1002" s="254">
        <f t="shared" ref="J1002:O1002" si="949">J1001/$P$1001</f>
        <v>0.17230726798483756</v>
      </c>
      <c r="K1002" s="254">
        <f t="shared" si="949"/>
        <v>0.58978523579569375</v>
      </c>
      <c r="L1002" s="254">
        <f t="shared" si="949"/>
        <v>2.306426330120688E-2</v>
      </c>
      <c r="M1002" s="254">
        <f t="shared" si="949"/>
        <v>0.14164566810590939</v>
      </c>
      <c r="N1002" s="254">
        <f t="shared" si="949"/>
        <v>6.3711760524339037E-2</v>
      </c>
      <c r="O1002" s="254">
        <f t="shared" si="949"/>
        <v>5.0760077432233947E-3</v>
      </c>
      <c r="Z1002" s="169">
        <f t="shared" si="948"/>
        <v>19753.276521569729</v>
      </c>
      <c r="AA1002" s="207">
        <v>212.5</v>
      </c>
      <c r="AB1002" s="147">
        <v>92.956595395622259</v>
      </c>
      <c r="AC1002" s="186" t="s">
        <v>66</v>
      </c>
      <c r="AH1002" s="186"/>
      <c r="AI1002" s="207"/>
    </row>
    <row r="1003" spans="1:43">
      <c r="Z1003" s="169">
        <f t="shared" si="948"/>
        <v>788.75</v>
      </c>
      <c r="AA1003" s="207">
        <v>12.5</v>
      </c>
      <c r="AB1003" s="147">
        <v>63.1</v>
      </c>
      <c r="AC1003" s="186" t="s">
        <v>68</v>
      </c>
      <c r="AH1003" s="186"/>
      <c r="AI1003" s="207"/>
    </row>
    <row r="1004" spans="1:43">
      <c r="J1004" s="68" t="s">
        <v>165</v>
      </c>
      <c r="Z1004" s="169">
        <f t="shared" si="948"/>
        <v>23592.261747043805</v>
      </c>
      <c r="AA1004" s="207">
        <v>404.6</v>
      </c>
      <c r="AB1004" s="147">
        <v>58.310088351566499</v>
      </c>
      <c r="AC1004" s="186" t="s">
        <v>69</v>
      </c>
      <c r="AH1004" s="186"/>
      <c r="AI1004" s="207"/>
    </row>
    <row r="1005" spans="1:43">
      <c r="A1005" s="68" t="str">
        <f>$A$987</f>
        <v>Dati 2005 lorda</v>
      </c>
      <c r="J1005" s="180" t="s">
        <v>5</v>
      </c>
      <c r="K1005" s="180" t="s">
        <v>186</v>
      </c>
      <c r="L1005" s="180" t="s">
        <v>187</v>
      </c>
      <c r="M1005" s="180" t="s">
        <v>190</v>
      </c>
      <c r="N1005" s="180" t="s">
        <v>192</v>
      </c>
      <c r="O1005" s="180" t="s">
        <v>191</v>
      </c>
      <c r="P1005" s="180" t="s">
        <v>189</v>
      </c>
      <c r="R1005" s="68" t="s">
        <v>210</v>
      </c>
      <c r="Z1005" s="169">
        <f t="shared" si="948"/>
        <v>14968.199999999999</v>
      </c>
      <c r="AA1005" s="207">
        <v>202</v>
      </c>
      <c r="AB1005" s="147">
        <v>74.099999999999994</v>
      </c>
      <c r="AC1005" s="186" t="s">
        <v>70</v>
      </c>
      <c r="AH1005" s="186"/>
      <c r="AI1005" s="207"/>
      <c r="AJ1005" s="68"/>
    </row>
    <row r="1006" spans="1:43">
      <c r="A1006" s="11" t="s">
        <v>16</v>
      </c>
      <c r="J1006" s="179">
        <f t="shared" ref="J1006:O1006" si="950">SUM(J1007:J1011)</f>
        <v>421595.08964496001</v>
      </c>
      <c r="K1006" s="179">
        <f t="shared" si="950"/>
        <v>594659.1961825199</v>
      </c>
      <c r="L1006" s="179">
        <f t="shared" si="950"/>
        <v>20934.943286040001</v>
      </c>
      <c r="M1006" s="179">
        <f t="shared" si="950"/>
        <v>264985.20549719996</v>
      </c>
      <c r="N1006" s="179">
        <f t="shared" si="950"/>
        <v>37053.238615199989</v>
      </c>
      <c r="O1006" s="179">
        <f t="shared" si="950"/>
        <v>11295.40527216</v>
      </c>
      <c r="P1006" s="182">
        <f t="shared" ref="P1006:P1017" si="951">SUM(J1006:O1006)</f>
        <v>1350523.0784980797</v>
      </c>
      <c r="Q1006" s="168"/>
      <c r="R1006" s="179">
        <f t="shared" ref="R1006:W1006" si="952">SUM(R1007:R1011)</f>
        <v>39.753607752786522</v>
      </c>
      <c r="S1006" s="179">
        <f t="shared" si="952"/>
        <v>33.584524222670481</v>
      </c>
      <c r="T1006" s="179">
        <f t="shared" si="952"/>
        <v>4.3487623020292494</v>
      </c>
      <c r="U1006" s="179">
        <f t="shared" si="952"/>
        <v>19.963652912377928</v>
      </c>
      <c r="V1006" s="179">
        <f t="shared" si="952"/>
        <v>2.2780792149702433</v>
      </c>
      <c r="W1006" s="179">
        <f t="shared" si="952"/>
        <v>6.6742595156781034E-2</v>
      </c>
      <c r="X1006" s="190">
        <f t="shared" ref="X1006:X1017" si="953">SUM(R1006:W1006)</f>
        <v>99.9953689999912</v>
      </c>
      <c r="Z1006" s="169">
        <f t="shared" si="948"/>
        <v>0</v>
      </c>
      <c r="AA1006" s="207">
        <v>0</v>
      </c>
      <c r="AB1006" s="147">
        <v>74.099999999999994</v>
      </c>
      <c r="AC1006" s="186" t="s">
        <v>71</v>
      </c>
      <c r="AH1006" s="186"/>
      <c r="AI1006" s="207"/>
      <c r="AJ1006" s="68"/>
    </row>
    <row r="1007" spans="1:43">
      <c r="A1007" s="10" t="s">
        <v>17</v>
      </c>
      <c r="J1007" s="167">
        <f t="shared" ref="J1007:O1011" si="954">IFERROR(J990*R990,"")</f>
        <v>0</v>
      </c>
      <c r="K1007" s="167">
        <f t="shared" si="954"/>
        <v>2533.4494271999993</v>
      </c>
      <c r="L1007" s="167">
        <f t="shared" si="954"/>
        <v>213.32750831999999</v>
      </c>
      <c r="M1007" s="167">
        <f t="shared" si="954"/>
        <v>2662.2785192399997</v>
      </c>
      <c r="N1007" s="167">
        <f t="shared" si="954"/>
        <v>1161.9261788399999</v>
      </c>
      <c r="O1007" s="167">
        <f t="shared" si="954"/>
        <v>10817.37821952</v>
      </c>
      <c r="P1007" s="182">
        <f t="shared" si="951"/>
        <v>17388.359853119997</v>
      </c>
      <c r="Q1007" s="168"/>
      <c r="R1007" s="181">
        <f t="shared" ref="R1007:W1007" si="955">J1007*J1021/1000000</f>
        <v>0</v>
      </c>
      <c r="S1007" s="181">
        <f t="shared" si="955"/>
        <v>0.14308143925280159</v>
      </c>
      <c r="T1007" s="181">
        <f t="shared" si="955"/>
        <v>4.431397847571291E-2</v>
      </c>
      <c r="U1007" s="181">
        <f t="shared" si="955"/>
        <v>0.20057272335058121</v>
      </c>
      <c r="V1007" s="181">
        <f t="shared" si="955"/>
        <v>7.1436667246122035E-2</v>
      </c>
      <c r="W1007" s="181">
        <f t="shared" si="955"/>
        <v>6.3918016022203455E-2</v>
      </c>
      <c r="X1007" s="190">
        <f t="shared" si="953"/>
        <v>0.52332282434742117</v>
      </c>
      <c r="Z1007" s="169">
        <f t="shared" si="948"/>
        <v>534035.87673151237</v>
      </c>
      <c r="AA1007" s="208">
        <v>7041.5</v>
      </c>
      <c r="AB1007" s="418">
        <v>75.841209505291829</v>
      </c>
      <c r="AC1007" s="203" t="s">
        <v>72</v>
      </c>
      <c r="AH1007" s="186"/>
      <c r="AI1007" s="207"/>
      <c r="AJ1007" s="68"/>
    </row>
    <row r="1008" spans="1:43">
      <c r="A1008" s="10" t="s">
        <v>18</v>
      </c>
      <c r="J1008" s="167">
        <f t="shared" si="954"/>
        <v>0</v>
      </c>
      <c r="K1008" s="167">
        <f t="shared" si="954"/>
        <v>8892.6426201599988</v>
      </c>
      <c r="L1008" s="167">
        <f t="shared" si="954"/>
        <v>0</v>
      </c>
      <c r="M1008" s="167">
        <f t="shared" si="954"/>
        <v>1488.0544527599998</v>
      </c>
      <c r="N1008" s="167">
        <f t="shared" si="954"/>
        <v>0</v>
      </c>
      <c r="O1008" s="167">
        <f t="shared" si="954"/>
        <v>478.02705264000002</v>
      </c>
      <c r="P1008" s="182">
        <f t="shared" si="951"/>
        <v>10858.724125559998</v>
      </c>
      <c r="Q1008" s="168"/>
      <c r="R1008" s="181">
        <f t="shared" ref="R1008:W1008" si="956">J1008*J1021/1000000</f>
        <v>0</v>
      </c>
      <c r="S1008" s="181">
        <f t="shared" si="956"/>
        <v>0.50222913123611834</v>
      </c>
      <c r="T1008" s="181">
        <f t="shared" si="956"/>
        <v>0</v>
      </c>
      <c r="U1008" s="181">
        <f t="shared" si="956"/>
        <v>0.11210815544920304</v>
      </c>
      <c r="V1008" s="181">
        <f t="shared" si="956"/>
        <v>0</v>
      </c>
      <c r="W1008" s="181">
        <f t="shared" si="956"/>
        <v>2.8245791345775846E-3</v>
      </c>
      <c r="X1008" s="190">
        <f t="shared" si="953"/>
        <v>0.61716186581989896</v>
      </c>
      <c r="Z1008" s="169">
        <f t="shared" si="948"/>
        <v>115.5</v>
      </c>
      <c r="AA1008" s="207">
        <v>1.5</v>
      </c>
      <c r="AB1008" s="147">
        <v>77</v>
      </c>
      <c r="AC1008" s="186" t="s">
        <v>73</v>
      </c>
      <c r="AI1008" s="207"/>
      <c r="AJ1008" s="68"/>
    </row>
    <row r="1009" spans="1:43">
      <c r="A1009" s="10" t="s">
        <v>19</v>
      </c>
      <c r="J1009" s="167">
        <f t="shared" si="954"/>
        <v>421595.08964496001</v>
      </c>
      <c r="K1009" s="167">
        <f t="shared" si="954"/>
        <v>56197.644546239993</v>
      </c>
      <c r="L1009" s="167">
        <f t="shared" si="954"/>
        <v>20721.615777720002</v>
      </c>
      <c r="M1009" s="167">
        <f t="shared" si="954"/>
        <v>243285.15088799997</v>
      </c>
      <c r="N1009" s="167">
        <f t="shared" si="954"/>
        <v>35568.237176999995</v>
      </c>
      <c r="O1009" s="167">
        <f t="shared" si="954"/>
        <v>0</v>
      </c>
      <c r="P1009" s="182">
        <f t="shared" si="951"/>
        <v>777367.73803391994</v>
      </c>
      <c r="Q1009" s="168"/>
      <c r="R1009" s="181">
        <f t="shared" ref="R1009:W1009" si="957">J1009*J1021/1000000</f>
        <v>39.753607752786522</v>
      </c>
      <c r="S1009" s="181">
        <f t="shared" si="957"/>
        <v>3.1738702884549834</v>
      </c>
      <c r="T1009" s="181">
        <f t="shared" si="957"/>
        <v>4.3044483235535367</v>
      </c>
      <c r="U1009" s="181">
        <f t="shared" si="957"/>
        <v>18.328798024593283</v>
      </c>
      <c r="V1009" s="181">
        <f t="shared" si="957"/>
        <v>2.1867794787799339</v>
      </c>
      <c r="W1009" s="181">
        <f t="shared" si="957"/>
        <v>0</v>
      </c>
      <c r="X1009" s="190">
        <f t="shared" si="953"/>
        <v>67.747503868168266</v>
      </c>
      <c r="Z1009" s="169">
        <f t="shared" si="948"/>
        <v>219.89999999999998</v>
      </c>
      <c r="AA1009" s="207">
        <v>3</v>
      </c>
      <c r="AB1009" s="147">
        <v>73.3</v>
      </c>
      <c r="AC1009" s="186" t="s">
        <v>74</v>
      </c>
      <c r="AH1009" s="186"/>
      <c r="AI1009" s="207"/>
      <c r="AJ1009" s="68"/>
    </row>
    <row r="1010" spans="1:43">
      <c r="A1010" s="10" t="s">
        <v>20</v>
      </c>
      <c r="J1010" s="167">
        <f t="shared" si="954"/>
        <v>0</v>
      </c>
      <c r="K1010" s="167">
        <f t="shared" si="954"/>
        <v>385949.07344699994</v>
      </c>
      <c r="L1010" s="167">
        <f t="shared" si="954"/>
        <v>0</v>
      </c>
      <c r="M1010" s="167">
        <f t="shared" si="954"/>
        <v>46.958311440000003</v>
      </c>
      <c r="N1010" s="167">
        <f t="shared" si="954"/>
        <v>323.07525935999996</v>
      </c>
      <c r="O1010" s="167">
        <f t="shared" si="954"/>
        <v>0</v>
      </c>
      <c r="P1010" s="182">
        <f t="shared" si="951"/>
        <v>386319.10701779998</v>
      </c>
      <c r="Q1010" s="168"/>
      <c r="R1010" s="181">
        <f t="shared" ref="R1010:W1010" si="958">J1010*J1021/1000000</f>
        <v>0</v>
      </c>
      <c r="S1010" s="181">
        <f t="shared" si="958"/>
        <v>21.797217783073808</v>
      </c>
      <c r="T1010" s="181">
        <f t="shared" si="958"/>
        <v>0</v>
      </c>
      <c r="U1010" s="181">
        <f t="shared" si="958"/>
        <v>3.5377802665643972E-3</v>
      </c>
      <c r="V1010" s="181">
        <f t="shared" si="958"/>
        <v>1.9863068944187184E-2</v>
      </c>
      <c r="W1010" s="181">
        <f t="shared" si="958"/>
        <v>0</v>
      </c>
      <c r="X1010" s="190">
        <f t="shared" si="953"/>
        <v>21.82061863228456</v>
      </c>
      <c r="Z1010" s="169"/>
      <c r="AA1010" s="179" t="s">
        <v>215</v>
      </c>
      <c r="AH1010" s="186"/>
      <c r="AI1010" s="207"/>
      <c r="AJ1010" s="68" t="s">
        <v>265</v>
      </c>
    </row>
    <row r="1011" spans="1:43">
      <c r="A1011" s="10" t="s">
        <v>22</v>
      </c>
      <c r="J1011" s="167">
        <f t="shared" si="954"/>
        <v>0</v>
      </c>
      <c r="K1011" s="167">
        <f t="shared" si="954"/>
        <v>141086.38614191997</v>
      </c>
      <c r="L1011" s="167">
        <f t="shared" si="954"/>
        <v>0</v>
      </c>
      <c r="M1011" s="167">
        <f t="shared" si="954"/>
        <v>17502.763325759999</v>
      </c>
      <c r="N1011" s="167">
        <f t="shared" si="954"/>
        <v>0</v>
      </c>
      <c r="O1011" s="167">
        <f t="shared" si="954"/>
        <v>0</v>
      </c>
      <c r="P1011" s="182">
        <f t="shared" si="951"/>
        <v>158589.14946767996</v>
      </c>
      <c r="Q1011" s="168"/>
      <c r="R1011" s="181">
        <f t="shared" ref="R1011:W1011" si="959">J1011*J1021/1000000</f>
        <v>0</v>
      </c>
      <c r="S1011" s="181">
        <f t="shared" si="959"/>
        <v>7.9681255806527735</v>
      </c>
      <c r="T1011" s="181">
        <f t="shared" si="959"/>
        <v>0</v>
      </c>
      <c r="U1011" s="181">
        <f t="shared" si="959"/>
        <v>1.3186362287182947</v>
      </c>
      <c r="V1011" s="181">
        <f t="shared" si="959"/>
        <v>0</v>
      </c>
      <c r="W1011" s="181">
        <f t="shared" si="959"/>
        <v>0</v>
      </c>
      <c r="X1011" s="190">
        <f t="shared" si="953"/>
        <v>9.2867618093710682</v>
      </c>
      <c r="Z1011" s="169">
        <f t="shared" ref="Z1011:Z1024" si="960">AA1011*AB1011</f>
        <v>4578.6049308378642</v>
      </c>
      <c r="AA1011" s="207">
        <v>59.8</v>
      </c>
      <c r="AB1011" s="147">
        <v>76.565299846787028</v>
      </c>
      <c r="AC1011" s="187" t="s">
        <v>218</v>
      </c>
      <c r="AH1011" s="186"/>
      <c r="AI1011" s="207"/>
    </row>
    <row r="1012" spans="1:43">
      <c r="A1012" s="11" t="s">
        <v>23</v>
      </c>
      <c r="J1012" s="179">
        <f t="shared" ref="J1012:O1012" si="961">SUM(J1013:J1017)</f>
        <v>3798.9390347999993</v>
      </c>
      <c r="K1012" s="179">
        <f t="shared" si="961"/>
        <v>463887.78473678394</v>
      </c>
      <c r="L1012" s="179">
        <f t="shared" si="961"/>
        <v>32469.635566296001</v>
      </c>
      <c r="M1012" s="179">
        <f t="shared" si="961"/>
        <v>64967.866474176</v>
      </c>
      <c r="N1012" s="179">
        <f t="shared" si="961"/>
        <v>106377.75401947201</v>
      </c>
      <c r="O1012" s="179">
        <f t="shared" si="961"/>
        <v>1848.5157427200002</v>
      </c>
      <c r="P1012" s="182">
        <f t="shared" si="951"/>
        <v>673350.49557424791</v>
      </c>
      <c r="Q1012" s="168"/>
      <c r="R1012" s="179">
        <f t="shared" ref="R1012:W1012" si="962">SUM(R1013:R1017)</f>
        <v>0.35821463763576833</v>
      </c>
      <c r="S1012" s="179">
        <f t="shared" si="962"/>
        <v>26.198956718583467</v>
      </c>
      <c r="T1012" s="179">
        <f t="shared" si="962"/>
        <v>6.7448344703897076</v>
      </c>
      <c r="U1012" s="179">
        <f t="shared" si="962"/>
        <v>4.8945975467368825</v>
      </c>
      <c r="V1012" s="179">
        <f t="shared" si="962"/>
        <v>6.5402366817016864</v>
      </c>
      <c r="W1012" s="179">
        <f t="shared" si="962"/>
        <v>1.0922559650106706E-2</v>
      </c>
      <c r="X1012" s="190">
        <f t="shared" si="953"/>
        <v>44.747762614697614</v>
      </c>
      <c r="Z1012" s="169">
        <f t="shared" si="960"/>
        <v>208.23</v>
      </c>
      <c r="AA1012" s="207">
        <v>3.3</v>
      </c>
      <c r="AB1012" s="147">
        <v>63.1</v>
      </c>
      <c r="AC1012" s="187" t="s">
        <v>195</v>
      </c>
      <c r="AH1012" s="186"/>
      <c r="AI1012" s="207"/>
      <c r="AJ1012" s="11" t="s">
        <v>23</v>
      </c>
      <c r="AK1012" s="256">
        <f t="shared" ref="AK1012:AK1017" si="963">IFERROR(((J995/11.63)+J1029)/J1035,"")</f>
        <v>0.68977528324688153</v>
      </c>
      <c r="AL1012" s="256">
        <f t="shared" ref="AL1012:AL1017" si="964">IFERROR(((K995/11.63)+K1029)/K1035,"")</f>
        <v>0.60875587232331341</v>
      </c>
      <c r="AM1012" s="256">
        <f t="shared" ref="AM1012:AM1017" si="965">IFERROR(((L995/11.63)+L1029)/L1035,"")</f>
        <v>0.45581326574016062</v>
      </c>
      <c r="AN1012" s="256">
        <f t="shared" ref="AN1012:AN1017" si="966">IFERROR(((M995/11.63)+M1029)/M1035,"")</f>
        <v>0.66612068078926134</v>
      </c>
      <c r="AO1012" s="256">
        <f t="shared" ref="AO1012:AO1017" si="967">IFERROR(((N995/11.63)+N1029)/N1035,"")</f>
        <v>0.52723916767712931</v>
      </c>
      <c r="AP1012" s="256">
        <f t="shared" ref="AP1012:AP1017" si="968">IFERROR(((O995/11.63)+O1029)/O1035,"")</f>
        <v>0.62891796509595299</v>
      </c>
      <c r="AQ1012" s="256">
        <f t="shared" ref="AQ1012:AQ1017" si="969">IFERROR(((P995/11.63)+P1029)/P1035,"")</f>
        <v>0.60034616012298825</v>
      </c>
    </row>
    <row r="1013" spans="1:43">
      <c r="A1013" s="10" t="s">
        <v>24</v>
      </c>
      <c r="J1013" s="167">
        <f t="shared" ref="J1013:O1017" si="970">IFERROR(J996*R996,"")</f>
        <v>0</v>
      </c>
      <c r="K1013" s="167">
        <f t="shared" si="970"/>
        <v>11182.385955600001</v>
      </c>
      <c r="L1013" s="167">
        <f t="shared" si="970"/>
        <v>1441.5705057600001</v>
      </c>
      <c r="M1013" s="167">
        <f t="shared" si="970"/>
        <v>671.31988560000002</v>
      </c>
      <c r="N1013" s="167">
        <f t="shared" si="970"/>
        <v>1179.12764664</v>
      </c>
      <c r="O1013" s="167">
        <f t="shared" si="970"/>
        <v>958.04451000000006</v>
      </c>
      <c r="P1013" s="182">
        <f t="shared" si="951"/>
        <v>15432.448503600001</v>
      </c>
      <c r="Q1013" s="168"/>
      <c r="R1013" s="181">
        <f t="shared" ref="R1013:W1013" si="971">J1013*J1021/1000000</f>
        <v>0</v>
      </c>
      <c r="S1013" s="181">
        <f t="shared" si="971"/>
        <v>0.63154679924907542</v>
      </c>
      <c r="T1013" s="181">
        <f t="shared" si="971"/>
        <v>0.29945375946381009</v>
      </c>
      <c r="U1013" s="181">
        <f t="shared" si="971"/>
        <v>5.0576397894173265E-2</v>
      </c>
      <c r="V1013" s="181">
        <f t="shared" si="971"/>
        <v>7.2494234890049511E-2</v>
      </c>
      <c r="W1013" s="181">
        <f t="shared" si="971"/>
        <v>5.6609192262190595E-3</v>
      </c>
      <c r="X1013" s="190">
        <f t="shared" si="953"/>
        <v>1.0597321107233275</v>
      </c>
      <c r="Z1013" s="169">
        <f t="shared" si="960"/>
        <v>0</v>
      </c>
      <c r="AA1013" s="207">
        <v>0</v>
      </c>
      <c r="AB1013" s="147">
        <v>94.581887987999991</v>
      </c>
      <c r="AC1013" s="187" t="s">
        <v>198</v>
      </c>
      <c r="AH1013" s="186"/>
      <c r="AI1013" s="207"/>
      <c r="AJ1013" s="10" t="s">
        <v>24</v>
      </c>
      <c r="AK1013" s="56" t="str">
        <f t="shared" si="963"/>
        <v/>
      </c>
      <c r="AL1013" s="56">
        <f t="shared" si="964"/>
        <v>0.6818175523289749</v>
      </c>
      <c r="AM1013" s="56">
        <f t="shared" si="965"/>
        <v>0.40608414623298839</v>
      </c>
      <c r="AN1013" s="56">
        <f t="shared" si="966"/>
        <v>0.54975696211416636</v>
      </c>
      <c r="AO1013" s="56">
        <f t="shared" si="967"/>
        <v>0.60322564795479661</v>
      </c>
      <c r="AP1013" s="56">
        <f t="shared" si="968"/>
        <v>0.54329773272389914</v>
      </c>
      <c r="AQ1013" s="256">
        <f t="shared" si="969"/>
        <v>0.64649351308646352</v>
      </c>
    </row>
    <row r="1014" spans="1:43">
      <c r="A1014" s="10" t="s">
        <v>25</v>
      </c>
      <c r="J1014" s="167">
        <f t="shared" si="970"/>
        <v>0</v>
      </c>
      <c r="K1014" s="167">
        <f t="shared" si="970"/>
        <v>36625.227410304004</v>
      </c>
      <c r="L1014" s="167">
        <f t="shared" si="970"/>
        <v>0</v>
      </c>
      <c r="M1014" s="167">
        <f t="shared" si="970"/>
        <v>3573.5543798399999</v>
      </c>
      <c r="N1014" s="167">
        <f t="shared" si="970"/>
        <v>164.32771320000001</v>
      </c>
      <c r="O1014" s="167">
        <f t="shared" si="970"/>
        <v>6.933340799999999</v>
      </c>
      <c r="P1014" s="182">
        <f t="shared" si="951"/>
        <v>40370.042844144009</v>
      </c>
      <c r="Q1014" s="168"/>
      <c r="R1014" s="181">
        <f t="shared" ref="R1014:W1014" si="972">J1014*J1021/1000000</f>
        <v>0</v>
      </c>
      <c r="S1014" s="181">
        <f t="shared" si="972"/>
        <v>2.0684803077435818</v>
      </c>
      <c r="T1014" s="181">
        <f t="shared" si="972"/>
        <v>0</v>
      </c>
      <c r="U1014" s="181">
        <f t="shared" si="972"/>
        <v>0.26922710333497296</v>
      </c>
      <c r="V1014" s="181">
        <f t="shared" si="972"/>
        <v>1.0103072278571207E-2</v>
      </c>
      <c r="W1014" s="181">
        <f t="shared" si="972"/>
        <v>4.0967911017671846E-5</v>
      </c>
      <c r="X1014" s="190">
        <f t="shared" si="953"/>
        <v>2.3478514512681437</v>
      </c>
      <c r="Z1014" s="169">
        <f t="shared" si="960"/>
        <v>6820.392568464209</v>
      </c>
      <c r="AA1014" s="207">
        <v>133.1</v>
      </c>
      <c r="AB1014" s="147">
        <v>51.242618846462882</v>
      </c>
      <c r="AC1014" s="187" t="s">
        <v>199</v>
      </c>
      <c r="AH1014" s="186"/>
      <c r="AI1014" s="207"/>
      <c r="AJ1014" s="10" t="s">
        <v>25</v>
      </c>
      <c r="AK1014" s="56" t="str">
        <f t="shared" si="963"/>
        <v/>
      </c>
      <c r="AL1014" s="56">
        <f t="shared" si="964"/>
        <v>0.69133567087437342</v>
      </c>
      <c r="AM1014" s="56" t="str">
        <f t="shared" si="965"/>
        <v/>
      </c>
      <c r="AN1014" s="56">
        <f t="shared" si="966"/>
        <v>0.73133691446676097</v>
      </c>
      <c r="AO1014" s="56">
        <f t="shared" si="967"/>
        <v>0.79844763077781133</v>
      </c>
      <c r="AP1014" s="56">
        <f t="shared" si="968"/>
        <v>0.45795356835769557</v>
      </c>
      <c r="AQ1014" s="256">
        <f t="shared" si="969"/>
        <v>0.69591560813699549</v>
      </c>
    </row>
    <row r="1015" spans="1:43">
      <c r="A1015" s="10" t="s">
        <v>26</v>
      </c>
      <c r="J1015" s="167">
        <f t="shared" si="970"/>
        <v>0</v>
      </c>
      <c r="K1015" s="167">
        <f t="shared" si="970"/>
        <v>394675.62512500794</v>
      </c>
      <c r="L1015" s="167">
        <f t="shared" si="970"/>
        <v>27316.783382615999</v>
      </c>
      <c r="M1015" s="167">
        <f t="shared" si="970"/>
        <v>15264.026100000001</v>
      </c>
      <c r="N1015" s="167">
        <f t="shared" si="970"/>
        <v>65074.540276656007</v>
      </c>
      <c r="O1015" s="167">
        <f t="shared" si="970"/>
        <v>7.7045493599999997</v>
      </c>
      <c r="P1015" s="182">
        <f t="shared" si="951"/>
        <v>502338.67943363992</v>
      </c>
      <c r="Q1015" s="168"/>
      <c r="R1015" s="181">
        <f t="shared" ref="R1015:W1015" si="973">J1015*J1021/1000000</f>
        <v>0</v>
      </c>
      <c r="S1015" s="181">
        <f t="shared" si="973"/>
        <v>22.290066608235996</v>
      </c>
      <c r="T1015" s="181">
        <f t="shared" si="973"/>
        <v>5.6744456463961264</v>
      </c>
      <c r="U1015" s="181">
        <f t="shared" si="973"/>
        <v>1.1499725750126741</v>
      </c>
      <c r="V1015" s="181">
        <f t="shared" si="973"/>
        <v>4.0008637076916909</v>
      </c>
      <c r="W1015" s="181">
        <f t="shared" si="973"/>
        <v>4.5524848946086796E-5</v>
      </c>
      <c r="X1015" s="190">
        <f t="shared" si="953"/>
        <v>33.11539406218543</v>
      </c>
      <c r="Z1015" s="169">
        <f t="shared" si="960"/>
        <v>152625.55849166206</v>
      </c>
      <c r="AA1015" s="207">
        <v>1552.7</v>
      </c>
      <c r="AB1015" s="418">
        <v>98.296875437407124</v>
      </c>
      <c r="AC1015" s="187" t="s">
        <v>212</v>
      </c>
      <c r="AH1015" s="193"/>
      <c r="AI1015" s="210"/>
      <c r="AJ1015" s="10" t="s">
        <v>26</v>
      </c>
      <c r="AK1015" s="56" t="str">
        <f t="shared" si="963"/>
        <v/>
      </c>
      <c r="AL1015" s="56">
        <f t="shared" si="964"/>
        <v>0.56626880785193512</v>
      </c>
      <c r="AM1015" s="56">
        <f t="shared" si="965"/>
        <v>0.47922801709300383</v>
      </c>
      <c r="AN1015" s="56">
        <f t="shared" si="966"/>
        <v>0.63029520824021912</v>
      </c>
      <c r="AO1015" s="56">
        <f t="shared" si="967"/>
        <v>0.58086281765197079</v>
      </c>
      <c r="AP1015" s="56">
        <f t="shared" si="968"/>
        <v>0.78798673381648454</v>
      </c>
      <c r="AQ1015" s="256">
        <f t="shared" si="969"/>
        <v>0.56619766633482826</v>
      </c>
    </row>
    <row r="1016" spans="1:43">
      <c r="A1016" s="10" t="s">
        <v>27</v>
      </c>
      <c r="J1016" s="167">
        <f t="shared" si="970"/>
        <v>3798.9390347999993</v>
      </c>
      <c r="K1016" s="167">
        <f t="shared" si="970"/>
        <v>11932.51900176</v>
      </c>
      <c r="L1016" s="167">
        <f t="shared" si="970"/>
        <v>97.54909056000001</v>
      </c>
      <c r="M1016" s="167">
        <f t="shared" si="970"/>
        <v>6691.3650289440011</v>
      </c>
      <c r="N1016" s="167">
        <f t="shared" si="970"/>
        <v>11333.293132608002</v>
      </c>
      <c r="O1016" s="167">
        <f t="shared" si="970"/>
        <v>186.85353456000001</v>
      </c>
      <c r="P1016" s="182">
        <f t="shared" si="951"/>
        <v>34040.518823232007</v>
      </c>
      <c r="Q1016" s="168"/>
      <c r="R1016" s="181">
        <f t="shared" ref="R1016:W1016" si="974">J1016*J1021/1000000</f>
        <v>0.35821463763576833</v>
      </c>
      <c r="S1016" s="181">
        <f t="shared" si="974"/>
        <v>0.67391200880223534</v>
      </c>
      <c r="T1016" s="181">
        <f t="shared" si="974"/>
        <v>2.0263623446615479E-2</v>
      </c>
      <c r="U1016" s="181">
        <f t="shared" si="974"/>
        <v>0.50411904580564681</v>
      </c>
      <c r="V1016" s="181">
        <f t="shared" si="974"/>
        <v>0.69678496367570308</v>
      </c>
      <c r="W1016" s="181">
        <f t="shared" si="974"/>
        <v>1.1040852019262566E-3</v>
      </c>
      <c r="X1016" s="190">
        <f t="shared" si="953"/>
        <v>2.2543983645678951</v>
      </c>
      <c r="Z1016" s="169">
        <f t="shared" si="960"/>
        <v>0</v>
      </c>
      <c r="AA1016" s="207"/>
      <c r="AB1016" s="147">
        <v>0</v>
      </c>
      <c r="AC1016" s="186" t="s">
        <v>200</v>
      </c>
      <c r="AH1016" s="209"/>
      <c r="AI1016" s="207"/>
      <c r="AJ1016" s="10" t="s">
        <v>27</v>
      </c>
      <c r="AK1016" s="56">
        <f t="shared" si="963"/>
        <v>0.68977528324688153</v>
      </c>
      <c r="AL1016" s="56">
        <f t="shared" si="964"/>
        <v>0.84449966262262788</v>
      </c>
      <c r="AM1016" s="56">
        <f t="shared" si="965"/>
        <v>0.5531450492757457</v>
      </c>
      <c r="AN1016" s="56">
        <f t="shared" si="966"/>
        <v>0.84670564540638449</v>
      </c>
      <c r="AO1016" s="56">
        <f t="shared" si="967"/>
        <v>0.54451489448079715</v>
      </c>
      <c r="AP1016" s="56">
        <f t="shared" si="968"/>
        <v>0.64072961248997651</v>
      </c>
      <c r="AQ1016" s="256">
        <f t="shared" si="969"/>
        <v>0.78537044748060936</v>
      </c>
    </row>
    <row r="1017" spans="1:43">
      <c r="A1017" s="10" t="s">
        <v>28</v>
      </c>
      <c r="J1017" s="167">
        <f t="shared" si="970"/>
        <v>0</v>
      </c>
      <c r="K1017" s="167">
        <f t="shared" si="970"/>
        <v>9472.0272441119996</v>
      </c>
      <c r="L1017" s="167">
        <f t="shared" si="970"/>
        <v>3613.7325873600007</v>
      </c>
      <c r="M1017" s="167">
        <f t="shared" si="970"/>
        <v>38767.601079791995</v>
      </c>
      <c r="N1017" s="167">
        <f t="shared" si="970"/>
        <v>28626.465250367994</v>
      </c>
      <c r="O1017" s="167">
        <f t="shared" si="970"/>
        <v>688.97980799999993</v>
      </c>
      <c r="P1017" s="182">
        <f t="shared" si="951"/>
        <v>81168.805969631998</v>
      </c>
      <c r="Q1017" s="168"/>
      <c r="R1017" s="181">
        <f t="shared" ref="R1017:W1017" si="975">J1017*J1021/1000000</f>
        <v>0</v>
      </c>
      <c r="S1017" s="181">
        <f t="shared" si="975"/>
        <v>0.53495099455257566</v>
      </c>
      <c r="T1017" s="181">
        <f t="shared" si="975"/>
        <v>0.75067144108315631</v>
      </c>
      <c r="U1017" s="181">
        <f t="shared" si="975"/>
        <v>2.9207024246894155</v>
      </c>
      <c r="V1017" s="181">
        <f t="shared" si="975"/>
        <v>1.7599907031656719</v>
      </c>
      <c r="W1017" s="181">
        <f t="shared" si="975"/>
        <v>4.0710624619976323E-3</v>
      </c>
      <c r="X1017" s="190">
        <f t="shared" si="953"/>
        <v>5.9703866259528171</v>
      </c>
      <c r="Z1017" s="169">
        <f t="shared" si="960"/>
        <v>0</v>
      </c>
      <c r="AA1017" s="207"/>
      <c r="AB1017" s="147">
        <v>0</v>
      </c>
      <c r="AC1017" s="186" t="s">
        <v>201</v>
      </c>
      <c r="AH1017" s="209"/>
      <c r="AI1017" s="207"/>
      <c r="AJ1017" s="10" t="s">
        <v>28</v>
      </c>
      <c r="AK1017" s="56" t="str">
        <f t="shared" si="963"/>
        <v/>
      </c>
      <c r="AL1017" s="56">
        <f t="shared" si="964"/>
        <v>0.65686444438143266</v>
      </c>
      <c r="AM1017" s="56">
        <f t="shared" si="965"/>
        <v>0.27857789769336305</v>
      </c>
      <c r="AN1017" s="56">
        <f t="shared" si="966"/>
        <v>0.60017504291541468</v>
      </c>
      <c r="AO1017" s="56">
        <f t="shared" si="967"/>
        <v>0.41834209535639633</v>
      </c>
      <c r="AP1017" s="56">
        <f t="shared" si="968"/>
        <v>0.70316876704524467</v>
      </c>
      <c r="AQ1017" s="256">
        <f t="shared" si="969"/>
        <v>0.54624555250595574</v>
      </c>
    </row>
    <row r="1018" spans="1:43">
      <c r="A1018" s="11" t="s">
        <v>9</v>
      </c>
      <c r="J1018" s="182">
        <f t="shared" ref="J1018:P1018" si="976">J1006+J1012</f>
        <v>425394.02867976</v>
      </c>
      <c r="K1018" s="182">
        <f t="shared" si="976"/>
        <v>1058546.9809193038</v>
      </c>
      <c r="L1018" s="182">
        <f t="shared" si="976"/>
        <v>53404.578852336002</v>
      </c>
      <c r="M1018" s="182">
        <f t="shared" si="976"/>
        <v>329953.07197137596</v>
      </c>
      <c r="N1018" s="182">
        <f t="shared" si="976"/>
        <v>143430.992634672</v>
      </c>
      <c r="O1018" s="182">
        <f t="shared" si="976"/>
        <v>13143.921014880001</v>
      </c>
      <c r="P1018" s="182">
        <f t="shared" si="976"/>
        <v>2023873.5740723275</v>
      </c>
      <c r="R1018" s="199">
        <f t="shared" ref="R1018:X1018" si="977">R1006+R1012</f>
        <v>40.11182239042229</v>
      </c>
      <c r="S1018" s="199">
        <f t="shared" si="977"/>
        <v>59.783480941253949</v>
      </c>
      <c r="T1018" s="199">
        <f t="shared" si="977"/>
        <v>11.093596772418957</v>
      </c>
      <c r="U1018" s="199">
        <f t="shared" si="977"/>
        <v>24.85825045911481</v>
      </c>
      <c r="V1018" s="199">
        <f t="shared" si="977"/>
        <v>8.8183158966719297</v>
      </c>
      <c r="W1018" s="199">
        <f t="shared" si="977"/>
        <v>7.7665154806887737E-2</v>
      </c>
      <c r="X1018" s="199">
        <f t="shared" si="977"/>
        <v>144.74313161468882</v>
      </c>
      <c r="Z1018" s="169">
        <f t="shared" si="960"/>
        <v>0</v>
      </c>
      <c r="AA1018" s="207"/>
      <c r="AB1018" s="147">
        <v>0</v>
      </c>
      <c r="AC1018" s="186" t="s">
        <v>134</v>
      </c>
      <c r="AH1018" s="209"/>
      <c r="AI1018" s="207"/>
      <c r="AJ1018" s="275" t="s">
        <v>266</v>
      </c>
      <c r="AK1018" s="274">
        <f t="shared" ref="AK1018:AQ1018" si="978">IFERROR(((J1001/11.63)+J1029)/(J1035+J1006/41.868),"")</f>
        <v>0.37307534458463459</v>
      </c>
      <c r="AL1018" s="274">
        <f t="shared" si="978"/>
        <v>0.55178588101628789</v>
      </c>
      <c r="AM1018" s="274">
        <f t="shared" si="978"/>
        <v>0.41788087338724605</v>
      </c>
      <c r="AN1018" s="274">
        <f t="shared" si="978"/>
        <v>0.46825714502879456</v>
      </c>
      <c r="AO1018" s="274">
        <f t="shared" si="978"/>
        <v>0.44916595809311355</v>
      </c>
      <c r="AP1018" s="274">
        <f t="shared" si="978"/>
        <v>0.39813556360883873</v>
      </c>
      <c r="AQ1018" s="274">
        <f t="shared" si="978"/>
        <v>0.49327839779377053</v>
      </c>
    </row>
    <row r="1019" spans="1:43">
      <c r="E1019" t="s">
        <v>176</v>
      </c>
      <c r="J1019" s="168">
        <f t="shared" ref="J1019:P1019" si="979">J1018/41.868</f>
        <v>10160.36182</v>
      </c>
      <c r="K1019" s="168">
        <f t="shared" si="979"/>
        <v>25282.960277999995</v>
      </c>
      <c r="L1019" s="168">
        <f t="shared" si="979"/>
        <v>1275.546452</v>
      </c>
      <c r="M1019" s="168">
        <f t="shared" si="979"/>
        <v>7880.7937319999983</v>
      </c>
      <c r="N1019" s="168">
        <f t="shared" si="979"/>
        <v>3425.7904039999999</v>
      </c>
      <c r="O1019" s="168">
        <f t="shared" si="979"/>
        <v>313.93716000000001</v>
      </c>
      <c r="P1019" s="168">
        <f t="shared" si="979"/>
        <v>48339.389845999984</v>
      </c>
      <c r="R1019" s="197">
        <v>40.111822390422297</v>
      </c>
      <c r="S1019" s="197">
        <v>59.783480941253956</v>
      </c>
      <c r="T1019" s="197">
        <v>11.081617918938958</v>
      </c>
      <c r="U1019" s="197">
        <v>24.858250459114821</v>
      </c>
      <c r="V1019" s="197">
        <v>8.8183106075400275</v>
      </c>
      <c r="W1019" s="197">
        <v>7.7665154806887737E-2</v>
      </c>
      <c r="X1019" s="197">
        <v>144.74312632555694</v>
      </c>
      <c r="Z1019" s="169">
        <f t="shared" si="960"/>
        <v>0</v>
      </c>
      <c r="AA1019" s="207"/>
      <c r="AB1019" s="147">
        <v>0</v>
      </c>
      <c r="AC1019" s="186" t="s">
        <v>128</v>
      </c>
      <c r="AH1019" s="186"/>
      <c r="AI1019" s="207"/>
    </row>
    <row r="1020" spans="1:43">
      <c r="J1020" s="183" t="s">
        <v>193</v>
      </c>
      <c r="T1020" s="198">
        <v>1.1978853480000001E-2</v>
      </c>
      <c r="U1020" s="198"/>
      <c r="Z1020" s="169">
        <f t="shared" si="960"/>
        <v>0</v>
      </c>
      <c r="AA1020" s="207">
        <v>729</v>
      </c>
      <c r="AB1020" s="147">
        <v>0</v>
      </c>
      <c r="AC1020" s="186" t="s">
        <v>131</v>
      </c>
      <c r="AH1020" s="186"/>
      <c r="AI1020" s="207"/>
    </row>
    <row r="1021" spans="1:43">
      <c r="J1021" s="168">
        <f>SUM(Z989:Z992)/SUM(AA989:AA992)+J1022</f>
        <v>94.293336732798366</v>
      </c>
      <c r="K1021" s="185">
        <f>AB994+K1022</f>
        <v>56.476927353129376</v>
      </c>
      <c r="L1021" s="147">
        <f>SUM(Z996:Z999)/SUM(AA996:AA999)+L1022</f>
        <v>207.72744605088684</v>
      </c>
      <c r="M1021" s="168">
        <f>SUM(Z1001:Z1009)/SUM(AA1001:AA1009)+M1022</f>
        <v>75.338745327006094</v>
      </c>
      <c r="N1021" s="168">
        <f>SUM(Z1011:Z1027)/SUM(AA1011:AA1027)+N1022</f>
        <v>61.4812442882045</v>
      </c>
      <c r="O1021" s="168">
        <f>SUM(Z1029:Z1039)/SUM(AA1029:AA1039)+O1022</f>
        <v>5.9088269565044103</v>
      </c>
      <c r="P1021" s="317">
        <f>P1012/41.868</f>
        <v>16082.700285999998</v>
      </c>
      <c r="Z1021" s="169">
        <f t="shared" si="960"/>
        <v>0</v>
      </c>
      <c r="AA1021" s="207"/>
      <c r="AB1021" s="147">
        <v>0</v>
      </c>
      <c r="AC1021" s="186" t="s">
        <v>129</v>
      </c>
      <c r="AH1021" s="193"/>
      <c r="AI1021" s="210"/>
    </row>
    <row r="1022" spans="1:43">
      <c r="A1022" s="453" t="s">
        <v>376</v>
      </c>
      <c r="B1022" s="452"/>
      <c r="C1022" s="452"/>
      <c r="D1022" s="452"/>
      <c r="E1022" s="452"/>
      <c r="F1022" s="452"/>
      <c r="G1022" s="452"/>
      <c r="H1022" s="452"/>
      <c r="I1022" s="452"/>
      <c r="J1022" s="452">
        <v>-1.0375046835263135E-3</v>
      </c>
      <c r="K1022" s="452">
        <v>0.60580271715517542</v>
      </c>
      <c r="L1022" s="452">
        <v>-6.6460140865745032E-3</v>
      </c>
      <c r="M1022" s="452">
        <v>1.8705174034323591E-3</v>
      </c>
      <c r="N1022" s="452">
        <v>0.87119326448041445</v>
      </c>
      <c r="O1022" s="452">
        <v>1.1825181081130953E-3</v>
      </c>
      <c r="P1022" s="318">
        <f>P1006/41.868</f>
        <v>32256.689559999992</v>
      </c>
      <c r="R1022" s="454">
        <f>R1018-R1019</f>
        <v>0</v>
      </c>
      <c r="S1022" s="454">
        <f>S1018-S1019</f>
        <v>0</v>
      </c>
      <c r="T1022" s="454">
        <f>T1018-SUM(T1019:T1020)</f>
        <v>0</v>
      </c>
      <c r="U1022" s="454">
        <f>U1018-U1019</f>
        <v>0</v>
      </c>
      <c r="V1022" s="454">
        <f>V1018-V1019</f>
        <v>5.2891319022307925E-6</v>
      </c>
      <c r="W1022" s="454">
        <f>W1018-W1019</f>
        <v>0</v>
      </c>
      <c r="X1022" s="90">
        <f>X1018-X1019</f>
        <v>5.2891318773617968E-6</v>
      </c>
      <c r="Z1022" s="169">
        <f t="shared" si="960"/>
        <v>0</v>
      </c>
      <c r="AA1022" s="207"/>
      <c r="AB1022" s="147">
        <v>0</v>
      </c>
      <c r="AC1022" s="186" t="s">
        <v>207</v>
      </c>
      <c r="AH1022" s="186"/>
      <c r="AI1022" s="207"/>
    </row>
    <row r="1023" spans="1:43">
      <c r="J1023" s="177"/>
      <c r="K1023" s="177"/>
      <c r="L1023" s="177"/>
      <c r="M1023" s="177"/>
      <c r="N1023" s="177"/>
      <c r="P1023" s="319">
        <f>P1035-P1021</f>
        <v>5122.8997140000047</v>
      </c>
      <c r="R1023" s="177"/>
      <c r="S1023" s="177"/>
      <c r="T1023" s="177"/>
      <c r="U1023" s="177"/>
      <c r="V1023" s="177"/>
      <c r="W1023" s="177"/>
      <c r="X1023" s="172"/>
      <c r="Z1023" s="169">
        <f t="shared" si="960"/>
        <v>0</v>
      </c>
      <c r="AA1023" s="207"/>
      <c r="AB1023" s="147">
        <v>48.854533333333322</v>
      </c>
      <c r="AC1023" s="189" t="s">
        <v>130</v>
      </c>
      <c r="AH1023" s="186"/>
      <c r="AI1023" s="207"/>
      <c r="AJ1023" s="68" t="s">
        <v>343</v>
      </c>
      <c r="AK1023" s="180" t="s">
        <v>5</v>
      </c>
      <c r="AL1023" s="180" t="s">
        <v>186</v>
      </c>
      <c r="AM1023" s="180" t="s">
        <v>187</v>
      </c>
      <c r="AN1023" s="180" t="s">
        <v>190</v>
      </c>
      <c r="AO1023" s="180" t="s">
        <v>192</v>
      </c>
      <c r="AP1023" s="180" t="s">
        <v>191</v>
      </c>
      <c r="AQ1023" s="180" t="s">
        <v>189</v>
      </c>
    </row>
    <row r="1024" spans="1:43">
      <c r="O1024" s="168"/>
      <c r="P1024" s="172"/>
      <c r="R1024" s="177"/>
      <c r="V1024" s="90"/>
      <c r="Z1024" s="169">
        <f t="shared" si="960"/>
        <v>0</v>
      </c>
      <c r="AA1024" s="207"/>
      <c r="AB1024" s="147">
        <v>0</v>
      </c>
      <c r="AC1024" s="186" t="s">
        <v>132</v>
      </c>
      <c r="AH1024" s="186"/>
      <c r="AI1024" s="207"/>
      <c r="AJ1024" s="11" t="s">
        <v>23</v>
      </c>
      <c r="AK1024" s="199">
        <f t="shared" ref="AK1024:AK1029" si="980">IFERROR(J1029/(J1035-J1012/41.868),0)</f>
        <v>0.90041673133334776</v>
      </c>
      <c r="AL1024" s="199">
        <f t="shared" ref="AL1024:AL1029" si="981">IFERROR(K1029/(K1035-K1012/41.868),0)</f>
        <v>0.90016109483585049</v>
      </c>
      <c r="AM1024" s="199">
        <f t="shared" ref="AM1024:AM1029" si="982">IFERROR(L1029/(L1035-L1012/41.868),0)</f>
        <v>0.90055071233561357</v>
      </c>
      <c r="AN1024" s="199">
        <f t="shared" ref="AN1024:AN1029" si="983">IFERROR(M1029/(M1035-M1012/41.868),0)</f>
        <v>0.9003117931319462</v>
      </c>
      <c r="AO1024" s="199">
        <f t="shared" ref="AO1024:AO1029" si="984">IFERROR(N1029/(N1035-N1012/41.868),0)</f>
        <v>0.89896995933490931</v>
      </c>
      <c r="AP1024" s="199">
        <f t="shared" ref="AP1024:AP1029" si="985">IFERROR(O1029/(O1035-O1012/41.868),0)</f>
        <v>0.90544298990260041</v>
      </c>
      <c r="AQ1024" s="199">
        <f t="shared" ref="AQ1024:AQ1029" si="986">IFERROR(P1029/(P1035-P1012/41.868),0)</f>
        <v>0.90016206786124009</v>
      </c>
    </row>
    <row r="1025" spans="1:43">
      <c r="N1025" s="223"/>
      <c r="O1025" s="168"/>
      <c r="P1025" s="168"/>
      <c r="R1025" s="177"/>
      <c r="V1025" s="90"/>
      <c r="Z1025" s="169">
        <f>AA1025*AB1025</f>
        <v>0</v>
      </c>
      <c r="AA1025" s="207"/>
      <c r="AB1025" s="147">
        <v>143</v>
      </c>
      <c r="AC1025" s="186" t="s">
        <v>133</v>
      </c>
      <c r="AH1025" s="186"/>
      <c r="AI1025" s="207"/>
      <c r="AJ1025" s="10" t="s">
        <v>24</v>
      </c>
      <c r="AK1025" s="381">
        <f t="shared" si="980"/>
        <v>0</v>
      </c>
      <c r="AL1025" s="381">
        <f t="shared" si="981"/>
        <v>0.90063198964885671</v>
      </c>
      <c r="AM1025" s="381">
        <f t="shared" si="982"/>
        <v>1.0849517196484826</v>
      </c>
      <c r="AN1025" s="381">
        <f t="shared" si="983"/>
        <v>0.89741432497616169</v>
      </c>
      <c r="AO1025" s="381">
        <f t="shared" si="984"/>
        <v>0.89220157320001947</v>
      </c>
      <c r="AP1025" s="381">
        <f t="shared" si="985"/>
        <v>0.90455603591619571</v>
      </c>
      <c r="AQ1025" s="381">
        <f t="shared" si="986"/>
        <v>0.90079543350924396</v>
      </c>
    </row>
    <row r="1026" spans="1:43">
      <c r="A1026" s="68" t="s">
        <v>374</v>
      </c>
      <c r="J1026" s="199">
        <f>J1029/(J1035-J1012/41.868)</f>
        <v>0.90041673133334776</v>
      </c>
      <c r="K1026" s="199">
        <f t="shared" ref="K1026:P1026" si="987">K1029/(K1035-K1012/41.868)</f>
        <v>0.90016109483585049</v>
      </c>
      <c r="L1026" s="199">
        <f t="shared" si="987"/>
        <v>0.90055071233561357</v>
      </c>
      <c r="M1026" s="199">
        <f t="shared" si="987"/>
        <v>0.9003117931319462</v>
      </c>
      <c r="N1026" s="199">
        <f t="shared" si="987"/>
        <v>0.89896995933490931</v>
      </c>
      <c r="O1026" s="199">
        <f t="shared" si="987"/>
        <v>0.90544298990260041</v>
      </c>
      <c r="P1026" s="199">
        <f t="shared" si="987"/>
        <v>0.90016206786124009</v>
      </c>
      <c r="R1026" s="177"/>
      <c r="Y1026" s="172"/>
      <c r="Z1026" s="169">
        <f>AA1026*AB1026</f>
        <v>43635.445000000007</v>
      </c>
      <c r="AA1026" s="207">
        <v>951.7</v>
      </c>
      <c r="AB1026" s="147">
        <v>45.85</v>
      </c>
      <c r="AC1026" s="186" t="s">
        <v>208</v>
      </c>
      <c r="AH1026" s="186"/>
      <c r="AI1026" s="207"/>
      <c r="AJ1026" s="10" t="s">
        <v>25</v>
      </c>
      <c r="AK1026" s="381">
        <f t="shared" si="980"/>
        <v>0</v>
      </c>
      <c r="AL1026" s="381">
        <f t="shared" si="981"/>
        <v>0.89976473964315495</v>
      </c>
      <c r="AM1026" s="381">
        <f t="shared" si="982"/>
        <v>0</v>
      </c>
      <c r="AN1026" s="381">
        <f t="shared" si="983"/>
        <v>0.90030744162041076</v>
      </c>
      <c r="AO1026" s="381">
        <f t="shared" si="984"/>
        <v>0.92083681045149779</v>
      </c>
      <c r="AP1026" s="381">
        <f t="shared" si="985"/>
        <v>1.1627906976744171</v>
      </c>
      <c r="AQ1026" s="381">
        <f t="shared" si="986"/>
        <v>0.89994466481829249</v>
      </c>
    </row>
    <row r="1027" spans="1:43">
      <c r="A1027" s="68" t="s">
        <v>252</v>
      </c>
      <c r="P1027" s="168"/>
      <c r="Q1027" s="193"/>
      <c r="R1027" s="268" t="s">
        <v>224</v>
      </c>
      <c r="S1027" s="165"/>
      <c r="T1027" s="165"/>
      <c r="U1027" s="165"/>
      <c r="V1027" s="165"/>
      <c r="W1027" s="165"/>
      <c r="X1027" s="165"/>
      <c r="Z1027" s="169">
        <f>AA1027*AB1027</f>
        <v>0</v>
      </c>
      <c r="AA1027" s="207"/>
      <c r="AB1027" s="147">
        <v>45.85</v>
      </c>
      <c r="AC1027" s="186" t="s">
        <v>209</v>
      </c>
      <c r="AH1027" s="186"/>
      <c r="AI1027" s="207"/>
      <c r="AJ1027" s="10" t="s">
        <v>26</v>
      </c>
      <c r="AK1027" s="381">
        <f t="shared" si="980"/>
        <v>0</v>
      </c>
      <c r="AL1027" s="381">
        <f t="shared" si="981"/>
        <v>0.90042223409926325</v>
      </c>
      <c r="AM1027" s="381">
        <f t="shared" si="982"/>
        <v>0.89998663011166113</v>
      </c>
      <c r="AN1027" s="381">
        <f t="shared" si="983"/>
        <v>0.90055475208841473</v>
      </c>
      <c r="AO1027" s="381">
        <f t="shared" si="984"/>
        <v>0.88428122227246098</v>
      </c>
      <c r="AP1027" s="381">
        <f t="shared" si="985"/>
        <v>0.96902980735687427</v>
      </c>
      <c r="AQ1027" s="381">
        <f t="shared" si="986"/>
        <v>0.90019495761181667</v>
      </c>
    </row>
    <row r="1028" spans="1:43">
      <c r="A1028" s="68" t="str">
        <f>$A$987</f>
        <v>Dati 2005 lorda</v>
      </c>
      <c r="J1028" s="180" t="s">
        <v>5</v>
      </c>
      <c r="K1028" s="180" t="s">
        <v>186</v>
      </c>
      <c r="L1028" s="180" t="s">
        <v>187</v>
      </c>
      <c r="M1028" s="180" t="s">
        <v>190</v>
      </c>
      <c r="N1028" s="180" t="s">
        <v>192</v>
      </c>
      <c r="O1028" s="180" t="s">
        <v>191</v>
      </c>
      <c r="P1028" s="180" t="s">
        <v>189</v>
      </c>
      <c r="R1028" s="191" t="s">
        <v>5</v>
      </c>
      <c r="S1028" s="191" t="s">
        <v>186</v>
      </c>
      <c r="T1028" s="191" t="s">
        <v>187</v>
      </c>
      <c r="U1028" s="191" t="s">
        <v>190</v>
      </c>
      <c r="V1028" s="191" t="s">
        <v>192</v>
      </c>
      <c r="W1028" s="191" t="s">
        <v>191</v>
      </c>
      <c r="X1028" s="191" t="s">
        <v>189</v>
      </c>
      <c r="AA1028" s="179" t="s">
        <v>216</v>
      </c>
      <c r="AH1028" s="186"/>
      <c r="AI1028" s="207"/>
      <c r="AJ1028" s="10" t="s">
        <v>27</v>
      </c>
      <c r="AK1028" s="381">
        <f t="shared" si="980"/>
        <v>0.90041673133334776</v>
      </c>
      <c r="AL1028" s="381">
        <f t="shared" si="981"/>
        <v>0.90004763758660988</v>
      </c>
      <c r="AM1028" s="381">
        <f t="shared" si="982"/>
        <v>0.7405213270142178</v>
      </c>
      <c r="AN1028" s="381">
        <f t="shared" si="983"/>
        <v>0.90018833524032182</v>
      </c>
      <c r="AO1028" s="381">
        <f t="shared" si="984"/>
        <v>0.90020647745311067</v>
      </c>
      <c r="AP1028" s="381">
        <f t="shared" si="985"/>
        <v>0.90149377518548235</v>
      </c>
      <c r="AQ1028" s="381">
        <f t="shared" si="986"/>
        <v>0.90009573108405572</v>
      </c>
    </row>
    <row r="1029" spans="1:43">
      <c r="A1029" s="193" t="s">
        <v>251</v>
      </c>
      <c r="J1029" s="179">
        <f t="shared" ref="J1029:O1029" si="988">SUM(J1030:J1034)</f>
        <v>70.2</v>
      </c>
      <c r="K1029" s="179">
        <f t="shared" si="988"/>
        <v>2885.8</v>
      </c>
      <c r="L1029" s="179">
        <f t="shared" si="988"/>
        <v>58.1</v>
      </c>
      <c r="M1029" s="179">
        <f t="shared" si="988"/>
        <v>1266.9000000000001</v>
      </c>
      <c r="N1029" s="179">
        <f t="shared" si="988"/>
        <v>304.5</v>
      </c>
      <c r="O1029" s="179">
        <f t="shared" si="988"/>
        <v>25.939999999999998</v>
      </c>
      <c r="P1029" s="266">
        <f t="shared" ref="P1029:P1040" si="989">SUM(J1029:O1029)</f>
        <v>4611.4399999999996</v>
      </c>
      <c r="Q1029" s="193" t="s">
        <v>16</v>
      </c>
      <c r="R1029" s="192">
        <f t="shared" ref="R1029:R1040" si="990">IFERROR(R1006/J989*1000000,0)</f>
        <v>923.0128061404738</v>
      </c>
      <c r="S1029" s="192">
        <f t="shared" ref="S1029:S1040" si="991">IFERROR(S1006/K989*1000000,0)</f>
        <v>411.16892166157544</v>
      </c>
      <c r="T1029" s="192">
        <f t="shared" ref="T1029:T1040" si="992">IFERROR(T1006/L989*1000000,0)</f>
        <v>2111.562176270575</v>
      </c>
      <c r="U1029" s="192">
        <f t="shared" ref="U1029:U1040" si="993">IFERROR(U1006/M989*1000000,0)</f>
        <v>721.80131362522832</v>
      </c>
      <c r="V1029" s="192">
        <f t="shared" ref="V1029:V1040" si="994">IFERROR(V1006/N989*1000000,0)</f>
        <v>1134.2191759871762</v>
      </c>
      <c r="W1029" s="192">
        <f t="shared" ref="W1029:W1040" si="995">IFERROR(W1006/O989*1000000,0)</f>
        <v>63.33516336760394</v>
      </c>
      <c r="X1029" s="192">
        <f t="shared" ref="X1029:X1040" si="996">IFERROR(X1006/P989*1000000,0)</f>
        <v>634.77072606528156</v>
      </c>
      <c r="Z1029" s="169">
        <f>AA1029*AB1029</f>
        <v>1855.0003536564373</v>
      </c>
      <c r="AA1029" s="207">
        <v>18.899999999999999</v>
      </c>
      <c r="AB1029">
        <v>98.148166860128967</v>
      </c>
      <c r="AC1029" s="187" t="s">
        <v>197</v>
      </c>
      <c r="AH1029" s="186"/>
      <c r="AI1029" s="207"/>
      <c r="AJ1029" s="10" t="s">
        <v>28</v>
      </c>
      <c r="AK1029" s="381">
        <f t="shared" si="980"/>
        <v>0</v>
      </c>
      <c r="AL1029" s="381">
        <f t="shared" si="981"/>
        <v>0.89986267479037296</v>
      </c>
      <c r="AM1029" s="381">
        <f t="shared" si="982"/>
        <v>0</v>
      </c>
      <c r="AN1029" s="381">
        <f t="shared" si="983"/>
        <v>0.90033208557155753</v>
      </c>
      <c r="AO1029" s="381">
        <f t="shared" si="984"/>
        <v>0.90004186846374379</v>
      </c>
      <c r="AP1029" s="381">
        <f t="shared" si="985"/>
        <v>0.90436075322101062</v>
      </c>
      <c r="AQ1029" s="381">
        <f t="shared" si="986"/>
        <v>0.90025758145450174</v>
      </c>
    </row>
    <row r="1030" spans="1:43">
      <c r="A1030" s="186" t="s">
        <v>24</v>
      </c>
      <c r="K1030">
        <v>139.69999999999999</v>
      </c>
      <c r="L1030">
        <v>0.4</v>
      </c>
      <c r="M1030">
        <v>3.2</v>
      </c>
      <c r="N1030">
        <v>6.1</v>
      </c>
      <c r="O1030">
        <v>6.8</v>
      </c>
      <c r="P1030" s="266">
        <f t="shared" si="989"/>
        <v>156.19999999999999</v>
      </c>
      <c r="Q1030" s="186" t="s">
        <v>17</v>
      </c>
      <c r="R1030" s="200">
        <f t="shared" si="990"/>
        <v>0</v>
      </c>
      <c r="S1030" s="200">
        <f t="shared" si="991"/>
        <v>558.03993468331362</v>
      </c>
      <c r="T1030" s="200">
        <f t="shared" si="992"/>
        <v>1877.7109523607164</v>
      </c>
      <c r="U1030" s="200">
        <f t="shared" si="993"/>
        <v>740.94098023857111</v>
      </c>
      <c r="V1030" s="200">
        <f t="shared" si="994"/>
        <v>2082.7016689831498</v>
      </c>
      <c r="W1030" s="200">
        <f t="shared" si="995"/>
        <v>62.812515745089875</v>
      </c>
      <c r="X1030" s="192">
        <f t="shared" si="996"/>
        <v>326.54612775952904</v>
      </c>
      <c r="Z1030" s="169">
        <f>AA1030*AB1030</f>
        <v>0</v>
      </c>
      <c r="AA1030" s="207"/>
      <c r="AB1030">
        <v>0</v>
      </c>
      <c r="AC1030" s="186" t="s">
        <v>202</v>
      </c>
      <c r="AH1030" s="186"/>
      <c r="AI1030" s="207"/>
    </row>
    <row r="1031" spans="1:43">
      <c r="A1031" s="186" t="s">
        <v>25</v>
      </c>
      <c r="K1031">
        <v>571.1</v>
      </c>
      <c r="M1031">
        <v>80.8</v>
      </c>
      <c r="N1031">
        <v>3.2</v>
      </c>
      <c r="O1031" s="147">
        <v>0.04</v>
      </c>
      <c r="P1031" s="266">
        <f t="shared" si="989"/>
        <v>655.14</v>
      </c>
      <c r="Q1031" s="186" t="s">
        <v>18</v>
      </c>
      <c r="R1031" s="200">
        <f t="shared" si="990"/>
        <v>0</v>
      </c>
      <c r="S1031" s="200">
        <f t="shared" si="991"/>
        <v>692.34785116641626</v>
      </c>
      <c r="T1031" s="200">
        <f t="shared" si="992"/>
        <v>0</v>
      </c>
      <c r="U1031" s="200">
        <f t="shared" si="993"/>
        <v>1191.3725339979069</v>
      </c>
      <c r="V1031" s="200">
        <f t="shared" si="994"/>
        <v>0</v>
      </c>
      <c r="W1031" s="200">
        <f t="shared" si="995"/>
        <v>78.027047916507854</v>
      </c>
      <c r="X1031" s="192">
        <f t="shared" si="996"/>
        <v>721.23625782388558</v>
      </c>
      <c r="Z1031" s="169">
        <f t="shared" ref="Z1031:Z1039" si="997">AA1031*AB1031</f>
        <v>0</v>
      </c>
      <c r="AA1031" s="207">
        <v>20.8</v>
      </c>
      <c r="AB1031">
        <v>0</v>
      </c>
      <c r="AC1031" s="186" t="s">
        <v>203</v>
      </c>
      <c r="AH1031" s="186"/>
      <c r="AI1031" s="207"/>
    </row>
    <row r="1032" spans="1:43">
      <c r="A1032" s="186" t="s">
        <v>26</v>
      </c>
      <c r="K1032">
        <v>1178.9000000000001</v>
      </c>
      <c r="L1032">
        <v>57.5</v>
      </c>
      <c r="M1032">
        <v>208.6</v>
      </c>
      <c r="N1032">
        <v>22.4</v>
      </c>
      <c r="O1032">
        <v>0.5</v>
      </c>
      <c r="P1032" s="266">
        <f t="shared" si="989"/>
        <v>1467.9</v>
      </c>
      <c r="Q1032" s="186" t="s">
        <v>19</v>
      </c>
      <c r="R1032" s="200">
        <f t="shared" si="990"/>
        <v>923.0128061404738</v>
      </c>
      <c r="S1032" s="200">
        <f t="shared" si="991"/>
        <v>535.34000513687386</v>
      </c>
      <c r="T1032" s="200">
        <f t="shared" si="992"/>
        <v>2114.2729621069484</v>
      </c>
      <c r="U1032" s="200">
        <f t="shared" si="993"/>
        <v>725.48499555075102</v>
      </c>
      <c r="V1032" s="200">
        <f t="shared" si="994"/>
        <v>1119.9894897720533</v>
      </c>
      <c r="W1032" s="200">
        <f t="shared" si="995"/>
        <v>0</v>
      </c>
      <c r="X1032" s="192">
        <f t="shared" si="996"/>
        <v>865.77505208475156</v>
      </c>
      <c r="Z1032" s="169">
        <f t="shared" si="997"/>
        <v>0</v>
      </c>
      <c r="AA1032" s="207">
        <v>6.4</v>
      </c>
      <c r="AB1032">
        <v>0</v>
      </c>
      <c r="AC1032" s="186" t="s">
        <v>136</v>
      </c>
      <c r="AH1032" s="186"/>
      <c r="AI1032" s="207"/>
    </row>
    <row r="1033" spans="1:43">
      <c r="A1033" s="186" t="s">
        <v>27</v>
      </c>
      <c r="J1033">
        <v>70.2</v>
      </c>
      <c r="K1033">
        <v>812.2</v>
      </c>
      <c r="L1033">
        <v>0.2</v>
      </c>
      <c r="M1033">
        <v>422.8</v>
      </c>
      <c r="N1033">
        <v>95.7</v>
      </c>
      <c r="O1033">
        <v>4</v>
      </c>
      <c r="P1033" s="266">
        <f t="shared" si="989"/>
        <v>1405.1000000000001</v>
      </c>
      <c r="Q1033" s="186" t="s">
        <v>20</v>
      </c>
      <c r="R1033" s="200">
        <f t="shared" si="990"/>
        <v>0</v>
      </c>
      <c r="S1033" s="200">
        <f t="shared" si="991"/>
        <v>371.47488872351084</v>
      </c>
      <c r="T1033" s="200">
        <f t="shared" si="992"/>
        <v>0</v>
      </c>
      <c r="U1033" s="200">
        <f t="shared" si="993"/>
        <v>1310.2889876164431</v>
      </c>
      <c r="V1033" s="200">
        <f t="shared" si="994"/>
        <v>915.34879927129884</v>
      </c>
      <c r="W1033" s="200">
        <f t="shared" si="995"/>
        <v>0</v>
      </c>
      <c r="X1033" s="192">
        <f t="shared" si="996"/>
        <v>371.71912037403496</v>
      </c>
      <c r="Z1033" s="169">
        <f t="shared" si="997"/>
        <v>0</v>
      </c>
      <c r="AA1033" s="207">
        <v>0.7</v>
      </c>
      <c r="AB1033">
        <v>0</v>
      </c>
      <c r="AC1033" s="186" t="s">
        <v>137</v>
      </c>
      <c r="AH1033" s="186"/>
      <c r="AI1033" s="207"/>
    </row>
    <row r="1034" spans="1:43">
      <c r="A1034" s="186" t="s">
        <v>28</v>
      </c>
      <c r="K1034">
        <v>183.9</v>
      </c>
      <c r="M1034">
        <v>551.5</v>
      </c>
      <c r="N1034">
        <v>177.1</v>
      </c>
      <c r="O1034">
        <v>14.6</v>
      </c>
      <c r="P1034" s="266">
        <f t="shared" si="989"/>
        <v>927.1</v>
      </c>
      <c r="Q1034" s="186" t="s">
        <v>22</v>
      </c>
      <c r="R1034" s="200">
        <f t="shared" si="990"/>
        <v>0</v>
      </c>
      <c r="S1034" s="200">
        <f t="shared" si="991"/>
        <v>495.14221323171978</v>
      </c>
      <c r="T1034" s="200">
        <f t="shared" si="992"/>
        <v>0</v>
      </c>
      <c r="U1034" s="200">
        <f t="shared" si="993"/>
        <v>650.72849818313</v>
      </c>
      <c r="V1034" s="200">
        <f t="shared" si="994"/>
        <v>0</v>
      </c>
      <c r="W1034" s="200">
        <f t="shared" si="995"/>
        <v>0</v>
      </c>
      <c r="X1034" s="192">
        <f t="shared" si="996"/>
        <v>512.54273466367169</v>
      </c>
      <c r="Z1034" s="169">
        <f t="shared" si="997"/>
        <v>0</v>
      </c>
      <c r="AA1034" s="207"/>
      <c r="AB1034">
        <v>0</v>
      </c>
      <c r="AC1034" s="188" t="s">
        <v>139</v>
      </c>
      <c r="AH1034" s="186"/>
      <c r="AI1034" s="207"/>
    </row>
    <row r="1035" spans="1:43">
      <c r="A1035" s="193" t="s">
        <v>253</v>
      </c>
      <c r="J1035" s="179">
        <f t="shared" ref="J1035:O1035" si="998">SUM(J1036:J1040)</f>
        <v>168.7</v>
      </c>
      <c r="K1035" s="179">
        <f t="shared" si="998"/>
        <v>14285.640000000001</v>
      </c>
      <c r="L1035" s="179">
        <f t="shared" si="998"/>
        <v>840.04</v>
      </c>
      <c r="M1035" s="179">
        <f t="shared" si="998"/>
        <v>2958.91</v>
      </c>
      <c r="N1035" s="179">
        <f t="shared" si="998"/>
        <v>2879.51</v>
      </c>
      <c r="O1035" s="179">
        <f t="shared" si="998"/>
        <v>72.8</v>
      </c>
      <c r="P1035" s="266">
        <f t="shared" si="989"/>
        <v>21205.600000000002</v>
      </c>
      <c r="Q1035" s="193" t="s">
        <v>23</v>
      </c>
      <c r="R1035" s="192">
        <f t="shared" si="990"/>
        <v>667.19060837356744</v>
      </c>
      <c r="S1035" s="192">
        <f t="shared" si="991"/>
        <v>387.68435670665099</v>
      </c>
      <c r="T1035" s="192">
        <f t="shared" si="992"/>
        <v>1785.5570096122528</v>
      </c>
      <c r="U1035" s="192">
        <f t="shared" si="993"/>
        <v>597.73459461065067</v>
      </c>
      <c r="V1035" s="192">
        <f t="shared" si="994"/>
        <v>463.34642192623892</v>
      </c>
      <c r="W1035" s="192">
        <f t="shared" si="995"/>
        <v>47.324781846216233</v>
      </c>
      <c r="X1035" s="192">
        <f t="shared" si="996"/>
        <v>473.88736923440973</v>
      </c>
      <c r="Z1035" s="169">
        <f t="shared" si="997"/>
        <v>0</v>
      </c>
      <c r="AA1035" s="207"/>
      <c r="AB1035">
        <v>0</v>
      </c>
      <c r="AC1035" s="186" t="s">
        <v>204</v>
      </c>
      <c r="AH1035" s="186"/>
      <c r="AI1035" s="207"/>
    </row>
    <row r="1036" spans="1:43">
      <c r="A1036" s="186" t="s">
        <v>24</v>
      </c>
      <c r="K1036">
        <v>422.2</v>
      </c>
      <c r="L1036">
        <v>34.799999999999997</v>
      </c>
      <c r="M1036">
        <v>19.600000000000001</v>
      </c>
      <c r="N1036">
        <v>35</v>
      </c>
      <c r="O1036">
        <v>30.4</v>
      </c>
      <c r="P1036" s="266">
        <f t="shared" si="989"/>
        <v>542</v>
      </c>
      <c r="Q1036" s="186" t="s">
        <v>24</v>
      </c>
      <c r="R1036" s="200">
        <f t="shared" si="990"/>
        <v>0</v>
      </c>
      <c r="S1036" s="200">
        <f t="shared" si="991"/>
        <v>366.50927913522719</v>
      </c>
      <c r="T1036" s="200">
        <f t="shared" si="992"/>
        <v>1875.1018125473395</v>
      </c>
      <c r="U1036" s="200">
        <f t="shared" si="993"/>
        <v>574.07943126189866</v>
      </c>
      <c r="V1036" s="200">
        <f t="shared" si="994"/>
        <v>415.20180349398345</v>
      </c>
      <c r="W1036" s="200">
        <f t="shared" si="995"/>
        <v>50.09663032052265</v>
      </c>
      <c r="X1036" s="192">
        <f t="shared" si="996"/>
        <v>469.21113229047415</v>
      </c>
      <c r="Z1036" s="169">
        <f t="shared" si="997"/>
        <v>0</v>
      </c>
      <c r="AA1036" s="207"/>
      <c r="AB1036">
        <v>0</v>
      </c>
      <c r="AC1036" s="186" t="s">
        <v>138</v>
      </c>
      <c r="AH1036" s="186"/>
      <c r="AI1036" s="207"/>
    </row>
    <row r="1037" spans="1:43">
      <c r="A1037" s="186" t="s">
        <v>25</v>
      </c>
      <c r="K1037">
        <v>1509.5</v>
      </c>
      <c r="M1037">
        <v>175.1</v>
      </c>
      <c r="N1037">
        <v>7.4</v>
      </c>
      <c r="O1037">
        <v>0.2</v>
      </c>
      <c r="P1037" s="266">
        <f t="shared" si="989"/>
        <v>1692.2</v>
      </c>
      <c r="Q1037" s="186" t="s">
        <v>25</v>
      </c>
      <c r="R1037" s="200">
        <f t="shared" si="990"/>
        <v>0</v>
      </c>
      <c r="S1037" s="200">
        <f t="shared" si="991"/>
        <v>376.44049831179467</v>
      </c>
      <c r="T1037" s="200">
        <f t="shared" si="992"/>
        <v>0</v>
      </c>
      <c r="U1037" s="200">
        <f t="shared" si="993"/>
        <v>489.86008612622447</v>
      </c>
      <c r="V1037" s="200">
        <f t="shared" si="994"/>
        <v>320.73245328797481</v>
      </c>
      <c r="W1037" s="200">
        <f t="shared" si="995"/>
        <v>68.279851696119749</v>
      </c>
      <c r="X1037" s="192">
        <f t="shared" si="996"/>
        <v>386.37965869855924</v>
      </c>
      <c r="Z1037" s="169">
        <f t="shared" si="997"/>
        <v>0</v>
      </c>
      <c r="AA1037" s="207">
        <v>267.2</v>
      </c>
      <c r="AB1037">
        <v>0</v>
      </c>
      <c r="AC1037" s="186" t="s">
        <v>205</v>
      </c>
      <c r="AH1037" s="186"/>
      <c r="AI1037" s="207"/>
    </row>
    <row r="1038" spans="1:43">
      <c r="A1038" s="186" t="s">
        <v>26</v>
      </c>
      <c r="K1038">
        <v>10735.94</v>
      </c>
      <c r="L1038">
        <v>716.34</v>
      </c>
      <c r="M1038">
        <v>596.21</v>
      </c>
      <c r="N1038">
        <v>1579.61</v>
      </c>
      <c r="O1038">
        <v>0.7</v>
      </c>
      <c r="P1038" s="266">
        <f t="shared" si="989"/>
        <v>13628.800000000003</v>
      </c>
      <c r="Q1038" s="186" t="s">
        <v>26</v>
      </c>
      <c r="R1038" s="200">
        <f t="shared" si="990"/>
        <v>0</v>
      </c>
      <c r="S1038" s="200">
        <f t="shared" si="991"/>
        <v>391.10086947720367</v>
      </c>
      <c r="T1038" s="200">
        <f t="shared" si="992"/>
        <v>1707.2471512200493</v>
      </c>
      <c r="U1038" s="200">
        <f t="shared" si="993"/>
        <v>591.42798550332964</v>
      </c>
      <c r="V1038" s="200">
        <f t="shared" si="994"/>
        <v>384.31264266368095</v>
      </c>
      <c r="W1038" s="200">
        <f t="shared" si="995"/>
        <v>75.874748243477995</v>
      </c>
      <c r="X1038" s="192">
        <f t="shared" si="996"/>
        <v>455.68098090422086</v>
      </c>
      <c r="Z1038" s="169">
        <f t="shared" si="997"/>
        <v>0</v>
      </c>
      <c r="AA1038" s="207"/>
      <c r="AB1038">
        <v>0</v>
      </c>
      <c r="AC1038" s="186" t="s">
        <v>206</v>
      </c>
      <c r="AH1038" s="186"/>
      <c r="AI1038" s="207"/>
    </row>
    <row r="1039" spans="1:43">
      <c r="A1039" s="186" t="s">
        <v>27</v>
      </c>
      <c r="J1039">
        <v>168.7</v>
      </c>
      <c r="K1039">
        <v>1187.4000000000001</v>
      </c>
      <c r="L1039">
        <v>2.6</v>
      </c>
      <c r="M1039">
        <v>629.5</v>
      </c>
      <c r="N1039">
        <v>377</v>
      </c>
      <c r="O1039">
        <v>8.9</v>
      </c>
      <c r="P1039" s="266">
        <f t="shared" si="989"/>
        <v>2374.1</v>
      </c>
      <c r="Q1039" s="186" t="s">
        <v>27</v>
      </c>
      <c r="R1039" s="200">
        <f t="shared" si="990"/>
        <v>667.19060837356744</v>
      </c>
      <c r="S1039" s="200">
        <f t="shared" si="991"/>
        <v>304.0844728825175</v>
      </c>
      <c r="T1039" s="200">
        <f t="shared" si="992"/>
        <v>1407.1960726816303</v>
      </c>
      <c r="U1039" s="200">
        <f t="shared" si="993"/>
        <v>393.33903889208108</v>
      </c>
      <c r="V1039" s="200">
        <f t="shared" si="994"/>
        <v>546.73814669635533</v>
      </c>
      <c r="W1039" s="200">
        <f t="shared" si="995"/>
        <v>55.761878885164471</v>
      </c>
      <c r="X1039" s="192">
        <f t="shared" si="996"/>
        <v>421.90492994469702</v>
      </c>
      <c r="Z1039" s="169">
        <f t="shared" si="997"/>
        <v>0</v>
      </c>
      <c r="AA1039">
        <v>0</v>
      </c>
      <c r="AB1039">
        <v>0</v>
      </c>
      <c r="AC1039" s="186" t="s">
        <v>219</v>
      </c>
      <c r="AH1039" s="189"/>
      <c r="AI1039" s="207"/>
    </row>
    <row r="1040" spans="1:43">
      <c r="A1040" s="186" t="s">
        <v>28</v>
      </c>
      <c r="K1040">
        <v>430.6</v>
      </c>
      <c r="L1040">
        <v>86.3</v>
      </c>
      <c r="M1040">
        <v>1538.5</v>
      </c>
      <c r="N1040">
        <v>880.5</v>
      </c>
      <c r="O1040">
        <v>32.6</v>
      </c>
      <c r="P1040" s="266">
        <f t="shared" si="989"/>
        <v>2968.5</v>
      </c>
      <c r="Q1040" s="186" t="s">
        <v>28</v>
      </c>
      <c r="R1040" s="200">
        <f t="shared" si="990"/>
        <v>0</v>
      </c>
      <c r="S1040" s="200">
        <f t="shared" si="991"/>
        <v>464.87564050313335</v>
      </c>
      <c r="T1040" s="200">
        <f t="shared" si="992"/>
        <v>2684.8048679655089</v>
      </c>
      <c r="U1040" s="200">
        <f t="shared" si="993"/>
        <v>675.33190238006853</v>
      </c>
      <c r="V1040" s="200">
        <f t="shared" si="994"/>
        <v>791.27733660291699</v>
      </c>
      <c r="W1040" s="200">
        <f t="shared" si="995"/>
        <v>42.056430392537528</v>
      </c>
      <c r="X1040" s="192">
        <f t="shared" si="996"/>
        <v>739.25507551215992</v>
      </c>
      <c r="AH1040" s="186"/>
      <c r="AI1040" s="207"/>
    </row>
    <row r="1041" spans="1:35">
      <c r="Q1041" s="193" t="s">
        <v>9</v>
      </c>
      <c r="R1041" s="282">
        <f t="shared" ref="R1041:X1041" si="999">R1018/J1001*1000000</f>
        <v>919.8630104003845</v>
      </c>
      <c r="S1041" s="282">
        <f t="shared" si="999"/>
        <v>400.53609580344573</v>
      </c>
      <c r="T1041" s="192">
        <f t="shared" si="999"/>
        <v>1900.5843425525975</v>
      </c>
      <c r="U1041" s="192">
        <f t="shared" si="999"/>
        <v>693.46032768208408</v>
      </c>
      <c r="V1041" s="192">
        <f t="shared" si="999"/>
        <v>546.91571775445925</v>
      </c>
      <c r="W1041" s="192">
        <f t="shared" si="999"/>
        <v>60.458628994930521</v>
      </c>
      <c r="X1041" s="195">
        <f t="shared" si="999"/>
        <v>571.9424387782683</v>
      </c>
      <c r="AH1041" s="186"/>
      <c r="AI1041" s="207"/>
    </row>
    <row r="1042" spans="1:35">
      <c r="J1042" s="90">
        <f t="shared" ref="J1042:O1047" si="1000">IFERROR((J995/11.63+J1029)/J1035,"")</f>
        <v>0.68977528324688153</v>
      </c>
      <c r="K1042" s="90">
        <f t="shared" si="1000"/>
        <v>0.60875587232331341</v>
      </c>
      <c r="L1042" s="90">
        <f t="shared" si="1000"/>
        <v>0.45581326574016062</v>
      </c>
      <c r="M1042" s="90">
        <f t="shared" si="1000"/>
        <v>0.66612068078926134</v>
      </c>
      <c r="N1042" s="90">
        <f t="shared" si="1000"/>
        <v>0.52723916767712931</v>
      </c>
      <c r="O1042" s="90">
        <f t="shared" si="1000"/>
        <v>0.62891796509595299</v>
      </c>
      <c r="P1042" s="204">
        <f>P1035-('5-x'!$K$82+'5-x'!$K$84)</f>
        <v>0</v>
      </c>
      <c r="R1042" s="173">
        <f>'7'!Q6</f>
        <v>919.86301040038472</v>
      </c>
      <c r="S1042" s="173">
        <f>'7'!Q7</f>
        <v>400.5362568137042</v>
      </c>
      <c r="T1042" s="204"/>
      <c r="U1042" s="204"/>
      <c r="V1042" s="204"/>
      <c r="W1042" s="204"/>
      <c r="X1042" s="195">
        <f>'7'!Q12</f>
        <v>571.94377387630698</v>
      </c>
      <c r="AH1042" s="186"/>
      <c r="AI1042" s="207"/>
    </row>
    <row r="1043" spans="1:35">
      <c r="J1043" s="90" t="str">
        <f t="shared" si="1000"/>
        <v/>
      </c>
      <c r="K1043" s="90">
        <f t="shared" si="1000"/>
        <v>0.6818175523289749</v>
      </c>
      <c r="L1043" s="90">
        <f t="shared" si="1000"/>
        <v>0.40608414623298839</v>
      </c>
      <c r="M1043" s="90">
        <f t="shared" si="1000"/>
        <v>0.54975696211416636</v>
      </c>
      <c r="N1043" s="90">
        <f t="shared" si="1000"/>
        <v>0.60322564795479661</v>
      </c>
      <c r="O1043" s="90">
        <f t="shared" si="1000"/>
        <v>0.54329773272389914</v>
      </c>
      <c r="P1043" s="270">
        <f>(P1012/41.868)-'5-x'!$K$82</f>
        <v>-2.4843000028340612E-3</v>
      </c>
      <c r="R1043" s="222">
        <f>R1041-R1042</f>
        <v>0</v>
      </c>
      <c r="S1043" s="222">
        <f>S1041-S1042</f>
        <v>-1.610102584663764E-4</v>
      </c>
      <c r="T1043" s="222"/>
      <c r="U1043" s="222"/>
      <c r="V1043" s="222"/>
      <c r="W1043" s="222"/>
      <c r="X1043" s="222">
        <f>X1041-X1042</f>
        <v>-1.3350980386803712E-3</v>
      </c>
      <c r="AH1043" s="186"/>
      <c r="AI1043" s="207"/>
    </row>
    <row r="1044" spans="1:35">
      <c r="J1044" s="90" t="str">
        <f t="shared" si="1000"/>
        <v/>
      </c>
      <c r="K1044" s="90">
        <f t="shared" si="1000"/>
        <v>0.69133567087437342</v>
      </c>
      <c r="L1044" s="90" t="str">
        <f t="shared" si="1000"/>
        <v/>
      </c>
      <c r="M1044" s="90">
        <f t="shared" si="1000"/>
        <v>0.73133691446676097</v>
      </c>
      <c r="N1044" s="90">
        <f t="shared" si="1000"/>
        <v>0.79844763077781133</v>
      </c>
      <c r="O1044" s="90">
        <f t="shared" si="1000"/>
        <v>0.45795356835769557</v>
      </c>
      <c r="P1044" s="270">
        <f>(P1006/41.868)-'5-x'!$K$83</f>
        <v>-3.8771000072301831E-3</v>
      </c>
    </row>
    <row r="1045" spans="1:35">
      <c r="J1045" s="90" t="str">
        <f t="shared" si="1000"/>
        <v/>
      </c>
      <c r="K1045" s="90">
        <f t="shared" si="1000"/>
        <v>0.56626880785193512</v>
      </c>
      <c r="L1045" s="90">
        <f t="shared" si="1000"/>
        <v>0.47922801709300383</v>
      </c>
      <c r="M1045" s="90">
        <f t="shared" si="1000"/>
        <v>0.63029520824021912</v>
      </c>
      <c r="N1045" s="90">
        <f t="shared" si="1000"/>
        <v>0.58086281765197079</v>
      </c>
      <c r="O1045" s="90">
        <f t="shared" si="1000"/>
        <v>0.78798673381648454</v>
      </c>
    </row>
    <row r="1046" spans="1:35">
      <c r="J1046" s="90">
        <f t="shared" si="1000"/>
        <v>0.68977528324688153</v>
      </c>
      <c r="K1046" s="90">
        <f t="shared" si="1000"/>
        <v>0.84449966262262788</v>
      </c>
      <c r="L1046" s="90">
        <f t="shared" si="1000"/>
        <v>0.5531450492757457</v>
      </c>
      <c r="M1046" s="90">
        <f t="shared" si="1000"/>
        <v>0.84670564540638449</v>
      </c>
      <c r="N1046" s="90">
        <f t="shared" si="1000"/>
        <v>0.54451489448079715</v>
      </c>
      <c r="O1046" s="90">
        <f t="shared" si="1000"/>
        <v>0.64072961248997651</v>
      </c>
    </row>
    <row r="1047" spans="1:35">
      <c r="J1047" s="90" t="str">
        <f t="shared" si="1000"/>
        <v/>
      </c>
      <c r="K1047" s="90">
        <f t="shared" si="1000"/>
        <v>0.65686444438143266</v>
      </c>
      <c r="L1047" s="90">
        <f t="shared" si="1000"/>
        <v>0.27857789769336305</v>
      </c>
      <c r="M1047" s="90">
        <f t="shared" si="1000"/>
        <v>0.60017504291541468</v>
      </c>
      <c r="N1047" s="90">
        <f t="shared" si="1000"/>
        <v>0.41834209535639633</v>
      </c>
      <c r="O1047" s="90">
        <f t="shared" si="1000"/>
        <v>0.70316876704524467</v>
      </c>
    </row>
    <row r="1048" spans="1:35">
      <c r="A1048" s="68" t="str">
        <f>$A$987</f>
        <v>Dati 2005 lorda</v>
      </c>
      <c r="J1048" s="90"/>
      <c r="K1048" s="90"/>
      <c r="L1048" s="90"/>
      <c r="M1048" s="90"/>
      <c r="N1048" s="90"/>
      <c r="O1048" s="90"/>
    </row>
    <row r="1049" spans="1:35">
      <c r="A1049" s="68" t="s">
        <v>257</v>
      </c>
      <c r="B1049" s="68"/>
      <c r="C1049" s="68"/>
      <c r="D1049" s="68"/>
      <c r="E1049" s="68"/>
      <c r="F1049" s="68"/>
      <c r="G1049" s="68"/>
      <c r="H1049" s="68"/>
      <c r="I1049" s="68"/>
      <c r="J1049" s="428">
        <v>0.30797237417221623</v>
      </c>
      <c r="K1049" s="428">
        <v>7.5815846354963981</v>
      </c>
      <c r="L1049" s="428">
        <v>0.32051322797589599</v>
      </c>
      <c r="M1049" s="588">
        <v>4.1774129776451856</v>
      </c>
      <c r="N1049" s="587">
        <v>0.71717769214734484</v>
      </c>
      <c r="O1049" s="587">
        <v>0</v>
      </c>
      <c r="P1049" s="287">
        <f>SUM(J1049:O1049)</f>
        <v>13.10466090743704</v>
      </c>
    </row>
    <row r="1050" spans="1:35">
      <c r="A1050" t="s">
        <v>260</v>
      </c>
      <c r="J1050" s="181">
        <f t="shared" ref="J1050:P1050" si="1001">J1049/(J1029*11.63)*1000000</f>
        <v>377.22019408031616</v>
      </c>
      <c r="K1050" s="181">
        <f t="shared" si="1001"/>
        <v>225.89886230648628</v>
      </c>
      <c r="L1050" s="181">
        <f t="shared" si="1001"/>
        <v>474.34039507874905</v>
      </c>
      <c r="M1050" s="181">
        <f t="shared" si="1001"/>
        <v>283.52108403381533</v>
      </c>
      <c r="N1050" s="181">
        <f t="shared" si="1001"/>
        <v>202.5161957700542</v>
      </c>
      <c r="O1050" s="181">
        <f t="shared" si="1001"/>
        <v>0</v>
      </c>
      <c r="P1050" s="181">
        <f t="shared" si="1001"/>
        <v>244.34840622386804</v>
      </c>
    </row>
    <row r="1051" spans="1:35">
      <c r="J1051" s="90"/>
      <c r="K1051" s="90"/>
      <c r="L1051" s="90"/>
      <c r="M1051" s="90"/>
      <c r="N1051" s="90"/>
      <c r="O1051" s="90"/>
    </row>
    <row r="1052" spans="1:35">
      <c r="A1052" s="68" t="s">
        <v>259</v>
      </c>
      <c r="B1052" s="68"/>
      <c r="C1052" s="68"/>
      <c r="D1052" s="68"/>
      <c r="E1052" s="68"/>
      <c r="F1052" s="68"/>
      <c r="G1052" s="68"/>
      <c r="H1052" s="68"/>
      <c r="I1052" s="68"/>
      <c r="J1052" s="271">
        <f>J1049+R1012</f>
        <v>0.66618701180798456</v>
      </c>
      <c r="K1052" s="271">
        <f t="shared" ref="K1052:P1052" si="1002">K1049+S1012</f>
        <v>33.780541354079865</v>
      </c>
      <c r="L1052" s="271">
        <f t="shared" si="1002"/>
        <v>7.0653476983656036</v>
      </c>
      <c r="M1052" s="271">
        <f t="shared" si="1002"/>
        <v>9.072010524382069</v>
      </c>
      <c r="N1052" s="271">
        <f t="shared" si="1002"/>
        <v>7.2574143738490315</v>
      </c>
      <c r="O1052" s="271">
        <f t="shared" si="1002"/>
        <v>1.0922559650106706E-2</v>
      </c>
      <c r="P1052" s="271">
        <f t="shared" si="1002"/>
        <v>57.852423522134657</v>
      </c>
    </row>
    <row r="1053" spans="1:35">
      <c r="A1053" t="s">
        <v>260</v>
      </c>
      <c r="J1053" s="90">
        <f>J1052/((J1029*11.63)+J995)*1000000</f>
        <v>492.25908007973288</v>
      </c>
      <c r="K1053" s="90">
        <f t="shared" ref="K1053:P1053" si="1003">K1052/((K1029*11.63)+K995)*1000000</f>
        <v>333.99812218626033</v>
      </c>
      <c r="L1053" s="90">
        <f t="shared" si="1003"/>
        <v>1586.5979822263969</v>
      </c>
      <c r="M1053" s="90">
        <f t="shared" si="1003"/>
        <v>395.76661629498517</v>
      </c>
      <c r="N1053" s="90">
        <f t="shared" si="1003"/>
        <v>411.03229785476447</v>
      </c>
      <c r="O1053" s="90">
        <f>O1052/((O1029*11.63)+O995)*1000000</f>
        <v>20.512534785400728</v>
      </c>
      <c r="P1053" s="90">
        <f t="shared" si="1003"/>
        <v>390.74150048721327</v>
      </c>
    </row>
    <row r="1055" spans="1:35">
      <c r="A1055" s="68" t="s">
        <v>261</v>
      </c>
      <c r="B1055" s="68"/>
      <c r="C1055" s="68"/>
      <c r="D1055" s="68"/>
      <c r="E1055" s="68"/>
      <c r="F1055" s="68"/>
      <c r="G1055" s="68"/>
      <c r="H1055" s="68"/>
      <c r="I1055" s="68"/>
      <c r="J1055" s="190">
        <f t="shared" ref="J1055:P1060" si="1004">IFERROR((J$1050*J1029*11.63/1000000+R1012)/(J1029*11.63+J995)*1000000,"")</f>
        <v>492.25908007973288</v>
      </c>
      <c r="K1055" s="190">
        <f t="shared" si="1004"/>
        <v>333.99812218626033</v>
      </c>
      <c r="L1055" s="190">
        <f t="shared" si="1004"/>
        <v>1586.5979822263969</v>
      </c>
      <c r="M1055" s="190">
        <f t="shared" si="1004"/>
        <v>395.76661629498517</v>
      </c>
      <c r="N1055" s="190">
        <f t="shared" si="1004"/>
        <v>411.03229785476447</v>
      </c>
      <c r="O1055" s="190">
        <f t="shared" si="1004"/>
        <v>20.512534785400728</v>
      </c>
      <c r="P1055" s="190">
        <f t="shared" si="1004"/>
        <v>390.74150048721327</v>
      </c>
      <c r="R1055" s="255">
        <f t="shared" ref="R1055:X1060" si="1005">IFERROR(J1055/R1035-1,"")</f>
        <v>-0.26219123305747805</v>
      </c>
      <c r="S1055" s="255">
        <f t="shared" si="1005"/>
        <v>-0.1384792385652367</v>
      </c>
      <c r="T1055" s="255">
        <f t="shared" si="1005"/>
        <v>-0.1114268692149244</v>
      </c>
      <c r="U1055" s="255">
        <f t="shared" si="1005"/>
        <v>-0.33788905667610281</v>
      </c>
      <c r="V1055" s="255">
        <f t="shared" si="1005"/>
        <v>-0.11290499202301485</v>
      </c>
      <c r="W1055" s="255">
        <f t="shared" si="1005"/>
        <v>-0.56655828119700524</v>
      </c>
      <c r="X1055" s="255">
        <f t="shared" si="1005"/>
        <v>-0.17545491638978061</v>
      </c>
    </row>
    <row r="1056" spans="1:35">
      <c r="A1056" s="186" t="s">
        <v>24</v>
      </c>
      <c r="J1056" s="90" t="str">
        <f t="shared" si="1004"/>
        <v/>
      </c>
      <c r="K1056" s="90">
        <f t="shared" si="1004"/>
        <v>298.27108964105901</v>
      </c>
      <c r="L1056" s="90">
        <f t="shared" si="1004"/>
        <v>1835.4531188042524</v>
      </c>
      <c r="M1056" s="90">
        <f t="shared" si="1004"/>
        <v>487.79021479759757</v>
      </c>
      <c r="N1056" s="90">
        <f t="shared" si="1004"/>
        <v>353.752057140967</v>
      </c>
      <c r="O1056" s="90">
        <f t="shared" si="1004"/>
        <v>29.471060714161823</v>
      </c>
      <c r="P1056" s="90">
        <f t="shared" si="1004"/>
        <v>368.97252063117338</v>
      </c>
      <c r="R1056" s="254" t="str">
        <f t="shared" si="1005"/>
        <v/>
      </c>
      <c r="S1056" s="254">
        <f t="shared" si="1005"/>
        <v>-0.1861840705784451</v>
      </c>
      <c r="T1056" s="254">
        <f t="shared" si="1005"/>
        <v>-2.1144821831953764E-2</v>
      </c>
      <c r="U1056" s="254">
        <f t="shared" si="1005"/>
        <v>-0.15030884537114764</v>
      </c>
      <c r="V1056" s="254">
        <f t="shared" si="1005"/>
        <v>-0.1479997096253145</v>
      </c>
      <c r="W1056" s="254">
        <f t="shared" si="1005"/>
        <v>-0.41171570771120969</v>
      </c>
      <c r="X1056" s="254">
        <f t="shared" si="1005"/>
        <v>-0.21363221109009434</v>
      </c>
    </row>
    <row r="1057" spans="1:34">
      <c r="A1057" s="186" t="s">
        <v>25</v>
      </c>
      <c r="J1057" s="90" t="str">
        <f t="shared" si="1004"/>
        <v/>
      </c>
      <c r="K1057" s="90">
        <f t="shared" si="1004"/>
        <v>294.05577102215204</v>
      </c>
      <c r="L1057" s="90" t="str">
        <f t="shared" si="1004"/>
        <v/>
      </c>
      <c r="M1057" s="90">
        <f t="shared" si="1004"/>
        <v>359.66666314324368</v>
      </c>
      <c r="N1057" s="90">
        <f t="shared" si="1004"/>
        <v>256.70753565908291</v>
      </c>
      <c r="O1057" s="90">
        <f t="shared" si="1004"/>
        <v>38.4602994908673</v>
      </c>
      <c r="P1057" s="90">
        <f t="shared" si="1004"/>
        <v>307.36461849460045</v>
      </c>
      <c r="R1057" s="254" t="str">
        <f t="shared" si="1005"/>
        <v/>
      </c>
      <c r="S1057" s="254">
        <f t="shared" si="1005"/>
        <v>-0.21885192390061536</v>
      </c>
      <c r="T1057" s="254" t="str">
        <f t="shared" si="1005"/>
        <v/>
      </c>
      <c r="U1057" s="254">
        <f t="shared" si="1005"/>
        <v>-0.2657767527306425</v>
      </c>
      <c r="V1057" s="254">
        <f t="shared" si="1005"/>
        <v>-0.19962095189477469</v>
      </c>
      <c r="W1057" s="254">
        <f t="shared" si="1005"/>
        <v>-0.4367254975591438</v>
      </c>
      <c r="X1057" s="254">
        <f t="shared" si="1005"/>
        <v>-0.20450103525145391</v>
      </c>
    </row>
    <row r="1058" spans="1:34">
      <c r="A1058" s="186" t="s">
        <v>26</v>
      </c>
      <c r="J1058" s="90" t="str">
        <f t="shared" si="1004"/>
        <v/>
      </c>
      <c r="K1058" s="90">
        <f t="shared" si="1004"/>
        <v>359.06551220075141</v>
      </c>
      <c r="L1058" s="90">
        <f t="shared" si="1004"/>
        <v>1500.7392493347252</v>
      </c>
      <c r="M1058" s="90">
        <f t="shared" si="1004"/>
        <v>420.50893719049827</v>
      </c>
      <c r="N1058" s="90">
        <f t="shared" si="1004"/>
        <v>379.87441110072825</v>
      </c>
      <c r="O1058" s="90">
        <f t="shared" si="1004"/>
        <v>7.096624933139017</v>
      </c>
      <c r="P1058" s="90">
        <f t="shared" si="1004"/>
        <v>415.47994712898839</v>
      </c>
      <c r="R1058" s="254" t="str">
        <f t="shared" si="1005"/>
        <v/>
      </c>
      <c r="S1058" s="254">
        <f t="shared" si="1005"/>
        <v>-8.1910728859475257E-2</v>
      </c>
      <c r="T1058" s="254">
        <f t="shared" si="1005"/>
        <v>-0.12095958206036395</v>
      </c>
      <c r="U1058" s="254">
        <f t="shared" si="1005"/>
        <v>-0.28899384625394786</v>
      </c>
      <c r="V1058" s="254">
        <f t="shared" si="1005"/>
        <v>-1.1548492217667405E-2</v>
      </c>
      <c r="W1058" s="254">
        <f t="shared" si="1005"/>
        <v>-0.90646921278254089</v>
      </c>
      <c r="X1058" s="254">
        <f t="shared" si="1005"/>
        <v>-8.8221882105898763E-2</v>
      </c>
    </row>
    <row r="1059" spans="1:34">
      <c r="A1059" s="186" t="s">
        <v>27</v>
      </c>
      <c r="J1059" s="90">
        <f t="shared" si="1004"/>
        <v>492.25908007973288</v>
      </c>
      <c r="K1059" s="90">
        <f t="shared" si="1004"/>
        <v>240.75683455592784</v>
      </c>
      <c r="L1059" s="90">
        <f t="shared" si="1004"/>
        <v>1277.4685642454056</v>
      </c>
      <c r="M1059" s="90">
        <f t="shared" si="1004"/>
        <v>306.22660652888817</v>
      </c>
      <c r="N1059" s="90">
        <f t="shared" si="1004"/>
        <v>386.26610231751675</v>
      </c>
      <c r="O1059" s="90">
        <f t="shared" si="1004"/>
        <v>16.647846832422445</v>
      </c>
      <c r="P1059" s="90">
        <f t="shared" si="1004"/>
        <v>288.10055792458166</v>
      </c>
      <c r="R1059" s="254">
        <f t="shared" si="1005"/>
        <v>-0.26219123305747805</v>
      </c>
      <c r="S1059" s="254">
        <f t="shared" si="1005"/>
        <v>-0.20825673118487764</v>
      </c>
      <c r="T1059" s="254">
        <f t="shared" si="1005"/>
        <v>-9.2188651570785596E-2</v>
      </c>
      <c r="U1059" s="254">
        <f t="shared" si="1005"/>
        <v>-0.22146907311453923</v>
      </c>
      <c r="V1059" s="254">
        <f t="shared" si="1005"/>
        <v>-0.29350804466175417</v>
      </c>
      <c r="W1059" s="254">
        <f t="shared" si="1005"/>
        <v>-0.7014475271411339</v>
      </c>
      <c r="X1059" s="254">
        <f t="shared" si="1005"/>
        <v>-0.31714341910547084</v>
      </c>
    </row>
    <row r="1060" spans="1:34">
      <c r="A1060" s="186" t="s">
        <v>28</v>
      </c>
      <c r="J1060" s="90" t="str">
        <f t="shared" si="1004"/>
        <v/>
      </c>
      <c r="K1060" s="90">
        <f t="shared" si="1004"/>
        <v>309.49831162716038</v>
      </c>
      <c r="L1060" s="90">
        <f t="shared" si="1004"/>
        <v>2684.8048679655089</v>
      </c>
      <c r="M1060" s="90">
        <f t="shared" si="1004"/>
        <v>441.31538754362674</v>
      </c>
      <c r="N1060" s="90">
        <f t="shared" si="1004"/>
        <v>508.2054289281707</v>
      </c>
      <c r="O1060" s="90">
        <f t="shared" si="1004"/>
        <v>15.27041636470503</v>
      </c>
      <c r="P1060" s="90">
        <f t="shared" si="1004"/>
        <v>456.29515803031779</v>
      </c>
      <c r="R1060" s="254" t="str">
        <f t="shared" si="1005"/>
        <v/>
      </c>
      <c r="S1060" s="254">
        <f t="shared" si="1005"/>
        <v>-0.33423418079684408</v>
      </c>
      <c r="T1060" s="254">
        <f t="shared" si="1005"/>
        <v>0</v>
      </c>
      <c r="U1060" s="254">
        <f t="shared" si="1005"/>
        <v>-0.34652074633480023</v>
      </c>
      <c r="V1060" s="254">
        <f t="shared" si="1005"/>
        <v>-0.35774044646598913</v>
      </c>
      <c r="W1060" s="254">
        <f t="shared" si="1005"/>
        <v>-0.63690650342463195</v>
      </c>
      <c r="X1060" s="254">
        <f t="shared" si="1005"/>
        <v>-0.38276357762685087</v>
      </c>
    </row>
    <row r="1061" spans="1:34">
      <c r="J1061" s="90"/>
      <c r="K1061" s="90"/>
      <c r="L1061" s="90"/>
      <c r="M1061" s="90"/>
      <c r="N1061" s="90"/>
      <c r="O1061" s="90"/>
    </row>
    <row r="1062" spans="1:34">
      <c r="J1062" s="90"/>
      <c r="K1062" s="90"/>
      <c r="L1062" s="90"/>
      <c r="M1062" s="90"/>
      <c r="N1062" s="90"/>
      <c r="O1062" s="90"/>
    </row>
    <row r="1063" spans="1:34">
      <c r="J1063" s="90"/>
      <c r="K1063" s="90"/>
      <c r="L1063" s="90"/>
      <c r="M1063" s="90"/>
      <c r="N1063" s="90"/>
      <c r="O1063" s="90"/>
    </row>
    <row r="1064" spans="1:34">
      <c r="J1064" s="90"/>
      <c r="K1064" s="90"/>
      <c r="L1064" s="90"/>
      <c r="M1064" s="90"/>
      <c r="N1064" s="90"/>
      <c r="O1064" s="90"/>
    </row>
    <row r="1065" spans="1:34">
      <c r="J1065" s="90"/>
      <c r="K1065" s="90"/>
      <c r="L1065" s="90"/>
      <c r="M1065" s="90"/>
      <c r="N1065" s="90"/>
      <c r="O1065" s="90"/>
    </row>
    <row r="1066" spans="1:34">
      <c r="J1066" s="90"/>
      <c r="K1066" s="90"/>
      <c r="L1066" s="90"/>
      <c r="M1066" s="90"/>
      <c r="N1066" s="90"/>
      <c r="O1066" s="90"/>
    </row>
    <row r="1067" spans="1:34">
      <c r="J1067" s="90"/>
      <c r="K1067" s="90"/>
      <c r="L1067" s="90"/>
      <c r="M1067" s="90"/>
      <c r="N1067" s="90"/>
      <c r="O1067" s="90"/>
    </row>
    <row r="1068" spans="1:34">
      <c r="A1068" s="225" t="s">
        <v>226</v>
      </c>
      <c r="B1068" s="225"/>
      <c r="C1068" s="225"/>
      <c r="D1068" s="225"/>
      <c r="E1068" s="225"/>
      <c r="F1068" s="225"/>
      <c r="G1068" s="225"/>
      <c r="H1068" s="225"/>
      <c r="I1068" s="225"/>
      <c r="J1068" s="225"/>
      <c r="K1068" s="225"/>
      <c r="L1068" s="225"/>
      <c r="M1068" s="225"/>
      <c r="N1068" s="225"/>
      <c r="O1068" s="225"/>
      <c r="P1068" s="225"/>
      <c r="Q1068" s="225"/>
      <c r="R1068" s="225"/>
      <c r="S1068" s="225"/>
      <c r="T1068" s="225"/>
      <c r="U1068" s="225"/>
      <c r="V1068" s="225"/>
      <c r="W1068" s="225"/>
      <c r="X1068" s="225"/>
    </row>
    <row r="1069" spans="1:34">
      <c r="A1069" t="s">
        <v>228</v>
      </c>
    </row>
    <row r="1070" spans="1:34">
      <c r="A1070" s="68" t="s">
        <v>221</v>
      </c>
      <c r="K1070" s="217">
        <v>1.0384447916399862</v>
      </c>
      <c r="N1070" s="217">
        <v>0.33712034206760061</v>
      </c>
      <c r="R1070" s="220">
        <v>0.95730863744414552</v>
      </c>
      <c r="S1070" s="220">
        <v>1.0699222884368824</v>
      </c>
      <c r="T1070" s="220">
        <v>0.86428290719271073</v>
      </c>
      <c r="U1070" s="220">
        <v>1.0079273800267738</v>
      </c>
      <c r="V1070" s="220">
        <v>1.1870497784792071</v>
      </c>
      <c r="AA1070" s="68" t="s">
        <v>194</v>
      </c>
      <c r="AB1070" s="183" t="s">
        <v>193</v>
      </c>
    </row>
    <row r="1071" spans="1:34">
      <c r="A1071" s="68"/>
      <c r="E1071" s="68" t="s">
        <v>175</v>
      </c>
      <c r="J1071" s="180" t="s">
        <v>5</v>
      </c>
      <c r="K1071" s="180" t="s">
        <v>186</v>
      </c>
      <c r="L1071" s="180" t="s">
        <v>187</v>
      </c>
      <c r="M1071" s="180" t="s">
        <v>190</v>
      </c>
      <c r="N1071" s="180" t="s">
        <v>222</v>
      </c>
      <c r="O1071" s="180"/>
      <c r="P1071" s="180" t="s">
        <v>189</v>
      </c>
      <c r="Q1071" s="68" t="s">
        <v>122</v>
      </c>
      <c r="R1071" s="180" t="s">
        <v>5</v>
      </c>
      <c r="S1071" s="180" t="s">
        <v>186</v>
      </c>
      <c r="T1071" s="180" t="s">
        <v>187</v>
      </c>
      <c r="U1071" s="180" t="s">
        <v>190</v>
      </c>
      <c r="V1071" s="180" t="s">
        <v>222</v>
      </c>
      <c r="W1071" s="180"/>
      <c r="X1071" s="180" t="s">
        <v>189</v>
      </c>
      <c r="AA1071" s="68" t="s">
        <v>5</v>
      </c>
    </row>
    <row r="1072" spans="1:34" ht="15.5">
      <c r="A1072" s="11" t="s">
        <v>16</v>
      </c>
      <c r="J1072" s="179">
        <f t="shared" ref="J1072:P1072" si="1006">SUM(J1073:J1077)</f>
        <v>25742.3</v>
      </c>
      <c r="K1072" s="179">
        <f t="shared" si="1006"/>
        <v>60293.662269805056</v>
      </c>
      <c r="L1072" s="179">
        <f t="shared" si="1006"/>
        <v>1534.8999999999999</v>
      </c>
      <c r="M1072" s="179">
        <f t="shared" si="1006"/>
        <v>73074.2</v>
      </c>
      <c r="N1072" s="179">
        <f t="shared" si="1006"/>
        <v>389.77853949855978</v>
      </c>
      <c r="O1072" s="179"/>
      <c r="P1072" s="179">
        <f t="shared" si="1006"/>
        <v>161034.8408093036</v>
      </c>
      <c r="Q1072" s="133"/>
      <c r="R1072" s="206"/>
      <c r="S1072" s="206"/>
      <c r="T1072" s="206"/>
      <c r="U1072" s="206"/>
      <c r="V1072" s="206"/>
      <c r="W1072" s="206"/>
      <c r="X1072" s="206"/>
      <c r="Z1072" s="169">
        <f>AA1072*AB1072</f>
        <v>534508.00056994415</v>
      </c>
      <c r="AA1072" s="90">
        <v>5792.5145695996944</v>
      </c>
      <c r="AB1072" s="90">
        <v>92.275641976828496</v>
      </c>
      <c r="AC1072" s="186" t="s">
        <v>58</v>
      </c>
      <c r="AH1072" s="186"/>
    </row>
    <row r="1073" spans="1:34" ht="15.5">
      <c r="A1073" s="10" t="s">
        <v>17</v>
      </c>
      <c r="K1073" s="147">
        <f>K1135*$K$1070</f>
        <v>297.09905488820004</v>
      </c>
      <c r="M1073">
        <f>M1135</f>
        <v>257.89999999999998</v>
      </c>
      <c r="N1073" s="147">
        <f>N1135*$N$1070</f>
        <v>219.39791861759446</v>
      </c>
      <c r="P1073" s="68">
        <f>SUM(J1073:N1073)</f>
        <v>774.39697350579445</v>
      </c>
      <c r="Q1073" s="133"/>
      <c r="R1073" s="171"/>
      <c r="S1073" s="171">
        <f t="shared" ref="S1073:V1076" si="1007">S1135*S$1070</f>
        <v>11.378058618557951</v>
      </c>
      <c r="T1073" s="171"/>
      <c r="U1073" s="171">
        <f>U1135*U$1070</f>
        <v>10.338976369005437</v>
      </c>
      <c r="V1073" s="171">
        <f>V1135*V$1070</f>
        <v>10.904048387505618</v>
      </c>
      <c r="W1073" s="171"/>
      <c r="X1073" s="206"/>
      <c r="Z1073" s="169">
        <f>AA1073*AB1073</f>
        <v>0</v>
      </c>
      <c r="AA1073" s="90">
        <v>0</v>
      </c>
      <c r="AB1073" s="90">
        <v>92.275641976828496</v>
      </c>
      <c r="AC1073" s="186" t="s">
        <v>59</v>
      </c>
      <c r="AH1073" s="186"/>
    </row>
    <row r="1074" spans="1:34" ht="15.5">
      <c r="A1074" s="10" t="s">
        <v>18</v>
      </c>
      <c r="K1074" s="147">
        <f>K1136*$K$1070</f>
        <v>11633.5931562636</v>
      </c>
      <c r="L1074">
        <f>L1136</f>
        <v>69.3</v>
      </c>
      <c r="M1074">
        <f>M1136</f>
        <v>1091.5</v>
      </c>
      <c r="N1074" s="147">
        <f>N1136*$N$1070</f>
        <v>6.8772549781790522</v>
      </c>
      <c r="P1074" s="68">
        <f>SUM(J1074:N1074)</f>
        <v>12801.270411241778</v>
      </c>
      <c r="Q1074" s="133"/>
      <c r="R1074" s="171"/>
      <c r="S1074" s="171">
        <f t="shared" si="1007"/>
        <v>11.17647883988271</v>
      </c>
      <c r="T1074" s="171">
        <f t="shared" si="1007"/>
        <v>23.15529134566459</v>
      </c>
      <c r="U1074" s="171">
        <f t="shared" si="1007"/>
        <v>12.49539144025514</v>
      </c>
      <c r="V1074" s="171">
        <f t="shared" si="1007"/>
        <v>14.248818015942847</v>
      </c>
      <c r="W1074" s="171"/>
      <c r="X1074" s="206"/>
      <c r="Z1074" s="169">
        <f>AA1074*AB1074</f>
        <v>125.44186490876086</v>
      </c>
      <c r="AA1074" s="90">
        <v>1.2419986624629789</v>
      </c>
      <c r="AB1074" s="90">
        <v>101</v>
      </c>
      <c r="AC1074" s="186" t="s">
        <v>60</v>
      </c>
      <c r="AH1074" s="186"/>
    </row>
    <row r="1075" spans="1:34" ht="15.5">
      <c r="A1075" s="10" t="s">
        <v>19</v>
      </c>
      <c r="J1075">
        <f>J1137</f>
        <v>25742.3</v>
      </c>
      <c r="K1075" s="147">
        <f>K1137*$K$1070</f>
        <v>41220.650626232593</v>
      </c>
      <c r="L1075">
        <f>L1137</f>
        <v>1465.6</v>
      </c>
      <c r="M1075">
        <f>M1137</f>
        <v>71724.800000000003</v>
      </c>
      <c r="N1075" s="147">
        <f>N1137*$N$1070</f>
        <v>163.5033659027863</v>
      </c>
      <c r="P1075" s="68">
        <f>SUM(J1075:N1075)</f>
        <v>140316.85399213538</v>
      </c>
      <c r="Q1075" s="133"/>
      <c r="R1075" s="171">
        <f>R1137*R$1070</f>
        <v>9.330763221968672</v>
      </c>
      <c r="S1075" s="171">
        <f t="shared" si="1007"/>
        <v>9.1024468948463593</v>
      </c>
      <c r="T1075" s="171">
        <f t="shared" si="1007"/>
        <v>8.6773540626509895</v>
      </c>
      <c r="U1075" s="171">
        <f t="shared" si="1007"/>
        <v>9.4274584523910807</v>
      </c>
      <c r="V1075" s="171">
        <f t="shared" si="1007"/>
        <v>20.689860272190469</v>
      </c>
      <c r="W1075" s="171"/>
      <c r="X1075" s="206"/>
      <c r="Z1075" s="169">
        <f>AA1075*AB1075</f>
        <v>0</v>
      </c>
      <c r="AA1075" s="90">
        <v>0</v>
      </c>
      <c r="AB1075" s="90">
        <v>96.1</v>
      </c>
      <c r="AC1075" s="186" t="s">
        <v>61</v>
      </c>
      <c r="AH1075" s="186"/>
    </row>
    <row r="1076" spans="1:34" ht="15.5">
      <c r="A1076" s="10" t="s">
        <v>20</v>
      </c>
      <c r="K1076" s="147">
        <f>K1138*$K$1070</f>
        <v>7142.3194324206606</v>
      </c>
      <c r="P1076" s="68">
        <f>SUM(J1076:N1076)</f>
        <v>7142.3194324206606</v>
      </c>
      <c r="Q1076" s="133"/>
      <c r="R1076" s="171"/>
      <c r="S1076" s="171">
        <f t="shared" si="1007"/>
        <v>7.9153659759810617</v>
      </c>
      <c r="T1076" s="171"/>
      <c r="U1076" s="171"/>
      <c r="V1076" s="171"/>
      <c r="W1076" s="171"/>
      <c r="X1076" s="206"/>
      <c r="AA1076" s="190" t="s">
        <v>186</v>
      </c>
      <c r="AB1076" s="90"/>
      <c r="AH1076" s="193"/>
    </row>
    <row r="1077" spans="1:34" ht="15.5">
      <c r="A1077" s="10" t="s">
        <v>22</v>
      </c>
      <c r="P1077" s="68"/>
      <c r="Q1077" s="133"/>
      <c r="R1077" s="171"/>
      <c r="S1077" s="171"/>
      <c r="T1077" s="171"/>
      <c r="U1077" s="171"/>
      <c r="V1077" s="171"/>
      <c r="W1077" s="171"/>
      <c r="X1077" s="206"/>
      <c r="AA1077" s="90">
        <v>20917.789242380815</v>
      </c>
      <c r="AB1077" s="90">
        <v>55.59851755531944</v>
      </c>
      <c r="AC1077" s="186" t="s">
        <v>62</v>
      </c>
      <c r="AH1077" s="186"/>
    </row>
    <row r="1078" spans="1:34" ht="15.5">
      <c r="A1078" s="11" t="s">
        <v>23</v>
      </c>
      <c r="J1078" s="179">
        <f t="shared" ref="J1078:P1078" si="1008">SUM(J1079:J1083)</f>
        <v>529.70000000000005</v>
      </c>
      <c r="K1078" s="179">
        <f t="shared" si="1008"/>
        <v>41066.337730194893</v>
      </c>
      <c r="L1078" s="179">
        <f t="shared" si="1008"/>
        <v>2716.9</v>
      </c>
      <c r="M1078" s="179">
        <f t="shared" si="1008"/>
        <v>12803.7</v>
      </c>
      <c r="N1078" s="179">
        <f t="shared" si="1008"/>
        <v>1518.2214605014394</v>
      </c>
      <c r="O1078" s="179"/>
      <c r="P1078" s="179">
        <f t="shared" si="1008"/>
        <v>58634.859190696334</v>
      </c>
      <c r="Q1078" s="133"/>
      <c r="R1078" s="206"/>
      <c r="S1078" s="206"/>
      <c r="T1078" s="206"/>
      <c r="U1078" s="206"/>
      <c r="V1078" s="206"/>
      <c r="W1078" s="206"/>
      <c r="X1078" s="206"/>
      <c r="Z1078" s="169"/>
      <c r="AA1078" s="190" t="s">
        <v>213</v>
      </c>
      <c r="AB1078" s="90"/>
      <c r="AH1078" s="193"/>
    </row>
    <row r="1079" spans="1:34" ht="15.5">
      <c r="A1079" s="10" t="s">
        <v>24</v>
      </c>
      <c r="K1079" s="147">
        <f>K1141*$K$1070</f>
        <v>1095.6630996593492</v>
      </c>
      <c r="L1079">
        <f>L1141</f>
        <v>142.4</v>
      </c>
      <c r="M1079">
        <f>M1141</f>
        <v>122</v>
      </c>
      <c r="N1079" s="147">
        <f>N1141*$N$1070</f>
        <v>13.956782161598666</v>
      </c>
      <c r="P1079" s="68">
        <f>SUM(J1079:N1079)</f>
        <v>1374.0198818209481</v>
      </c>
      <c r="Q1079" s="133"/>
      <c r="R1079" s="171"/>
      <c r="S1079" s="171">
        <f>S1141*S$1070</f>
        <v>6.1190661704528191</v>
      </c>
      <c r="T1079" s="171">
        <f>T1141*T$1070</f>
        <v>4.161366627209607</v>
      </c>
      <c r="U1079" s="171">
        <f>U1141*U$1070</f>
        <v>7.1360036897911003</v>
      </c>
      <c r="V1079" s="171">
        <f>V1141*V$1070</f>
        <v>5.3078959333892435</v>
      </c>
      <c r="W1079" s="171"/>
      <c r="X1079" s="206"/>
      <c r="Z1079" s="169">
        <f>AA1079*AB1079</f>
        <v>14127.752746727812</v>
      </c>
      <c r="AA1079" s="90">
        <v>72.41807585745677</v>
      </c>
      <c r="AB1079" s="90">
        <v>195.08600000000001</v>
      </c>
      <c r="AC1079" s="186" t="s">
        <v>140</v>
      </c>
      <c r="AH1079" s="186"/>
    </row>
    <row r="1080" spans="1:34" ht="15.5">
      <c r="A1080" s="10" t="s">
        <v>25</v>
      </c>
      <c r="K1080" s="147">
        <f>K1142*$K$1070</f>
        <v>4572.4801065491865</v>
      </c>
      <c r="M1080">
        <f>M1142</f>
        <v>526.9</v>
      </c>
      <c r="N1080" s="147">
        <f>N1142*$N$1070</f>
        <v>10.61929077512942</v>
      </c>
      <c r="P1080" s="68">
        <f>SUM(J1080:N1080)</f>
        <v>5109.9993973243154</v>
      </c>
      <c r="Q1080" s="133"/>
      <c r="R1080" s="171"/>
      <c r="S1080" s="171">
        <f>S1142*S$1070</f>
        <v>6.1593821261878663</v>
      </c>
      <c r="T1080" s="171"/>
      <c r="U1080" s="171">
        <f t="shared" ref="U1080:V1083" si="1009">U1142*U$1070</f>
        <v>5.0639884256353156</v>
      </c>
      <c r="V1080" s="171">
        <f t="shared" si="1009"/>
        <v>6.2820041758464447</v>
      </c>
      <c r="W1080" s="171"/>
      <c r="X1080" s="206"/>
      <c r="Z1080" s="169">
        <f>AA1080*AB1080</f>
        <v>125373.91325117034</v>
      </c>
      <c r="AA1080" s="90">
        <v>463.36103945734209</v>
      </c>
      <c r="AB1080" s="90">
        <v>270.57499999999999</v>
      </c>
      <c r="AC1080" s="186" t="s">
        <v>141</v>
      </c>
      <c r="AH1080" s="186"/>
    </row>
    <row r="1081" spans="1:34" ht="15.5">
      <c r="A1081" s="10" t="s">
        <v>26</v>
      </c>
      <c r="K1081" s="147">
        <f>K1143*$K$1070</f>
        <v>28157.430525318225</v>
      </c>
      <c r="L1081">
        <f>L1143</f>
        <v>2300.3000000000002</v>
      </c>
      <c r="M1081">
        <f>M1143</f>
        <v>4739</v>
      </c>
      <c r="N1081" s="147">
        <f>N1143*$N$1070</f>
        <v>948.15096206512669</v>
      </c>
      <c r="P1081" s="68">
        <f>SUM(J1081:N1081)</f>
        <v>36144.881487383354</v>
      </c>
      <c r="Q1081" s="133"/>
      <c r="R1081" s="171"/>
      <c r="S1081" s="171">
        <f>S1143*S$1070</f>
        <v>7.7988976594131465</v>
      </c>
      <c r="T1081" s="171">
        <f>T1143*T$1070</f>
        <v>7.4759856102739555</v>
      </c>
      <c r="U1081" s="171">
        <f t="shared" si="1009"/>
        <v>7.739462310512641</v>
      </c>
      <c r="V1081" s="171">
        <f t="shared" si="1009"/>
        <v>8.0165132402217694</v>
      </c>
      <c r="W1081" s="171"/>
      <c r="X1081" s="206"/>
      <c r="Z1081" s="169">
        <f>AA1081*AB1081</f>
        <v>12659.048581255372</v>
      </c>
      <c r="AA1081" s="90">
        <v>300.61144549536635</v>
      </c>
      <c r="AB1081" s="90">
        <v>42.110999999999997</v>
      </c>
      <c r="AC1081" s="186" t="s">
        <v>142</v>
      </c>
      <c r="AH1081" s="186"/>
    </row>
    <row r="1082" spans="1:34" ht="15.5">
      <c r="A1082" s="10" t="s">
        <v>27</v>
      </c>
      <c r="J1082">
        <f>J1144</f>
        <v>529.70000000000005</v>
      </c>
      <c r="K1082" s="147">
        <f>K1144*$K$1070</f>
        <v>2977.9481289859882</v>
      </c>
      <c r="M1082">
        <f>M1144</f>
        <v>1972.1</v>
      </c>
      <c r="N1082" s="147">
        <f>N1144*$N$1070</f>
        <v>251.82889552449765</v>
      </c>
      <c r="P1082" s="68">
        <f>SUM(J1082:N1082)</f>
        <v>5731.5770245104859</v>
      </c>
      <c r="Q1082" s="133"/>
      <c r="R1082" s="171">
        <f>R1144*R$1070</f>
        <v>4.4890269796412863</v>
      </c>
      <c r="S1082" s="171">
        <f>S1144*S$1070</f>
        <v>5.070851321341574</v>
      </c>
      <c r="T1082" s="171"/>
      <c r="U1082" s="171">
        <f t="shared" si="1009"/>
        <v>4.8403289368364231</v>
      </c>
      <c r="V1082" s="171">
        <f t="shared" si="1009"/>
        <v>6.1925452556207832</v>
      </c>
      <c r="W1082" s="171"/>
      <c r="X1082" s="206"/>
      <c r="Z1082" s="169">
        <f>AA1082*AB1082</f>
        <v>0</v>
      </c>
      <c r="AA1082" s="90">
        <v>0</v>
      </c>
      <c r="AB1082" s="90">
        <v>56.1</v>
      </c>
      <c r="AC1082" s="187" t="s">
        <v>196</v>
      </c>
      <c r="AH1082" s="193"/>
    </row>
    <row r="1083" spans="1:34" ht="15.5">
      <c r="A1083" s="10" t="s">
        <v>28</v>
      </c>
      <c r="K1083" s="147">
        <f>K1145*$K$1070</f>
        <v>4262.8158696821429</v>
      </c>
      <c r="L1083">
        <f>L1145</f>
        <v>274.2</v>
      </c>
      <c r="M1083">
        <f>M1145</f>
        <v>5443.7</v>
      </c>
      <c r="N1083" s="147">
        <f>N1145*$N$1070</f>
        <v>293.66552997508688</v>
      </c>
      <c r="P1083" s="68">
        <f>SUM(J1083:N1083)</f>
        <v>10274.38139965723</v>
      </c>
      <c r="Q1083" s="133"/>
      <c r="R1083" s="171"/>
      <c r="S1083" s="171">
        <f>S1145*S$1070</f>
        <v>9.6355134206764355</v>
      </c>
      <c r="T1083" s="171">
        <f>T1145*T$1070</f>
        <v>10.598819870519078</v>
      </c>
      <c r="U1083" s="171">
        <f t="shared" si="1009"/>
        <v>9.4021385102629047</v>
      </c>
      <c r="V1083" s="171">
        <f t="shared" si="1009"/>
        <v>10.715190667029221</v>
      </c>
      <c r="W1083" s="171"/>
      <c r="X1083" s="206"/>
      <c r="AA1083" s="190" t="s">
        <v>214</v>
      </c>
      <c r="AB1083" s="90"/>
      <c r="AH1083" s="186"/>
    </row>
    <row r="1084" spans="1:34" ht="15.5">
      <c r="Q1084" s="2"/>
      <c r="R1084" s="206"/>
      <c r="S1084" s="206"/>
      <c r="T1084" s="206"/>
      <c r="U1084" s="206"/>
      <c r="V1084" s="206"/>
      <c r="W1084" s="206"/>
      <c r="X1084" s="206"/>
      <c r="Z1084" s="169">
        <f t="shared" ref="Z1084:Z1092" si="1010">AA1084*AB1084</f>
        <v>0</v>
      </c>
      <c r="AA1084" s="90">
        <v>0</v>
      </c>
      <c r="AB1084" s="90">
        <v>71.5</v>
      </c>
      <c r="AC1084" s="186" t="s">
        <v>65</v>
      </c>
      <c r="AH1084" s="186"/>
    </row>
    <row r="1085" spans="1:34" ht="15.5">
      <c r="A1085" s="11" t="s">
        <v>9</v>
      </c>
      <c r="J1085" s="179">
        <f t="shared" ref="J1085:P1085" si="1011">J1072+J1078</f>
        <v>26272</v>
      </c>
      <c r="K1085" s="219">
        <f t="shared" si="1011"/>
        <v>101359.99999999994</v>
      </c>
      <c r="L1085" s="179">
        <f t="shared" si="1011"/>
        <v>4251.8</v>
      </c>
      <c r="M1085" s="179">
        <f t="shared" si="1011"/>
        <v>85877.9</v>
      </c>
      <c r="N1085" s="219">
        <f t="shared" si="1011"/>
        <v>1907.9999999999991</v>
      </c>
      <c r="O1085" s="179"/>
      <c r="P1085" s="179">
        <f t="shared" si="1011"/>
        <v>219669.69999999992</v>
      </c>
      <c r="Q1085" s="2"/>
      <c r="R1085" s="206"/>
      <c r="S1085" s="206"/>
      <c r="T1085" s="206"/>
      <c r="U1085" s="206"/>
      <c r="V1085" s="206"/>
      <c r="W1085" s="206"/>
      <c r="X1085" s="206"/>
      <c r="Z1085" s="169">
        <f t="shared" si="1010"/>
        <v>0</v>
      </c>
      <c r="AA1085" s="90">
        <v>0</v>
      </c>
      <c r="AB1085" s="90">
        <v>97.7</v>
      </c>
      <c r="AC1085" s="186" t="s">
        <v>66</v>
      </c>
      <c r="AH1085" s="186"/>
    </row>
    <row r="1086" spans="1:34">
      <c r="J1086" s="221">
        <v>26272</v>
      </c>
      <c r="K1086" s="213">
        <v>101360</v>
      </c>
      <c r="L1086" s="221">
        <v>4252</v>
      </c>
      <c r="M1086" s="221">
        <v>85878</v>
      </c>
      <c r="N1086" s="213">
        <v>1908</v>
      </c>
      <c r="P1086" s="181">
        <f>SUM(J1086:N1086)</f>
        <v>219670</v>
      </c>
      <c r="Z1086" s="169">
        <f t="shared" si="1010"/>
        <v>0</v>
      </c>
      <c r="AA1086" s="90">
        <v>0</v>
      </c>
      <c r="AB1086" s="90">
        <v>63.1</v>
      </c>
      <c r="AC1086" s="186" t="s">
        <v>68</v>
      </c>
      <c r="AH1086" s="186"/>
    </row>
    <row r="1087" spans="1:34">
      <c r="E1087" s="68" t="s">
        <v>165</v>
      </c>
      <c r="K1087" s="147"/>
      <c r="N1087" s="147"/>
      <c r="Z1087" s="169">
        <f t="shared" si="1010"/>
        <v>0</v>
      </c>
      <c r="AA1087" s="90">
        <v>0</v>
      </c>
      <c r="AB1087" s="90">
        <v>57.6</v>
      </c>
      <c r="AC1087" s="186" t="s">
        <v>69</v>
      </c>
      <c r="AH1087" s="186"/>
    </row>
    <row r="1088" spans="1:34">
      <c r="J1088" s="180" t="s">
        <v>5</v>
      </c>
      <c r="K1088" s="180" t="s">
        <v>186</v>
      </c>
      <c r="L1088" s="180" t="s">
        <v>187</v>
      </c>
      <c r="M1088" s="180" t="s">
        <v>190</v>
      </c>
      <c r="N1088" s="180" t="s">
        <v>222</v>
      </c>
      <c r="O1088" s="180"/>
      <c r="P1088" s="180" t="s">
        <v>189</v>
      </c>
      <c r="R1088" s="68" t="s">
        <v>210</v>
      </c>
      <c r="Z1088" s="169">
        <f t="shared" si="1010"/>
        <v>0</v>
      </c>
      <c r="AA1088" s="90">
        <v>0</v>
      </c>
      <c r="AB1088" s="90">
        <v>74.099999999999994</v>
      </c>
      <c r="AC1088" s="186" t="s">
        <v>70</v>
      </c>
      <c r="AH1088" s="186"/>
    </row>
    <row r="1089" spans="1:36">
      <c r="A1089" s="11" t="s">
        <v>16</v>
      </c>
      <c r="J1089" s="179">
        <f>SUM(J1090:J1094)</f>
        <v>240195.30608888413</v>
      </c>
      <c r="K1089" s="179">
        <f>SUM(K1090:K1094)</f>
        <v>565145.8737260889</v>
      </c>
      <c r="L1089" s="179">
        <f>SUM(L1090:L1094)</f>
        <v>14322.191804475846</v>
      </c>
      <c r="M1089" s="179">
        <f>SUM(M1090:M1094)</f>
        <v>692487.71376866475</v>
      </c>
      <c r="N1089" s="179">
        <f>SUM(N1090:N1094)</f>
        <v>5873.1800699190599</v>
      </c>
      <c r="O1089" s="179"/>
      <c r="P1089" s="182">
        <f>SUM(J1089:O1089)</f>
        <v>1518024.2654580327</v>
      </c>
      <c r="Q1089" s="168"/>
      <c r="R1089" s="179">
        <f>SUM(R1090:R1094)</f>
        <v>22.164625288962036</v>
      </c>
      <c r="S1089" s="179">
        <f>SUM(S1090:S1094)</f>
        <v>31.421272781676294</v>
      </c>
      <c r="T1089" s="179">
        <f>SUM(T1090:T1094)</f>
        <v>2.6055709394876456</v>
      </c>
      <c r="U1089" s="179">
        <f>SUM(U1090:U1094)</f>
        <v>53.439939923900418</v>
      </c>
      <c r="V1089" s="179">
        <f>SUM(V1090:V1094)</f>
        <v>0.16206861043504439</v>
      </c>
      <c r="W1089" s="179"/>
      <c r="X1089" s="190">
        <f t="shared" ref="X1089:X1100" si="1012">SUM(R1089:W1089)</f>
        <v>109.79347754446144</v>
      </c>
      <c r="Z1089" s="169">
        <f t="shared" si="1010"/>
        <v>0</v>
      </c>
      <c r="AA1089" s="90">
        <v>0</v>
      </c>
      <c r="AB1089" s="90">
        <v>74.099999999999994</v>
      </c>
      <c r="AC1089" s="186" t="s">
        <v>71</v>
      </c>
      <c r="AH1089" s="211"/>
      <c r="AI1089" s="212"/>
      <c r="AJ1089" s="212"/>
    </row>
    <row r="1090" spans="1:36">
      <c r="A1090" s="10" t="s">
        <v>17</v>
      </c>
      <c r="J1090" s="167">
        <f t="shared" ref="J1090:N1094" si="1013">IFERROR(J1073*R1073,"")</f>
        <v>0</v>
      </c>
      <c r="K1090" s="167">
        <f t="shared" si="1013"/>
        <v>3380.4104620361063</v>
      </c>
      <c r="L1090" s="167">
        <f t="shared" si="1013"/>
        <v>0</v>
      </c>
      <c r="M1090" s="167">
        <f t="shared" si="1013"/>
        <v>2666.4220055665019</v>
      </c>
      <c r="N1090" s="167">
        <f t="shared" si="1013"/>
        <v>2392.3255207242696</v>
      </c>
      <c r="O1090" s="167"/>
      <c r="P1090" s="182">
        <f>SUM(J1090:N1090)</f>
        <v>8439.1579883268769</v>
      </c>
      <c r="Q1090" s="168"/>
      <c r="R1090" s="181">
        <f>J1090*J1104/1000000</f>
        <v>0</v>
      </c>
      <c r="S1090" s="181">
        <f>K1090*K1104/1000000</f>
        <v>0.18794581041769995</v>
      </c>
      <c r="T1090" s="181">
        <f>L1090*L1104/1000000</f>
        <v>0</v>
      </c>
      <c r="U1090" s="181">
        <f>M1090*M1104/1000000</f>
        <v>0.20577033925087349</v>
      </c>
      <c r="V1090" s="181">
        <f>N1090*N1104/1000000</f>
        <v>6.6015492158649186E-2</v>
      </c>
      <c r="W1090" s="181"/>
      <c r="X1090" s="190">
        <f t="shared" si="1012"/>
        <v>0.45973164182722259</v>
      </c>
      <c r="Z1090" s="169">
        <f t="shared" si="1010"/>
        <v>1383305.3581810081</v>
      </c>
      <c r="AA1090" s="90">
        <v>18144.406229100983</v>
      </c>
      <c r="AB1090" s="90">
        <v>76.238667758793227</v>
      </c>
      <c r="AC1090" s="203" t="s">
        <v>72</v>
      </c>
      <c r="AH1090" s="211"/>
      <c r="AI1090" s="212"/>
      <c r="AJ1090" s="212"/>
    </row>
    <row r="1091" spans="1:36">
      <c r="A1091" s="10" t="s">
        <v>18</v>
      </c>
      <c r="J1091" s="167">
        <f t="shared" si="1013"/>
        <v>0</v>
      </c>
      <c r="K1091" s="167">
        <f t="shared" si="1013"/>
        <v>130022.60774278444</v>
      </c>
      <c r="L1091" s="167">
        <f t="shared" si="1013"/>
        <v>1604.6616902545561</v>
      </c>
      <c r="M1091" s="167">
        <f t="shared" si="1013"/>
        <v>13638.719757038485</v>
      </c>
      <c r="N1091" s="167">
        <f t="shared" si="1013"/>
        <v>97.992754633310312</v>
      </c>
      <c r="O1091" s="167"/>
      <c r="P1091" s="182">
        <f>SUM(J1091:N1091)</f>
        <v>145363.9819447108</v>
      </c>
      <c r="Q1091" s="168"/>
      <c r="R1091" s="181">
        <f>J1091*J1104/1000000</f>
        <v>0</v>
      </c>
      <c r="S1091" s="181">
        <f>K1091*K1104/1000000</f>
        <v>7.2290642391756137</v>
      </c>
      <c r="T1091" s="181">
        <f>L1091*L1104/1000000</f>
        <v>0.29192877214015306</v>
      </c>
      <c r="U1091" s="181">
        <f>M1091*M1104/1000000</f>
        <v>1.0525130626339656</v>
      </c>
      <c r="V1091" s="181">
        <f>N1091*N1104/1000000</f>
        <v>2.70408013836731E-3</v>
      </c>
      <c r="W1091" s="181"/>
      <c r="X1091" s="190">
        <f t="shared" si="1012"/>
        <v>8.5762101540880984</v>
      </c>
      <c r="Z1091" s="169">
        <f t="shared" si="1010"/>
        <v>0</v>
      </c>
      <c r="AA1091" s="90">
        <v>0</v>
      </c>
      <c r="AB1091" s="90">
        <v>77</v>
      </c>
      <c r="AC1091" s="186" t="s">
        <v>73</v>
      </c>
      <c r="AH1091" s="211"/>
      <c r="AI1091" s="212"/>
      <c r="AJ1091" s="212"/>
    </row>
    <row r="1092" spans="1:36">
      <c r="A1092" s="10" t="s">
        <v>19</v>
      </c>
      <c r="J1092" s="167">
        <f t="shared" si="1013"/>
        <v>240195.30608888413</v>
      </c>
      <c r="K1092" s="167">
        <f t="shared" si="1013"/>
        <v>375208.78329629748</v>
      </c>
      <c r="L1092" s="167">
        <f t="shared" si="1013"/>
        <v>12717.53011422129</v>
      </c>
      <c r="M1092" s="167">
        <f t="shared" si="1013"/>
        <v>676182.57200605981</v>
      </c>
      <c r="N1092" s="167">
        <f t="shared" si="1013"/>
        <v>3382.8617945614801</v>
      </c>
      <c r="O1092" s="167"/>
      <c r="P1092" s="182">
        <f>SUM(J1092:N1092)</f>
        <v>1307687.0533000242</v>
      </c>
      <c r="Q1092" s="168"/>
      <c r="R1092" s="181">
        <f>J1092*J1104/1000000</f>
        <v>22.164625288962036</v>
      </c>
      <c r="S1092" s="181">
        <f>K1092*K1104/1000000</f>
        <v>20.861052125009241</v>
      </c>
      <c r="T1092" s="181">
        <f>L1092*L1104/1000000</f>
        <v>2.3136421673474925</v>
      </c>
      <c r="U1092" s="181">
        <f>M1092*M1104/1000000</f>
        <v>52.181656522015579</v>
      </c>
      <c r="V1092" s="181">
        <f>N1092*N1104/1000000</f>
        <v>9.3349038138027904E-2</v>
      </c>
      <c r="W1092" s="181"/>
      <c r="X1092" s="190">
        <f t="shared" si="1012"/>
        <v>97.614325141472392</v>
      </c>
      <c r="Z1092" s="169">
        <f t="shared" si="1010"/>
        <v>0</v>
      </c>
      <c r="AA1092" s="90">
        <v>0</v>
      </c>
      <c r="AB1092" s="90">
        <v>73.3</v>
      </c>
      <c r="AC1092" s="186" t="s">
        <v>74</v>
      </c>
      <c r="AH1092" s="211"/>
      <c r="AI1092" s="212"/>
      <c r="AJ1092" s="212"/>
    </row>
    <row r="1093" spans="1:36">
      <c r="A1093" s="10" t="s">
        <v>20</v>
      </c>
      <c r="J1093" s="167">
        <f t="shared" si="1013"/>
        <v>0</v>
      </c>
      <c r="K1093" s="167">
        <f t="shared" si="1013"/>
        <v>56534.072224970863</v>
      </c>
      <c r="L1093" s="167">
        <f t="shared" si="1013"/>
        <v>0</v>
      </c>
      <c r="M1093" s="167">
        <f t="shared" si="1013"/>
        <v>0</v>
      </c>
      <c r="N1093" s="167">
        <f t="shared" si="1013"/>
        <v>0</v>
      </c>
      <c r="O1093" s="167"/>
      <c r="P1093" s="182">
        <f>SUM(J1093:N1093)</f>
        <v>56534.072224970863</v>
      </c>
      <c r="Q1093" s="168"/>
      <c r="R1093" s="181">
        <f>J1093*J1104/1000000</f>
        <v>0</v>
      </c>
      <c r="S1093" s="181">
        <f>K1093*K1104/1000000</f>
        <v>3.1432106070737396</v>
      </c>
      <c r="T1093" s="181">
        <f>L1093*L1104/1000000</f>
        <v>0</v>
      </c>
      <c r="U1093" s="181">
        <f>M1093*M1104/1000000</f>
        <v>0</v>
      </c>
      <c r="V1093" s="181">
        <f>N1093*N1104/1000000</f>
        <v>0</v>
      </c>
      <c r="W1093" s="181"/>
      <c r="X1093" s="190">
        <f t="shared" si="1012"/>
        <v>3.1432106070737396</v>
      </c>
      <c r="Z1093" s="169"/>
      <c r="AA1093" s="190" t="s">
        <v>215</v>
      </c>
      <c r="AB1093" s="90"/>
      <c r="AH1093" s="211"/>
      <c r="AI1093" s="212"/>
      <c r="AJ1093" s="212"/>
    </row>
    <row r="1094" spans="1:36">
      <c r="A1094" s="10" t="s">
        <v>22</v>
      </c>
      <c r="J1094" s="167">
        <f t="shared" si="1013"/>
        <v>0</v>
      </c>
      <c r="K1094" s="167">
        <f t="shared" si="1013"/>
        <v>0</v>
      </c>
      <c r="L1094" s="167">
        <f t="shared" si="1013"/>
        <v>0</v>
      </c>
      <c r="M1094" s="167">
        <f t="shared" si="1013"/>
        <v>0</v>
      </c>
      <c r="N1094" s="167">
        <f t="shared" si="1013"/>
        <v>0</v>
      </c>
      <c r="O1094" s="167"/>
      <c r="P1094" s="182"/>
      <c r="Q1094" s="168"/>
      <c r="R1094" s="181">
        <f>J1094*J1104/1000000</f>
        <v>0</v>
      </c>
      <c r="S1094" s="181">
        <f>K1094*K1104/1000000</f>
        <v>0</v>
      </c>
      <c r="T1094" s="181">
        <f>L1094*L1104/1000000</f>
        <v>0</v>
      </c>
      <c r="U1094" s="181">
        <f>M1094*M1104/1000000</f>
        <v>0</v>
      </c>
      <c r="V1094" s="181">
        <f>N1094*N1104/1000000</f>
        <v>0</v>
      </c>
      <c r="W1094" s="181"/>
      <c r="X1094" s="190">
        <f t="shared" si="1012"/>
        <v>0</v>
      </c>
      <c r="Z1094" s="169">
        <f t="shared" ref="Z1094:Z1110" si="1014">AA1094*AB1094</f>
        <v>0</v>
      </c>
      <c r="AA1094" s="202">
        <v>0</v>
      </c>
      <c r="AB1094" s="90">
        <v>0</v>
      </c>
      <c r="AC1094" s="187" t="s">
        <v>218</v>
      </c>
      <c r="AH1094" s="211"/>
      <c r="AI1094" s="212"/>
      <c r="AJ1094" s="212"/>
    </row>
    <row r="1095" spans="1:36">
      <c r="A1095" s="11" t="s">
        <v>23</v>
      </c>
      <c r="J1095" s="179">
        <f>SUM(J1096:J1100)</f>
        <v>2377.8375911159897</v>
      </c>
      <c r="K1095" s="179">
        <f>SUM(K1096:K1100)</f>
        <v>310640.15799391025</v>
      </c>
      <c r="L1095" s="179">
        <f>SUM(L1096:L1100)</f>
        <v>20695.784715524162</v>
      </c>
      <c r="M1095" s="179">
        <f>SUM(M1096:M1100)</f>
        <v>100944.15394579445</v>
      </c>
      <c r="N1095" s="179">
        <f>SUM(N1096:N1100)</f>
        <v>12447.800295622428</v>
      </c>
      <c r="O1095" s="179"/>
      <c r="P1095" s="182">
        <f>SUM(J1095:O1095)</f>
        <v>447105.73454196728</v>
      </c>
      <c r="Q1095" s="168"/>
      <c r="R1095" s="179">
        <f>SUM(R1096:R1100)</f>
        <v>0.21942093733335072</v>
      </c>
      <c r="S1095" s="179">
        <f>SUM(S1096:S1100)</f>
        <v>17.271132277611624</v>
      </c>
      <c r="T1095" s="179">
        <f>SUM(T1096:T1100)</f>
        <v>3.7650895869031986</v>
      </c>
      <c r="U1095" s="179">
        <f>SUM(U1096:U1100)</f>
        <v>7.7899570133518665</v>
      </c>
      <c r="V1095" s="179">
        <f>SUM(V1096:V1100)</f>
        <v>0.34349324775806922</v>
      </c>
      <c r="W1095" s="179"/>
      <c r="X1095" s="190">
        <f t="shared" si="1012"/>
        <v>29.389093062958107</v>
      </c>
      <c r="Z1095" s="169">
        <f t="shared" si="1014"/>
        <v>0</v>
      </c>
      <c r="AA1095" s="202">
        <v>0</v>
      </c>
      <c r="AB1095" s="90">
        <v>0</v>
      </c>
      <c r="AC1095" s="187" t="s">
        <v>195</v>
      </c>
      <c r="AH1095" s="211"/>
      <c r="AI1095" s="212"/>
      <c r="AJ1095" s="212"/>
    </row>
    <row r="1096" spans="1:36">
      <c r="A1096" s="10" t="s">
        <v>24</v>
      </c>
      <c r="J1096" s="167">
        <f t="shared" ref="J1096:N1100" si="1015">IFERROR(J1079*R1079,"")</f>
        <v>0</v>
      </c>
      <c r="K1096" s="167">
        <f t="shared" si="1015"/>
        <v>6704.4350073389996</v>
      </c>
      <c r="L1096" s="167">
        <f t="shared" si="1015"/>
        <v>592.57860771464811</v>
      </c>
      <c r="M1096" s="167">
        <f t="shared" si="1015"/>
        <v>870.59245015451427</v>
      </c>
      <c r="N1096" s="167">
        <f t="shared" si="1015"/>
        <v>74.081147278749086</v>
      </c>
      <c r="O1096" s="167"/>
      <c r="P1096" s="182">
        <f>SUM(J1096:N1096)</f>
        <v>8241.6872124869114</v>
      </c>
      <c r="Q1096" s="168"/>
      <c r="R1096" s="181">
        <f>J1096*J1104/1000000</f>
        <v>0</v>
      </c>
      <c r="S1096" s="181">
        <f>K1096*K1104/1000000</f>
        <v>0.37275664745403558</v>
      </c>
      <c r="T1096" s="181">
        <f>L1096*L1104/1000000</f>
        <v>0.10780511954467874</v>
      </c>
      <c r="U1096" s="181">
        <f>M1096*M1104/1000000</f>
        <v>6.7184452964894975E-2</v>
      </c>
      <c r="V1096" s="181">
        <f>N1096*N1104/1000000</f>
        <v>2.0442466357184579E-3</v>
      </c>
      <c r="W1096" s="181"/>
      <c r="X1096" s="190">
        <f t="shared" si="1012"/>
        <v>0.54979046659932773</v>
      </c>
      <c r="Z1096" s="169">
        <f t="shared" si="1014"/>
        <v>0</v>
      </c>
      <c r="AA1096" s="202">
        <v>0</v>
      </c>
      <c r="AB1096" s="90">
        <v>0</v>
      </c>
      <c r="AC1096" s="187" t="s">
        <v>198</v>
      </c>
      <c r="AH1096" s="211"/>
      <c r="AI1096" s="212"/>
      <c r="AJ1096" s="212"/>
    </row>
    <row r="1097" spans="1:36">
      <c r="A1097" s="10" t="s">
        <v>25</v>
      </c>
      <c r="J1097" s="167">
        <f t="shared" si="1015"/>
        <v>0</v>
      </c>
      <c r="K1097" s="167">
        <f t="shared" si="1015"/>
        <v>28163.652240628649</v>
      </c>
      <c r="L1097" s="167">
        <f t="shared" si="1015"/>
        <v>0</v>
      </c>
      <c r="M1097" s="167">
        <f t="shared" si="1015"/>
        <v>2668.2155014672476</v>
      </c>
      <c r="N1097" s="167">
        <f t="shared" si="1015"/>
        <v>66.710428993890645</v>
      </c>
      <c r="O1097" s="167"/>
      <c r="P1097" s="182">
        <f>SUM(J1097:N1097)</f>
        <v>30898.578171089786</v>
      </c>
      <c r="Q1097" s="168"/>
      <c r="R1097" s="181">
        <f>J1097*J1104/1000000</f>
        <v>0</v>
      </c>
      <c r="S1097" s="181">
        <f>K1097*K1104/1000000</f>
        <v>1.5658573135225038</v>
      </c>
      <c r="T1097" s="181">
        <f>L1097*L1104/1000000</f>
        <v>0</v>
      </c>
      <c r="U1097" s="181">
        <f>M1097*M1104/1000000</f>
        <v>0.20590874504679441</v>
      </c>
      <c r="V1097" s="181">
        <f>N1097*N1104/1000000</f>
        <v>1.8408539155712539E-3</v>
      </c>
      <c r="W1097" s="181"/>
      <c r="X1097" s="190">
        <f t="shared" si="1012"/>
        <v>1.7736069124848695</v>
      </c>
      <c r="Z1097" s="169">
        <f t="shared" si="1014"/>
        <v>0</v>
      </c>
      <c r="AA1097" s="202">
        <v>0</v>
      </c>
      <c r="AB1097" s="90">
        <v>0</v>
      </c>
      <c r="AC1097" s="187" t="s">
        <v>199</v>
      </c>
      <c r="AH1097" s="186"/>
    </row>
    <row r="1098" spans="1:36">
      <c r="A1098" s="10" t="s">
        <v>26</v>
      </c>
      <c r="J1098" s="167">
        <f t="shared" si="1015"/>
        <v>0</v>
      </c>
      <c r="K1098" s="167">
        <f t="shared" si="1015"/>
        <v>219596.91901899257</v>
      </c>
      <c r="L1098" s="167">
        <f t="shared" si="1015"/>
        <v>17197.009699313181</v>
      </c>
      <c r="M1098" s="167">
        <f t="shared" si="1015"/>
        <v>36677.311889519406</v>
      </c>
      <c r="N1098" s="167">
        <f t="shared" si="1015"/>
        <v>7600.8647411240963</v>
      </c>
      <c r="O1098" s="167"/>
      <c r="P1098" s="182">
        <f>SUM(J1098:N1098)</f>
        <v>281072.10534894926</v>
      </c>
      <c r="Q1098" s="168"/>
      <c r="R1098" s="181">
        <f>J1098*J1104/1000000</f>
        <v>0</v>
      </c>
      <c r="S1098" s="181">
        <f>K1098*K1104/1000000</f>
        <v>12.20926315717152</v>
      </c>
      <c r="T1098" s="181">
        <f>L1098*L1104/1000000</f>
        <v>3.1285734285875564</v>
      </c>
      <c r="U1098" s="181">
        <f>M1098*M1104/1000000</f>
        <v>2.8304232767960009</v>
      </c>
      <c r="V1098" s="181">
        <f>N1098*N1104/1000000</f>
        <v>0.20974354132405862</v>
      </c>
      <c r="W1098" s="181"/>
      <c r="X1098" s="190">
        <f t="shared" si="1012"/>
        <v>18.378003403879134</v>
      </c>
      <c r="Z1098" s="169">
        <f t="shared" si="1014"/>
        <v>79145.849085976733</v>
      </c>
      <c r="AA1098" s="90">
        <v>806.39151619375173</v>
      </c>
      <c r="AB1098" s="90">
        <v>98.148166860128967</v>
      </c>
      <c r="AC1098" s="187" t="s">
        <v>212</v>
      </c>
      <c r="AH1098" s="193"/>
    </row>
    <row r="1099" spans="1:36">
      <c r="A1099" s="10" t="s">
        <v>27</v>
      </c>
      <c r="J1099" s="167">
        <f t="shared" si="1015"/>
        <v>2377.8375911159897</v>
      </c>
      <c r="K1099" s="167">
        <f t="shared" si="1015"/>
        <v>15100.732204755266</v>
      </c>
      <c r="L1099" s="167">
        <f t="shared" si="1015"/>
        <v>0</v>
      </c>
      <c r="M1099" s="167">
        <f t="shared" si="1015"/>
        <v>9545.6126963351089</v>
      </c>
      <c r="N1099" s="167">
        <f t="shared" si="1015"/>
        <v>1559.4618322084498</v>
      </c>
      <c r="O1099" s="167"/>
      <c r="P1099" s="182">
        <f>SUM(J1099:N1099)</f>
        <v>28583.644324414814</v>
      </c>
      <c r="Q1099" s="168"/>
      <c r="R1099" s="181">
        <f>J1099*J1104/1000000</f>
        <v>0.21942093733335072</v>
      </c>
      <c r="S1099" s="181">
        <f>K1099*K1104/1000000</f>
        <v>0.83957832458426329</v>
      </c>
      <c r="T1099" s="181">
        <f>L1099*L1104/1000000</f>
        <v>0</v>
      </c>
      <c r="U1099" s="181">
        <f>M1099*M1104/1000000</f>
        <v>0.73664407163674384</v>
      </c>
      <c r="V1099" s="181">
        <f>N1099*N1104/1000000</f>
        <v>4.3032873020015357E-2</v>
      </c>
      <c r="W1099" s="181"/>
      <c r="X1099" s="190">
        <f t="shared" si="1012"/>
        <v>1.8386762065743734</v>
      </c>
      <c r="Z1099" s="169">
        <f t="shared" si="1014"/>
        <v>0</v>
      </c>
      <c r="AA1099" s="202">
        <v>0</v>
      </c>
      <c r="AB1099" s="90">
        <v>0</v>
      </c>
      <c r="AC1099" s="186" t="s">
        <v>200</v>
      </c>
      <c r="AH1099" s="209"/>
    </row>
    <row r="1100" spans="1:36">
      <c r="A1100" s="10" t="s">
        <v>28</v>
      </c>
      <c r="J1100" s="167">
        <f t="shared" si="1015"/>
        <v>0</v>
      </c>
      <c r="K1100" s="167">
        <f t="shared" si="1015"/>
        <v>41074.419522194781</v>
      </c>
      <c r="L1100" s="167">
        <f t="shared" si="1015"/>
        <v>2906.1964084963311</v>
      </c>
      <c r="M1100" s="167">
        <f t="shared" si="1015"/>
        <v>51182.421408318172</v>
      </c>
      <c r="N1100" s="167">
        <f t="shared" si="1015"/>
        <v>3146.6821460172409</v>
      </c>
      <c r="O1100" s="167"/>
      <c r="P1100" s="182">
        <f>SUM(J1100:N1100)</f>
        <v>98309.719485026522</v>
      </c>
      <c r="Q1100" s="168"/>
      <c r="R1100" s="181">
        <f>J1100*J1104/1000000</f>
        <v>0</v>
      </c>
      <c r="S1100" s="181">
        <f>K1100*K1104/1000000</f>
        <v>2.283676834879302</v>
      </c>
      <c r="T1100" s="181">
        <f>L1100*L1104/1000000</f>
        <v>0.5287110387709637</v>
      </c>
      <c r="U1100" s="181">
        <f>M1100*M1104/1000000</f>
        <v>3.9497964669074328</v>
      </c>
      <c r="V1100" s="181">
        <f>N1100*N1104/1000000</f>
        <v>8.6831732862705485E-2</v>
      </c>
      <c r="W1100" s="181"/>
      <c r="X1100" s="190">
        <f t="shared" si="1012"/>
        <v>6.8490160734204046</v>
      </c>
      <c r="Z1100" s="169">
        <f t="shared" si="1014"/>
        <v>0</v>
      </c>
      <c r="AA1100" s="202">
        <v>0</v>
      </c>
      <c r="AB1100" s="90">
        <v>0</v>
      </c>
      <c r="AC1100" s="186" t="s">
        <v>201</v>
      </c>
      <c r="AH1100" s="209"/>
    </row>
    <row r="1101" spans="1:36">
      <c r="A1101" s="11" t="s">
        <v>9</v>
      </c>
      <c r="J1101" s="182">
        <f>J1089+J1095</f>
        <v>242573.14368000012</v>
      </c>
      <c r="K1101" s="182">
        <f>K1089+K1095</f>
        <v>875786.03171999916</v>
      </c>
      <c r="L1101" s="182">
        <f>L1089+L1095</f>
        <v>35017.976520000011</v>
      </c>
      <c r="M1101" s="182">
        <f>M1089+M1095</f>
        <v>793431.86771445919</v>
      </c>
      <c r="N1101" s="182">
        <f>N1089+N1095</f>
        <v>18320.980365541487</v>
      </c>
      <c r="O1101" s="182"/>
      <c r="P1101" s="182">
        <f>P1089+P1095</f>
        <v>1965130</v>
      </c>
      <c r="R1101" s="199">
        <f>R1089+R1095</f>
        <v>22.384046226295386</v>
      </c>
      <c r="S1101" s="199">
        <f>S1089+S1095</f>
        <v>48.692405059287921</v>
      </c>
      <c r="T1101" s="199">
        <f>T1089+T1095</f>
        <v>6.3706605263908447</v>
      </c>
      <c r="U1101" s="199">
        <f>U1089+U1095</f>
        <v>61.229896937252285</v>
      </c>
      <c r="V1101" s="199">
        <f>V1089+V1095</f>
        <v>0.50556185819311361</v>
      </c>
      <c r="W1101" s="199"/>
      <c r="X1101" s="224">
        <f>X1089+X1095</f>
        <v>139.18257060741954</v>
      </c>
      <c r="Z1101" s="169">
        <f t="shared" si="1014"/>
        <v>0</v>
      </c>
      <c r="AA1101" s="202">
        <v>0</v>
      </c>
      <c r="AB1101" s="90">
        <v>0</v>
      </c>
      <c r="AC1101" s="186" t="s">
        <v>134</v>
      </c>
      <c r="AH1101" s="209"/>
    </row>
    <row r="1102" spans="1:36">
      <c r="E1102" t="s">
        <v>176</v>
      </c>
      <c r="J1102" s="214">
        <f>J1101/41.868</f>
        <v>5793.7600000000029</v>
      </c>
      <c r="K1102" s="214">
        <f>K1101/41.868</f>
        <v>20917.789999999979</v>
      </c>
      <c r="L1102" s="214">
        <f>L1101/41.868</f>
        <v>836.39000000000021</v>
      </c>
      <c r="M1102" s="214">
        <f>M1101/41.868</f>
        <v>18950.794585708874</v>
      </c>
      <c r="N1102" s="214">
        <f>N1101/41.868</f>
        <v>437.58909825025046</v>
      </c>
      <c r="O1102" s="168"/>
      <c r="P1102" s="215">
        <f>P1101/41.868</f>
        <v>46936.323683959105</v>
      </c>
      <c r="R1102" s="197">
        <f>'6'!L6</f>
        <v>22.221790453194615</v>
      </c>
      <c r="S1102" s="197">
        <f>'6'!L7</f>
        <v>39.24669821843699</v>
      </c>
      <c r="T1102" s="197">
        <f>'6'!L8</f>
        <v>6.223137174151427</v>
      </c>
      <c r="U1102" s="197">
        <f>'6'!L9</f>
        <v>54.580999366243958</v>
      </c>
      <c r="V1102" s="197">
        <f>'6'!L10</f>
        <v>0.40263418792938993</v>
      </c>
      <c r="W1102" s="197"/>
      <c r="X1102" s="198">
        <f>'6'!L11</f>
        <v>122.67525939995639</v>
      </c>
      <c r="Z1102" s="169">
        <f t="shared" si="1014"/>
        <v>0</v>
      </c>
      <c r="AA1102" s="202">
        <v>0</v>
      </c>
      <c r="AB1102" s="90">
        <v>0</v>
      </c>
      <c r="AC1102" s="186" t="s">
        <v>128</v>
      </c>
      <c r="AH1102" s="186"/>
    </row>
    <row r="1103" spans="1:36">
      <c r="J1103" s="183" t="s">
        <v>193</v>
      </c>
      <c r="R1103" s="168">
        <f>R1101-R1102</f>
        <v>0.16225577310077099</v>
      </c>
      <c r="S1103" s="168">
        <f>S1101-S1102</f>
        <v>9.4457068408509315</v>
      </c>
      <c r="T1103" s="168">
        <f>T1101-T1102</f>
        <v>0.1475233522394177</v>
      </c>
      <c r="U1103" s="223">
        <f>U1101-U1102</f>
        <v>6.6488975710083267</v>
      </c>
      <c r="V1103" s="223">
        <f>V1101-V1102</f>
        <v>0.10292767026372368</v>
      </c>
      <c r="X1103" s="172">
        <f>X1101-X1102</f>
        <v>16.507311207463147</v>
      </c>
      <c r="Z1103" s="169">
        <f t="shared" si="1014"/>
        <v>0</v>
      </c>
      <c r="AA1103" s="202">
        <v>0</v>
      </c>
      <c r="AB1103" s="90">
        <v>0</v>
      </c>
      <c r="AC1103" s="186" t="s">
        <v>131</v>
      </c>
      <c r="AH1103" s="186"/>
    </row>
    <row r="1104" spans="1:36">
      <c r="J1104" s="168">
        <f>SUM(Z1072:Z1075)/SUM(AA1072:AA1075)</f>
        <v>92.277512204006314</v>
      </c>
      <c r="K1104" s="185">
        <f>AB1077</f>
        <v>55.59851755531944</v>
      </c>
      <c r="L1104" s="147">
        <f>SUM(Z1079:Z1082)/SUM(AA1079:AA1082)</f>
        <v>181.92543257753155</v>
      </c>
      <c r="M1104" s="168">
        <f>SUM(Z1084:Z1098)/SUM(AA1084:AA1098)</f>
        <v>77.170957493337966</v>
      </c>
      <c r="N1104" s="168">
        <f>SUM(Z1099:Z1122)/SUM(AA1099:AA1122)</f>
        <v>27.594694612739485</v>
      </c>
      <c r="O1104" s="168"/>
      <c r="Z1104" s="169">
        <f t="shared" si="1014"/>
        <v>0</v>
      </c>
      <c r="AA1104" s="202">
        <v>0</v>
      </c>
      <c r="AB1104" s="90">
        <v>0</v>
      </c>
      <c r="AC1104" s="186" t="s">
        <v>129</v>
      </c>
      <c r="AH1104" s="193"/>
    </row>
    <row r="1105" spans="10:34">
      <c r="J1105" s="177"/>
      <c r="K1105" s="177"/>
      <c r="L1105" s="177"/>
      <c r="M1105" s="177"/>
      <c r="N1105" s="177"/>
      <c r="R1105" s="177"/>
      <c r="S1105" s="172"/>
      <c r="T1105" s="172"/>
      <c r="U1105" s="172"/>
      <c r="V1105" s="172"/>
      <c r="W1105" s="172"/>
      <c r="X1105" s="172"/>
      <c r="Z1105" s="169">
        <f t="shared" si="1014"/>
        <v>0</v>
      </c>
      <c r="AA1105" s="90">
        <v>105.68930925766695</v>
      </c>
      <c r="AB1105" s="90">
        <v>0</v>
      </c>
      <c r="AC1105" s="186" t="s">
        <v>207</v>
      </c>
      <c r="AH1105" s="186"/>
    </row>
    <row r="1106" spans="10:34">
      <c r="J1106" s="218">
        <f>SUM(AA1072:AA1075)</f>
        <v>5793.7565682621571</v>
      </c>
      <c r="K1106" s="218">
        <f>AA1077</f>
        <v>20917.789242380815</v>
      </c>
      <c r="L1106" s="218">
        <f>SUM(AA1079:AA1082)</f>
        <v>836.3905608101652</v>
      </c>
      <c r="M1106" s="218">
        <f>SUM(AA1084:AA1092)</f>
        <v>18144.406229100983</v>
      </c>
      <c r="N1106" s="218">
        <f>SUM(AA1094:AA1122)</f>
        <v>1243.9810834049872</v>
      </c>
      <c r="P1106" s="216">
        <f>SUM(J1106:N1106)</f>
        <v>46936.323683959112</v>
      </c>
      <c r="R1106" s="177"/>
      <c r="U1106" s="222"/>
      <c r="Z1106" s="169">
        <f t="shared" si="1014"/>
        <v>0</v>
      </c>
      <c r="AA1106" s="202">
        <v>0</v>
      </c>
      <c r="AB1106" s="90">
        <v>0</v>
      </c>
      <c r="AC1106" s="189" t="s">
        <v>130</v>
      </c>
      <c r="AH1106" s="186"/>
    </row>
    <row r="1107" spans="10:34">
      <c r="J1107" s="168">
        <f>J1102-J1106</f>
        <v>3.4317378458581516E-3</v>
      </c>
      <c r="K1107" s="168">
        <f>K1102-K1106</f>
        <v>7.5761916377814487E-4</v>
      </c>
      <c r="L1107" s="168">
        <f>L1102-L1106</f>
        <v>-5.6081016498410463E-4</v>
      </c>
      <c r="M1107" s="168">
        <f>M1102-M1106</f>
        <v>806.38835660789118</v>
      </c>
      <c r="N1107" s="168">
        <f>N1102-N1106</f>
        <v>-806.39198515473674</v>
      </c>
      <c r="P1107" s="168">
        <f>P1102-P1106</f>
        <v>0</v>
      </c>
      <c r="R1107" s="177"/>
      <c r="Z1107" s="169">
        <f t="shared" si="1014"/>
        <v>0</v>
      </c>
      <c r="AA1107" s="202">
        <v>0</v>
      </c>
      <c r="AB1107" s="90">
        <v>0</v>
      </c>
      <c r="AC1107" s="186" t="s">
        <v>132</v>
      </c>
      <c r="AH1107" s="186"/>
    </row>
    <row r="1108" spans="10:34">
      <c r="Z1108" s="169">
        <f t="shared" si="1014"/>
        <v>4207.8914684245728</v>
      </c>
      <c r="AA1108" s="90">
        <v>29.4258144645075</v>
      </c>
      <c r="AB1108" s="90">
        <v>143</v>
      </c>
      <c r="AC1108" s="186" t="s">
        <v>133</v>
      </c>
      <c r="AH1108" s="186"/>
    </row>
    <row r="1109" spans="10:34">
      <c r="Z1109" s="169">
        <f t="shared" si="1014"/>
        <v>7867.2590044903027</v>
      </c>
      <c r="AA1109" s="90">
        <v>171.58689213719308</v>
      </c>
      <c r="AB1109" s="90">
        <v>45.85</v>
      </c>
      <c r="AC1109" s="186" t="s">
        <v>208</v>
      </c>
      <c r="AH1109" s="186"/>
    </row>
    <row r="1110" spans="10:34">
      <c r="R1110" s="191" t="s">
        <v>223</v>
      </c>
      <c r="S1110" s="165"/>
      <c r="T1110" s="165"/>
      <c r="U1110" s="165"/>
      <c r="V1110" s="165"/>
      <c r="W1110" s="165"/>
      <c r="X1110" s="165"/>
      <c r="Z1110" s="169">
        <f t="shared" si="1014"/>
        <v>0</v>
      </c>
      <c r="AA1110" s="90">
        <v>0</v>
      </c>
      <c r="AB1110" s="90">
        <v>45.85</v>
      </c>
      <c r="AC1110" s="186" t="s">
        <v>209</v>
      </c>
      <c r="AH1110" s="186"/>
    </row>
    <row r="1111" spans="10:34">
      <c r="R1111" s="191" t="s">
        <v>5</v>
      </c>
      <c r="S1111" s="191" t="s">
        <v>186</v>
      </c>
      <c r="T1111" s="191" t="s">
        <v>187</v>
      </c>
      <c r="U1111" s="191" t="s">
        <v>190</v>
      </c>
      <c r="V1111" s="191" t="s">
        <v>222</v>
      </c>
      <c r="W1111" s="191"/>
      <c r="X1111" s="191" t="s">
        <v>189</v>
      </c>
      <c r="AA1111" s="190">
        <v>0</v>
      </c>
      <c r="AB1111" s="90"/>
      <c r="AH1111" s="186"/>
    </row>
    <row r="1112" spans="10:34">
      <c r="P1112" s="193" t="s">
        <v>16</v>
      </c>
      <c r="R1112" s="192">
        <f t="shared" ref="R1112:R1123" si="1016">IFERROR(R1089/J1072*1000000,0)</f>
        <v>861.01961708790736</v>
      </c>
      <c r="S1112" s="192">
        <f t="shared" ref="S1112:S1123" si="1017">IFERROR(S1089/K1072*1000000,0)</f>
        <v>521.13724061197058</v>
      </c>
      <c r="T1112" s="192">
        <f t="shared" ref="T1112:T1123" si="1018">IFERROR(T1089/L1072*1000000,0)</f>
        <v>1697.550941095606</v>
      </c>
      <c r="U1112" s="192">
        <f t="shared" ref="U1112:U1123" si="1019">IFERROR(U1089/M1072*1000000,0)</f>
        <v>731.3106393761467</v>
      </c>
      <c r="V1112" s="192">
        <f t="shared" ref="V1112:V1123" si="1020">IFERROR(V1089/N1072*1000000,0)</f>
        <v>415.79664863935699</v>
      </c>
      <c r="W1112" s="192"/>
      <c r="X1112" s="192">
        <f t="shared" ref="X1112:X1123" si="1021">IFERROR(X1089/P1072*1000000,0)</f>
        <v>681.7995223436036</v>
      </c>
      <c r="Z1112" s="169">
        <f>AA1112*AB1112</f>
        <v>0</v>
      </c>
      <c r="AA1112" s="202">
        <v>0</v>
      </c>
      <c r="AB1112" s="90">
        <v>0</v>
      </c>
      <c r="AC1112" s="187" t="s">
        <v>197</v>
      </c>
      <c r="AH1112" s="186"/>
    </row>
    <row r="1113" spans="10:34">
      <c r="P1113" s="186" t="s">
        <v>17</v>
      </c>
      <c r="R1113" s="200">
        <f t="shared" si="1016"/>
        <v>0</v>
      </c>
      <c r="S1113" s="200">
        <f t="shared" si="1017"/>
        <v>632.60319184934781</v>
      </c>
      <c r="T1113" s="200">
        <f t="shared" si="1018"/>
        <v>0</v>
      </c>
      <c r="U1113" s="200">
        <f t="shared" si="1019"/>
        <v>797.8687058971442</v>
      </c>
      <c r="V1113" s="200">
        <f t="shared" si="1020"/>
        <v>300.89388529575194</v>
      </c>
      <c r="W1113" s="200"/>
      <c r="X1113" s="192">
        <f t="shared" si="1021"/>
        <v>593.66404771180669</v>
      </c>
      <c r="Z1113" s="169">
        <f>AA1113*AB1113</f>
        <v>0</v>
      </c>
      <c r="AA1113" s="90">
        <v>130.88755135186776</v>
      </c>
      <c r="AB1113" s="90">
        <v>0</v>
      </c>
      <c r="AC1113" s="186" t="s">
        <v>202</v>
      </c>
      <c r="AH1113" s="186"/>
    </row>
    <row r="1114" spans="10:34">
      <c r="P1114" s="186" t="s">
        <v>18</v>
      </c>
      <c r="R1114" s="200">
        <f t="shared" si="1016"/>
        <v>0</v>
      </c>
      <c r="S1114" s="200">
        <f t="shared" si="1017"/>
        <v>621.39565498587501</v>
      </c>
      <c r="T1114" s="200">
        <f t="shared" si="1018"/>
        <v>4212.5363945188037</v>
      </c>
      <c r="U1114" s="200">
        <f t="shared" si="1019"/>
        <v>964.28132169854848</v>
      </c>
      <c r="V1114" s="200">
        <f t="shared" si="1020"/>
        <v>393.19178174244337</v>
      </c>
      <c r="W1114" s="200"/>
      <c r="X1114" s="192">
        <f t="shared" si="1021"/>
        <v>669.94992516966681</v>
      </c>
      <c r="Z1114" s="169">
        <f t="shared" ref="Z1114:Z1122" si="1022">AA1114*AB1114</f>
        <v>0</v>
      </c>
      <c r="AA1114" s="90">
        <v>0</v>
      </c>
      <c r="AB1114" s="90">
        <v>0</v>
      </c>
      <c r="AC1114" s="186" t="s">
        <v>203</v>
      </c>
      <c r="AH1114" s="186"/>
    </row>
    <row r="1115" spans="10:34">
      <c r="P1115" s="186" t="s">
        <v>19</v>
      </c>
      <c r="R1115" s="200">
        <f t="shared" si="1016"/>
        <v>861.01961708790736</v>
      </c>
      <c r="S1115" s="200">
        <f t="shared" si="1017"/>
        <v>506.08255347947812</v>
      </c>
      <c r="T1115" s="200">
        <f t="shared" si="1018"/>
        <v>1578.6313914761822</v>
      </c>
      <c r="U1115" s="200">
        <f t="shared" si="1019"/>
        <v>727.52599549968181</v>
      </c>
      <c r="V1115" s="200">
        <f t="shared" si="1020"/>
        <v>570.93037579134705</v>
      </c>
      <c r="W1115" s="200"/>
      <c r="X1115" s="192">
        <f t="shared" si="1021"/>
        <v>695.67070786053671</v>
      </c>
      <c r="Z1115" s="169">
        <f t="shared" si="1022"/>
        <v>0</v>
      </c>
      <c r="AA1115" s="90">
        <v>0</v>
      </c>
      <c r="AB1115" s="90">
        <v>0</v>
      </c>
      <c r="AC1115" s="186" t="s">
        <v>136</v>
      </c>
      <c r="AH1115" s="186"/>
    </row>
    <row r="1116" spans="10:34">
      <c r="P1116" s="186" t="s">
        <v>20</v>
      </c>
      <c r="R1116" s="200">
        <f t="shared" si="1016"/>
        <v>0</v>
      </c>
      <c r="S1116" s="200">
        <f t="shared" si="1017"/>
        <v>440.08261417236122</v>
      </c>
      <c r="T1116" s="200">
        <f t="shared" si="1018"/>
        <v>0</v>
      </c>
      <c r="U1116" s="200">
        <f t="shared" si="1019"/>
        <v>0</v>
      </c>
      <c r="V1116" s="200">
        <f t="shared" si="1020"/>
        <v>0</v>
      </c>
      <c r="W1116" s="200"/>
      <c r="X1116" s="192">
        <f t="shared" si="1021"/>
        <v>440.08261417236122</v>
      </c>
      <c r="Z1116" s="169">
        <f t="shared" si="1022"/>
        <v>0</v>
      </c>
      <c r="AA1116" s="90">
        <v>0</v>
      </c>
      <c r="AB1116" s="90">
        <v>0</v>
      </c>
      <c r="AC1116" s="186" t="s">
        <v>137</v>
      </c>
      <c r="AH1116" s="186"/>
    </row>
    <row r="1117" spans="10:34">
      <c r="P1117" s="186" t="s">
        <v>22</v>
      </c>
      <c r="R1117" s="200">
        <f t="shared" si="1016"/>
        <v>0</v>
      </c>
      <c r="S1117" s="200">
        <f t="shared" si="1017"/>
        <v>0</v>
      </c>
      <c r="T1117" s="200">
        <f t="shared" si="1018"/>
        <v>0</v>
      </c>
      <c r="U1117" s="200">
        <f t="shared" si="1019"/>
        <v>0</v>
      </c>
      <c r="V1117" s="200">
        <f t="shared" si="1020"/>
        <v>0</v>
      </c>
      <c r="W1117" s="200"/>
      <c r="X1117" s="192">
        <f t="shared" si="1021"/>
        <v>0</v>
      </c>
      <c r="Z1117" s="169">
        <f t="shared" si="1022"/>
        <v>0</v>
      </c>
      <c r="AA1117" s="90">
        <v>0</v>
      </c>
      <c r="AB1117" s="90">
        <v>0</v>
      </c>
      <c r="AC1117" s="188" t="s">
        <v>139</v>
      </c>
      <c r="AH1117" s="186"/>
    </row>
    <row r="1118" spans="10:34">
      <c r="P1118" s="193" t="s">
        <v>23</v>
      </c>
      <c r="R1118" s="192">
        <f t="shared" si="1016"/>
        <v>414.23624189796243</v>
      </c>
      <c r="S1118" s="192">
        <f t="shared" si="1017"/>
        <v>420.56665464260908</v>
      </c>
      <c r="T1118" s="192">
        <f t="shared" si="1018"/>
        <v>1385.8035212570203</v>
      </c>
      <c r="U1118" s="192">
        <f t="shared" si="1019"/>
        <v>608.41452184539355</v>
      </c>
      <c r="V1118" s="192">
        <f t="shared" si="1020"/>
        <v>226.24712974655228</v>
      </c>
      <c r="W1118" s="192"/>
      <c r="X1118" s="192">
        <f t="shared" si="1021"/>
        <v>501.22219902288623</v>
      </c>
      <c r="Z1118" s="169">
        <f t="shared" si="1022"/>
        <v>0</v>
      </c>
      <c r="AA1118" s="90">
        <v>0</v>
      </c>
      <c r="AB1118" s="90">
        <v>0</v>
      </c>
      <c r="AC1118" s="186" t="s">
        <v>204</v>
      </c>
      <c r="AH1118" s="186"/>
    </row>
    <row r="1119" spans="10:34">
      <c r="P1119" s="186" t="s">
        <v>24</v>
      </c>
      <c r="R1119" s="200">
        <f t="shared" si="1016"/>
        <v>0</v>
      </c>
      <c r="S1119" s="200">
        <f t="shared" si="1017"/>
        <v>340.21100790008239</v>
      </c>
      <c r="T1119" s="200">
        <f t="shared" si="1018"/>
        <v>757.05842376881128</v>
      </c>
      <c r="U1119" s="200">
        <f t="shared" si="1019"/>
        <v>550.6922374171719</v>
      </c>
      <c r="V1119" s="200">
        <f t="shared" si="1020"/>
        <v>146.46976731807797</v>
      </c>
      <c r="W1119" s="200"/>
      <c r="X1119" s="192">
        <f t="shared" si="1021"/>
        <v>400.13283204512777</v>
      </c>
      <c r="Z1119" s="169">
        <f t="shared" si="1022"/>
        <v>0</v>
      </c>
      <c r="AA1119" s="90">
        <v>0</v>
      </c>
      <c r="AB1119" s="90">
        <v>0</v>
      </c>
      <c r="AC1119" s="186" t="s">
        <v>138</v>
      </c>
      <c r="AH1119" s="186"/>
    </row>
    <row r="1120" spans="10:34">
      <c r="P1120" s="186" t="s">
        <v>25</v>
      </c>
      <c r="R1120" s="200">
        <f t="shared" si="1016"/>
        <v>0</v>
      </c>
      <c r="S1120" s="200">
        <f t="shared" si="1017"/>
        <v>342.45251527277691</v>
      </c>
      <c r="T1120" s="200">
        <f t="shared" si="1018"/>
        <v>0</v>
      </c>
      <c r="U1120" s="200">
        <f t="shared" si="1019"/>
        <v>390.79283554145837</v>
      </c>
      <c r="V1120" s="200">
        <f t="shared" si="1020"/>
        <v>173.34998678843681</v>
      </c>
      <c r="W1120" s="200"/>
      <c r="X1120" s="192">
        <f t="shared" si="1021"/>
        <v>347.08554240017344</v>
      </c>
      <c r="Z1120" s="169">
        <f t="shared" si="1022"/>
        <v>0</v>
      </c>
      <c r="AA1120" s="90">
        <v>0</v>
      </c>
      <c r="AB1120" s="90">
        <v>0</v>
      </c>
      <c r="AC1120" s="186" t="s">
        <v>205</v>
      </c>
      <c r="AH1120" s="186"/>
    </row>
    <row r="1121" spans="1:34">
      <c r="P1121" s="186" t="s">
        <v>26</v>
      </c>
      <c r="R1121" s="200">
        <f t="shared" si="1016"/>
        <v>0</v>
      </c>
      <c r="S1121" s="200">
        <f t="shared" si="1017"/>
        <v>433.60714842902149</v>
      </c>
      <c r="T1121" s="200">
        <f t="shared" si="1018"/>
        <v>1360.0719160924905</v>
      </c>
      <c r="U1121" s="200">
        <f t="shared" si="1019"/>
        <v>597.26171698586211</v>
      </c>
      <c r="V1121" s="200">
        <f t="shared" si="1020"/>
        <v>221.2132347229024</v>
      </c>
      <c r="W1121" s="200"/>
      <c r="X1121" s="192">
        <f t="shared" si="1021"/>
        <v>508.45382935600753</v>
      </c>
      <c r="Z1121" s="169">
        <f t="shared" si="1022"/>
        <v>0</v>
      </c>
      <c r="AA1121" s="90">
        <v>0</v>
      </c>
      <c r="AB1121" s="90">
        <v>0</v>
      </c>
      <c r="AC1121" s="186" t="s">
        <v>206</v>
      </c>
      <c r="AH1121" s="189"/>
    </row>
    <row r="1122" spans="1:34">
      <c r="P1122" s="186" t="s">
        <v>27</v>
      </c>
      <c r="R1122" s="200">
        <f t="shared" si="1016"/>
        <v>414.23624189796243</v>
      </c>
      <c r="S1122" s="200">
        <f t="shared" si="1017"/>
        <v>281.93181621002429</v>
      </c>
      <c r="T1122" s="200">
        <f t="shared" si="1018"/>
        <v>0</v>
      </c>
      <c r="U1122" s="200">
        <f t="shared" si="1019"/>
        <v>373.53281863837731</v>
      </c>
      <c r="V1122" s="200">
        <f t="shared" si="1020"/>
        <v>170.88139520442428</v>
      </c>
      <c r="W1122" s="200"/>
      <c r="X1122" s="192">
        <f t="shared" si="1021"/>
        <v>320.79760922892046</v>
      </c>
      <c r="Z1122" s="169">
        <f t="shared" si="1022"/>
        <v>0</v>
      </c>
      <c r="AA1122" s="90">
        <v>0</v>
      </c>
      <c r="AB1122" s="90">
        <v>0</v>
      </c>
      <c r="AC1122" s="186" t="s">
        <v>219</v>
      </c>
      <c r="AH1122" s="186"/>
    </row>
    <row r="1123" spans="1:34">
      <c r="P1123" s="186" t="s">
        <v>28</v>
      </c>
      <c r="R1123" s="200">
        <f t="shared" si="1016"/>
        <v>0</v>
      </c>
      <c r="S1123" s="200">
        <f t="shared" si="1017"/>
        <v>535.72026207399483</v>
      </c>
      <c r="T1123" s="200">
        <f t="shared" si="1018"/>
        <v>1928.1948897555205</v>
      </c>
      <c r="U1123" s="200">
        <f t="shared" si="1019"/>
        <v>725.57203132197458</v>
      </c>
      <c r="V1123" s="200">
        <f t="shared" si="1020"/>
        <v>295.68241417394768</v>
      </c>
      <c r="W1123" s="200"/>
      <c r="X1123" s="192">
        <f t="shared" si="1021"/>
        <v>666.61104031517641</v>
      </c>
      <c r="AH1123" s="186"/>
    </row>
    <row r="1124" spans="1:34">
      <c r="AH1124" s="186"/>
    </row>
    <row r="1125" spans="1:34">
      <c r="P1125" s="193" t="s">
        <v>9</v>
      </c>
      <c r="R1125" s="194">
        <f>R1101/J1085*1000000</f>
        <v>852.01150374145038</v>
      </c>
      <c r="S1125" s="194">
        <f>S1101/K1085*1000000</f>
        <v>480.39073657545333</v>
      </c>
      <c r="T1125" s="194">
        <f>T1101/L1085*1000000</f>
        <v>1498.3443544830059</v>
      </c>
      <c r="U1125" s="194">
        <f>U1101/M1085*1000000</f>
        <v>712.98782267908609</v>
      </c>
      <c r="V1125" s="194">
        <f>V1101/N1085*1000000</f>
        <v>264.96952735488151</v>
      </c>
      <c r="W1125" s="194"/>
      <c r="X1125" s="195">
        <f>X1101/P1085*1000000</f>
        <v>633.59931118137638</v>
      </c>
      <c r="AH1125" s="186"/>
    </row>
    <row r="1126" spans="1:34">
      <c r="R1126" s="204">
        <f>'7'!L6</f>
        <v>845.83550750588518</v>
      </c>
      <c r="S1126" s="204">
        <f>'7'!L7</f>
        <v>387.20104793248805</v>
      </c>
      <c r="T1126" s="204">
        <f>'7'!L8</f>
        <v>1463.5788274109657</v>
      </c>
      <c r="U1126" s="204">
        <f>'7'!L9</f>
        <v>635.56439793944844</v>
      </c>
      <c r="V1126" s="204">
        <f>'7'!L10</f>
        <v>211.02420751016243</v>
      </c>
      <c r="W1126" s="204"/>
      <c r="X1126" s="195">
        <f>'7'!L12</f>
        <v>556.46192751543117</v>
      </c>
    </row>
    <row r="1127" spans="1:34">
      <c r="S1127" s="172"/>
      <c r="T1127" s="172"/>
      <c r="U1127" s="172"/>
      <c r="V1127" s="172"/>
      <c r="W1127" s="172"/>
      <c r="X1127" s="172">
        <f>X1125-X1126</f>
        <v>77.137383665945208</v>
      </c>
    </row>
    <row r="1131" spans="1:34">
      <c r="A1131" s="225" t="s">
        <v>227</v>
      </c>
    </row>
    <row r="1132" spans="1:34">
      <c r="A1132" s="68" t="s">
        <v>221</v>
      </c>
      <c r="J1132" s="68" t="s">
        <v>175</v>
      </c>
      <c r="R1132" s="68" t="s">
        <v>122</v>
      </c>
      <c r="S1132" s="68"/>
    </row>
    <row r="1133" spans="1:34" ht="15.5">
      <c r="A1133" s="68"/>
      <c r="J1133" s="180" t="s">
        <v>5</v>
      </c>
      <c r="K1133" s="180" t="s">
        <v>186</v>
      </c>
      <c r="L1133" s="180" t="s">
        <v>187</v>
      </c>
      <c r="M1133" s="180" t="s">
        <v>190</v>
      </c>
      <c r="N1133" s="180" t="s">
        <v>222</v>
      </c>
      <c r="O1133" s="180"/>
      <c r="P1133" s="180" t="s">
        <v>189</v>
      </c>
      <c r="Q1133" s="2"/>
      <c r="R1133" s="180" t="s">
        <v>5</v>
      </c>
      <c r="S1133" s="180" t="s">
        <v>186</v>
      </c>
      <c r="T1133" s="180" t="s">
        <v>187</v>
      </c>
      <c r="U1133" s="180" t="s">
        <v>190</v>
      </c>
      <c r="V1133" s="180" t="s">
        <v>222</v>
      </c>
      <c r="W1133" s="180"/>
      <c r="X1133" s="180" t="s">
        <v>189</v>
      </c>
    </row>
    <row r="1134" spans="1:34" ht="15.5">
      <c r="A1134" s="11" t="s">
        <v>16</v>
      </c>
      <c r="J1134" s="179">
        <f>SUM(J1135:J1139)</f>
        <v>25742.3</v>
      </c>
      <c r="K1134" s="179">
        <f>SUM(K1135:K1139)</f>
        <v>58061.5</v>
      </c>
      <c r="L1134" s="179">
        <f>SUM(L1135:L1139)</f>
        <v>1534.8999999999999</v>
      </c>
      <c r="M1134" s="179">
        <f>SUM(M1135:M1139)</f>
        <v>73074.2</v>
      </c>
      <c r="N1134" s="179">
        <f>SUM(N1135:N1139)</f>
        <v>1156.1999999999998</v>
      </c>
      <c r="O1134" s="179"/>
      <c r="P1134" s="179">
        <f>SUM(P1135:P1139)</f>
        <v>159569.09999999998</v>
      </c>
      <c r="Q1134" s="133"/>
      <c r="R1134" s="206">
        <v>9.7468703999999988</v>
      </c>
      <c r="S1134" s="206">
        <v>8.7587855999999995</v>
      </c>
      <c r="T1134" s="206">
        <v>10.7977572</v>
      </c>
      <c r="U1134" s="206">
        <v>9.4035527999999999</v>
      </c>
      <c r="V1134" s="206">
        <v>12.694377599999999</v>
      </c>
      <c r="W1134" s="206"/>
      <c r="X1134" s="206">
        <v>9.2612015999999997</v>
      </c>
    </row>
    <row r="1135" spans="1:34" ht="15.5">
      <c r="A1135" s="10" t="s">
        <v>17</v>
      </c>
      <c r="K1135">
        <v>286.10000000000002</v>
      </c>
      <c r="M1135">
        <v>257.89999999999998</v>
      </c>
      <c r="N1135">
        <v>650.79999999999995</v>
      </c>
      <c r="P1135" s="68">
        <f>SUM(J1135:N1135)</f>
        <v>1194.8</v>
      </c>
      <c r="Q1135" s="133"/>
      <c r="R1135" s="171"/>
      <c r="S1135" s="171">
        <v>10.634472000000001</v>
      </c>
      <c r="T1135" s="171"/>
      <c r="U1135" s="171">
        <v>10.25766</v>
      </c>
      <c r="V1135" s="171">
        <v>9.1858392000000002</v>
      </c>
      <c r="W1135" s="171"/>
      <c r="X1135" s="206">
        <v>9.7636175999999999</v>
      </c>
    </row>
    <row r="1136" spans="1:34" ht="15.5">
      <c r="A1136" s="10" t="s">
        <v>18</v>
      </c>
      <c r="K1136">
        <v>11202.9</v>
      </c>
      <c r="L1136">
        <v>69.3</v>
      </c>
      <c r="M1136">
        <v>1091.5</v>
      </c>
      <c r="N1136">
        <v>20.399999999999999</v>
      </c>
      <c r="P1136" s="68">
        <f>SUM(J1136:N1136)</f>
        <v>12384.099999999999</v>
      </c>
      <c r="Q1136" s="133"/>
      <c r="R1136" s="171"/>
      <c r="S1136" s="171">
        <v>10.446066</v>
      </c>
      <c r="T1136" s="171">
        <v>26.7913332</v>
      </c>
      <c r="U1136" s="171">
        <v>12.397114799999999</v>
      </c>
      <c r="V1136" s="171">
        <v>12.0035556</v>
      </c>
      <c r="W1136" s="171"/>
      <c r="X1136" s="206">
        <v>10.709834399999998</v>
      </c>
    </row>
    <row r="1137" spans="1:24" ht="15.5">
      <c r="A1137" s="10" t="s">
        <v>19</v>
      </c>
      <c r="J1137">
        <v>25742.3</v>
      </c>
      <c r="K1137">
        <f>39694.6</f>
        <v>39694.6</v>
      </c>
      <c r="L1137">
        <v>1465.6</v>
      </c>
      <c r="M1137">
        <v>71724.800000000003</v>
      </c>
      <c r="N1137">
        <v>485</v>
      </c>
      <c r="P1137" s="68">
        <f>SUM(J1137:N1137)</f>
        <v>139112.29999999999</v>
      </c>
      <c r="Q1137" s="133"/>
      <c r="R1137" s="171">
        <v>9.7468703999999988</v>
      </c>
      <c r="S1137" s="171">
        <v>8.5075775999999994</v>
      </c>
      <c r="T1137" s="171">
        <v>10.0399464</v>
      </c>
      <c r="U1137" s="171">
        <v>9.3533112000000003</v>
      </c>
      <c r="V1137" s="171">
        <v>17.429648400000001</v>
      </c>
      <c r="W1137" s="171"/>
      <c r="X1137" s="206">
        <v>9.2193335999999988</v>
      </c>
    </row>
    <row r="1138" spans="1:24" ht="15.5">
      <c r="A1138" s="10" t="s">
        <v>20</v>
      </c>
      <c r="K1138">
        <v>6877.9</v>
      </c>
      <c r="P1138" s="68">
        <f>SUM(J1138:N1138)</f>
        <v>6877.9</v>
      </c>
      <c r="Q1138" s="133"/>
      <c r="R1138" s="171"/>
      <c r="S1138" s="171">
        <v>7.3980755999999994</v>
      </c>
      <c r="T1138" s="171"/>
      <c r="U1138" s="171"/>
      <c r="V1138" s="171"/>
      <c r="W1138" s="171"/>
      <c r="X1138" s="206">
        <v>7.3980755999999994</v>
      </c>
    </row>
    <row r="1139" spans="1:24" ht="15.5">
      <c r="A1139" s="10" t="s">
        <v>22</v>
      </c>
      <c r="P1139" s="68"/>
      <c r="Q1139" s="133"/>
      <c r="R1139" s="171"/>
      <c r="S1139" s="171"/>
      <c r="T1139" s="171"/>
      <c r="U1139" s="171"/>
      <c r="V1139" s="171"/>
      <c r="W1139" s="171"/>
      <c r="X1139" s="206"/>
    </row>
    <row r="1140" spans="1:24" ht="15.5">
      <c r="A1140" s="11" t="s">
        <v>23</v>
      </c>
      <c r="J1140" s="179">
        <f>SUM(J1141:J1145)</f>
        <v>529.70000000000005</v>
      </c>
      <c r="K1140" s="179">
        <f>SUM(K1141:K1145)</f>
        <v>39546</v>
      </c>
      <c r="L1140" s="179">
        <f>SUM(L1141:L1145)</f>
        <v>2716.9</v>
      </c>
      <c r="M1140" s="179">
        <f>SUM(M1141:M1145)</f>
        <v>12803.7</v>
      </c>
      <c r="N1140" s="179">
        <f>SUM(N1141:N1145)</f>
        <v>4503.5</v>
      </c>
      <c r="O1140" s="179"/>
      <c r="P1140" s="179">
        <f>SUM(P1141:P1145)</f>
        <v>60099.8</v>
      </c>
      <c r="Q1140" s="133"/>
      <c r="R1140" s="206">
        <v>4.6892160000000001</v>
      </c>
      <c r="S1140" s="206">
        <v>7.0715051999999998</v>
      </c>
      <c r="T1140" s="206">
        <v>8.8132140000000003</v>
      </c>
      <c r="U1140" s="206">
        <v>7.8209423999999999</v>
      </c>
      <c r="V1140" s="206">
        <v>6.9082199999999991</v>
      </c>
      <c r="W1140" s="206"/>
      <c r="X1140" s="206">
        <v>7.2766583999999996</v>
      </c>
    </row>
    <row r="1141" spans="1:24" ht="15.5">
      <c r="A1141" s="10" t="s">
        <v>24</v>
      </c>
      <c r="K1141">
        <v>1055.0999999999999</v>
      </c>
      <c r="L1141">
        <v>142.4</v>
      </c>
      <c r="M1141">
        <v>122</v>
      </c>
      <c r="N1141">
        <v>41.4</v>
      </c>
      <c r="P1141" s="68">
        <f>SUM(J1141:N1141)</f>
        <v>1360.9</v>
      </c>
      <c r="Q1141" s="133"/>
      <c r="R1141" s="171"/>
      <c r="S1141" s="171">
        <v>5.7191688000000003</v>
      </c>
      <c r="T1141" s="171">
        <v>4.8148199999999992</v>
      </c>
      <c r="U1141" s="171">
        <v>7.0798788000000004</v>
      </c>
      <c r="V1141" s="171">
        <v>4.4715024000000003</v>
      </c>
      <c r="W1141" s="171"/>
      <c r="X1141" s="206">
        <v>5.7066083999999995</v>
      </c>
    </row>
    <row r="1142" spans="1:24" ht="15.5">
      <c r="A1142" s="10" t="s">
        <v>25</v>
      </c>
      <c r="K1142">
        <v>4403.2</v>
      </c>
      <c r="M1142">
        <v>526.9</v>
      </c>
      <c r="N1142">
        <v>31.5</v>
      </c>
      <c r="P1142" s="68">
        <f>SUM(J1142:N1142)</f>
        <v>4961.5999999999995</v>
      </c>
      <c r="Q1142" s="133"/>
      <c r="R1142" s="171"/>
      <c r="S1142" s="171">
        <v>5.75685</v>
      </c>
      <c r="T1142" s="171"/>
      <c r="U1142" s="171">
        <v>5.0241599999999993</v>
      </c>
      <c r="V1142" s="171">
        <v>5.2921151999999996</v>
      </c>
      <c r="W1142" s="171"/>
      <c r="X1142" s="206">
        <v>5.6773008000000003</v>
      </c>
    </row>
    <row r="1143" spans="1:24" ht="15.5">
      <c r="A1143" s="10" t="s">
        <v>26</v>
      </c>
      <c r="K1143" s="147">
        <f>27115</f>
        <v>27115</v>
      </c>
      <c r="L1143">
        <v>2300.3000000000002</v>
      </c>
      <c r="M1143">
        <v>4739</v>
      </c>
      <c r="N1143">
        <f>2812.5</f>
        <v>2812.5</v>
      </c>
      <c r="P1143" s="68">
        <f>SUM(J1143:N1143)</f>
        <v>36966.800000000003</v>
      </c>
      <c r="Q1143" s="133"/>
      <c r="R1143" s="171"/>
      <c r="S1143" s="171">
        <v>7.2892188000000004</v>
      </c>
      <c r="T1143" s="171">
        <v>8.6499287999999996</v>
      </c>
      <c r="U1143" s="171">
        <v>7.6785911999999996</v>
      </c>
      <c r="V1143" s="171">
        <v>6.7533083999999999</v>
      </c>
      <c r="W1143" s="171"/>
      <c r="X1143" s="206">
        <v>7.3813283999999992</v>
      </c>
    </row>
    <row r="1144" spans="1:24" ht="15.5">
      <c r="A1144" s="10" t="s">
        <v>27</v>
      </c>
      <c r="J1144">
        <v>529.70000000000005</v>
      </c>
      <c r="K1144">
        <f>2867.7</f>
        <v>2867.7</v>
      </c>
      <c r="M1144">
        <v>1972.1</v>
      </c>
      <c r="N1144">
        <f>747</f>
        <v>747</v>
      </c>
      <c r="P1144" s="68">
        <f>SUM(J1144:N1144)</f>
        <v>6116.5</v>
      </c>
      <c r="Q1144" s="133"/>
      <c r="R1144" s="171">
        <v>4.6892160000000001</v>
      </c>
      <c r="S1144" s="171">
        <v>4.7394575999999997</v>
      </c>
      <c r="T1144" s="171"/>
      <c r="U1144" s="171">
        <v>4.8022596000000002</v>
      </c>
      <c r="V1144" s="171">
        <v>5.2167528000000001</v>
      </c>
      <c r="W1144" s="171"/>
      <c r="X1144" s="206">
        <v>4.8148199999999992</v>
      </c>
    </row>
    <row r="1145" spans="1:24" ht="15.5">
      <c r="A1145" s="10" t="s">
        <v>28</v>
      </c>
      <c r="K1145">
        <f>4105</f>
        <v>4105</v>
      </c>
      <c r="L1145">
        <v>274.2</v>
      </c>
      <c r="M1145">
        <v>5443.7</v>
      </c>
      <c r="N1145">
        <f>871.1</f>
        <v>871.1</v>
      </c>
      <c r="P1145" s="68">
        <f>SUM(J1145:N1145)</f>
        <v>10694</v>
      </c>
      <c r="Q1145" s="133"/>
      <c r="R1145" s="171"/>
      <c r="S1145" s="171">
        <v>9.0058067999999984</v>
      </c>
      <c r="T1145" s="171">
        <v>12.263137199999999</v>
      </c>
      <c r="U1145" s="171">
        <v>9.3281904000000004</v>
      </c>
      <c r="V1145" s="171">
        <v>9.0267408000000007</v>
      </c>
      <c r="W1145" s="171"/>
      <c r="X1145" s="206">
        <v>9.2528279999999992</v>
      </c>
    </row>
    <row r="1146" spans="1:24" ht="15.5">
      <c r="Q1146" s="2"/>
      <c r="R1146" s="206"/>
      <c r="S1146" s="206"/>
      <c r="T1146" s="206"/>
      <c r="U1146" s="206"/>
      <c r="V1146" s="206"/>
      <c r="W1146" s="206"/>
      <c r="X1146" s="206"/>
    </row>
    <row r="1147" spans="1:24" ht="15.5">
      <c r="A1147" s="11" t="s">
        <v>9</v>
      </c>
      <c r="J1147" s="179">
        <f>J1134+J1140</f>
        <v>26272</v>
      </c>
      <c r="K1147" s="179">
        <f>K1134+K1140</f>
        <v>97607.5</v>
      </c>
      <c r="L1147" s="179">
        <f>L1134+L1140</f>
        <v>4251.8</v>
      </c>
      <c r="M1147" s="179">
        <f>M1134+M1140</f>
        <v>85877.9</v>
      </c>
      <c r="N1147" s="179">
        <f>N1134+N1140</f>
        <v>5659.7</v>
      </c>
      <c r="O1147" s="179"/>
      <c r="P1147" s="179">
        <f>P1134+P1140</f>
        <v>219668.89999999997</v>
      </c>
      <c r="Q1147" s="2"/>
      <c r="R1147" s="206">
        <v>9.6422004000000001</v>
      </c>
      <c r="S1147" s="206">
        <v>8.0763371999999993</v>
      </c>
      <c r="T1147" s="206">
        <v>9.5291567999999991</v>
      </c>
      <c r="U1147" s="206">
        <v>9.1690919999999991</v>
      </c>
      <c r="V1147" s="206">
        <v>8.0888975999999992</v>
      </c>
      <c r="W1147" s="206"/>
      <c r="X1147" s="206">
        <v>8.7169175999999986</v>
      </c>
    </row>
  </sheetData>
  <mergeCells count="1">
    <mergeCell ref="A1:B1"/>
  </mergeCells>
  <hyperlinks>
    <hyperlink ref="A1" location="Indice!A1" display="Torna indietro" xr:uid="{00000000-0004-0000-1C00-000000000000}"/>
  </hyperlinks>
  <pageMargins left="0.7" right="0.7" top="0.75" bottom="0.75" header="0.3" footer="0.3"/>
  <pageSetup paperSize="9"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2">
    <tabColor rgb="FFFF0000"/>
  </sheetPr>
  <dimension ref="A1:AP79"/>
  <sheetViews>
    <sheetView showGridLines="0" zoomScaleNormal="100" workbookViewId="0">
      <pane xSplit="1" ySplit="2" topLeftCell="AJ17"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39.54296875" customWidth="1"/>
    <col min="2" max="4" width="8.984375E-2" customWidth="1"/>
    <col min="5" max="5" width="6.90625" bestFit="1" customWidth="1"/>
    <col min="6" max="9" width="8.984375E-2" customWidth="1"/>
    <col min="10" max="10" width="6.90625" bestFit="1" customWidth="1"/>
    <col min="11" max="14" width="8.984375E-2" customWidth="1"/>
    <col min="15" max="15" width="6.90625" bestFit="1" customWidth="1"/>
    <col min="16" max="19" width="8.984375E-2" customWidth="1"/>
    <col min="20" max="20" width="7.1796875" bestFit="1" customWidth="1"/>
    <col min="21" max="24" width="8.984375E-2" customWidth="1"/>
    <col min="25" max="25" width="8.81640625" bestFit="1" customWidth="1"/>
    <col min="26" max="27" width="7.81640625" bestFit="1" customWidth="1"/>
    <col min="28" max="28" width="7.81640625" customWidth="1"/>
    <col min="29" max="29" width="9.6328125" customWidth="1"/>
    <col min="30" max="35" width="7.81640625" customWidth="1"/>
    <col min="36" max="37" width="11.81640625" bestFit="1" customWidth="1"/>
    <col min="39" max="40" width="10.1796875" bestFit="1" customWidth="1"/>
    <col min="41" max="41" width="9" bestFit="1" customWidth="1"/>
    <col min="47" max="47" width="9.81640625" customWidth="1"/>
    <col min="49" max="49" width="49.1796875" bestFit="1" customWidth="1"/>
    <col min="50" max="50" width="11" bestFit="1" customWidth="1"/>
  </cols>
  <sheetData>
    <row r="1" spans="1:40" ht="15.5">
      <c r="A1" s="1114" t="s">
        <v>56</v>
      </c>
      <c r="B1" s="1114"/>
    </row>
    <row r="3" spans="1:40" ht="15.5">
      <c r="A3" s="1" t="s">
        <v>79</v>
      </c>
    </row>
    <row r="4" spans="1:40">
      <c r="A4" s="1116" t="s">
        <v>15</v>
      </c>
      <c r="B4" s="9">
        <v>1997</v>
      </c>
      <c r="C4" s="9">
        <v>1998</v>
      </c>
      <c r="D4" s="9">
        <v>1999</v>
      </c>
      <c r="E4" s="9">
        <v>2000</v>
      </c>
      <c r="F4" s="9">
        <v>2001</v>
      </c>
      <c r="G4" s="9">
        <v>2002</v>
      </c>
      <c r="H4" s="9">
        <v>2003</v>
      </c>
      <c r="I4" s="9">
        <v>2004</v>
      </c>
      <c r="J4" s="9">
        <v>2005</v>
      </c>
      <c r="K4" s="9">
        <v>2006</v>
      </c>
      <c r="L4" s="9">
        <v>2007</v>
      </c>
      <c r="M4" s="9">
        <v>2008</v>
      </c>
      <c r="N4" s="9">
        <v>2009</v>
      </c>
      <c r="O4" s="9">
        <v>2010</v>
      </c>
      <c r="P4" s="9">
        <v>2011</v>
      </c>
      <c r="Q4" s="9">
        <v>2012</v>
      </c>
      <c r="R4" s="9">
        <v>2013</v>
      </c>
      <c r="S4" s="9">
        <v>2014</v>
      </c>
      <c r="T4" s="9">
        <v>2015</v>
      </c>
      <c r="U4" s="9">
        <v>2016</v>
      </c>
      <c r="V4" s="9">
        <v>2017</v>
      </c>
      <c r="W4" s="9">
        <v>2018</v>
      </c>
      <c r="X4" s="9">
        <v>2019</v>
      </c>
      <c r="Y4" s="9">
        <v>2020</v>
      </c>
      <c r="Z4" s="9">
        <v>2021</v>
      </c>
      <c r="AA4" s="9">
        <v>2022</v>
      </c>
      <c r="AB4" s="9">
        <v>2023</v>
      </c>
      <c r="AC4" s="9">
        <v>2024</v>
      </c>
      <c r="AD4" s="9" t="s">
        <v>584</v>
      </c>
      <c r="AE4" s="9" t="s">
        <v>681</v>
      </c>
      <c r="AF4" s="9" t="s">
        <v>682</v>
      </c>
      <c r="AG4" s="9" t="s">
        <v>683</v>
      </c>
      <c r="AH4" s="9" t="s">
        <v>684</v>
      </c>
      <c r="AI4" s="9" t="s">
        <v>685</v>
      </c>
    </row>
    <row r="5" spans="1:40">
      <c r="A5" s="1116"/>
      <c r="B5" s="11" t="s">
        <v>116</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40">
      <c r="A6" s="11" t="s">
        <v>372</v>
      </c>
      <c r="B6" s="612">
        <f t="shared" ref="B6:J6" si="0">SUM(B7:B11)</f>
        <v>158.18</v>
      </c>
      <c r="C6" s="612">
        <f t="shared" si="0"/>
        <v>160.34300000000002</v>
      </c>
      <c r="D6" s="612">
        <f t="shared" si="0"/>
        <v>155.73700000000002</v>
      </c>
      <c r="E6" s="157">
        <f t="shared" si="0"/>
        <v>159.56900000000002</v>
      </c>
      <c r="F6" s="157">
        <f t="shared" si="0"/>
        <v>153.21600000000001</v>
      </c>
      <c r="G6" s="286">
        <f>SUM(G7:G11)+0.86</f>
        <v>161.01089999999999</v>
      </c>
      <c r="H6" s="157">
        <f t="shared" si="0"/>
        <v>170.00400000000002</v>
      </c>
      <c r="I6" s="157">
        <f t="shared" si="0"/>
        <v>162.04700000000003</v>
      </c>
      <c r="J6" s="157">
        <f t="shared" si="0"/>
        <v>157.53100000000001</v>
      </c>
      <c r="K6" s="157">
        <f>SUM(K7:K11)</f>
        <v>159.49340000000001</v>
      </c>
      <c r="L6" s="157">
        <f t="shared" ref="L6:U6" si="1">SUM(L7:L11)</f>
        <v>157.09270000000001</v>
      </c>
      <c r="M6" s="157">
        <f t="shared" si="1"/>
        <v>157.48740000000001</v>
      </c>
      <c r="N6" s="157">
        <f t="shared" si="1"/>
        <v>125.5963</v>
      </c>
      <c r="O6" s="157">
        <f t="shared" si="1"/>
        <v>119.00319999999999</v>
      </c>
      <c r="P6" s="157">
        <f t="shared" si="1"/>
        <v>126.1915</v>
      </c>
      <c r="Q6" s="157">
        <f t="shared" si="1"/>
        <v>115.9717</v>
      </c>
      <c r="R6" s="157">
        <f t="shared" si="1"/>
        <v>100.94168000000001</v>
      </c>
      <c r="S6" s="157">
        <f t="shared" si="1"/>
        <v>90.359399999999994</v>
      </c>
      <c r="T6" s="157">
        <f t="shared" si="1"/>
        <v>95.583899999999986</v>
      </c>
      <c r="U6" s="157">
        <f t="shared" si="1"/>
        <v>93.5672</v>
      </c>
      <c r="V6" s="157">
        <f>SUM(V7:V11)</f>
        <v>98.695400000000006</v>
      </c>
      <c r="W6" s="157">
        <f t="shared" ref="W6:AB6" si="2">SUM(W7:W12)</f>
        <v>87.206500000000005</v>
      </c>
      <c r="X6" s="157">
        <f t="shared" si="2"/>
        <v>87.823200000000014</v>
      </c>
      <c r="Y6" s="157">
        <f t="shared" si="2"/>
        <v>80.352500000000006</v>
      </c>
      <c r="Z6" s="157">
        <f t="shared" si="2"/>
        <v>87.54301000000001</v>
      </c>
      <c r="AA6" s="157">
        <f t="shared" si="2"/>
        <v>93.073499999999996</v>
      </c>
      <c r="AB6" s="157">
        <f t="shared" si="2"/>
        <v>65.669899999999998</v>
      </c>
      <c r="AC6" s="157">
        <f>SUM(AC7:AC13)</f>
        <v>60.246340000000004</v>
      </c>
      <c r="AD6" s="157">
        <f t="shared" ref="AD6:AI6" si="3">AC6/AC21*AD21</f>
        <v>63.363510326799336</v>
      </c>
      <c r="AE6" s="157">
        <f t="shared" si="3"/>
        <v>61.809314035031235</v>
      </c>
      <c r="AF6" s="157">
        <f t="shared" si="3"/>
        <v>56.02886001938262</v>
      </c>
      <c r="AG6" s="157">
        <f t="shared" si="3"/>
        <v>49.990896726676333</v>
      </c>
      <c r="AH6" s="157">
        <f t="shared" si="3"/>
        <v>44.646120733237559</v>
      </c>
      <c r="AI6" s="157">
        <f t="shared" si="3"/>
        <v>39.301344739798786</v>
      </c>
      <c r="AJ6" s="278">
        <f t="shared" ref="AJ6:AN10" si="4">P7/P$6*100</f>
        <v>2.9115273215707869</v>
      </c>
      <c r="AK6" s="278">
        <f t="shared" si="4"/>
        <v>3.4453232987013216</v>
      </c>
      <c r="AL6" s="278">
        <f t="shared" si="4"/>
        <v>5.483364255479005</v>
      </c>
      <c r="AM6" s="278">
        <f t="shared" si="4"/>
        <v>6.0977607199693677</v>
      </c>
      <c r="AN6" s="278">
        <f t="shared" si="4"/>
        <v>5.1998296784291087</v>
      </c>
    </row>
    <row r="7" spans="1:40">
      <c r="A7" s="10" t="s">
        <v>17</v>
      </c>
      <c r="B7" s="158">
        <v>0.53200000000000003</v>
      </c>
      <c r="C7" s="158">
        <v>0.76700000000000002</v>
      </c>
      <c r="D7" s="158">
        <v>1.048</v>
      </c>
      <c r="E7" s="158">
        <v>1.1950000000000001</v>
      </c>
      <c r="F7" s="158">
        <v>1.244</v>
      </c>
      <c r="G7" s="158">
        <v>1.3878999999999999</v>
      </c>
      <c r="H7" s="158">
        <v>1.444</v>
      </c>
      <c r="I7" s="158">
        <v>1.5669999999999999</v>
      </c>
      <c r="J7" s="158">
        <v>1.603</v>
      </c>
      <c r="K7" s="158">
        <v>1.7178</v>
      </c>
      <c r="L7" s="158">
        <v>1.73</v>
      </c>
      <c r="M7" s="158">
        <v>1.8859000000000001</v>
      </c>
      <c r="N7" s="158">
        <v>2.4624999999999999</v>
      </c>
      <c r="O7" s="158">
        <v>3.0470999999999999</v>
      </c>
      <c r="P7" s="158">
        <v>3.6740999999999997</v>
      </c>
      <c r="Q7" s="158">
        <v>3.9956</v>
      </c>
      <c r="R7" s="158">
        <v>5.5350000000000001</v>
      </c>
      <c r="S7" s="158">
        <v>5.5099</v>
      </c>
      <c r="T7" s="158">
        <v>4.9702000000000002</v>
      </c>
      <c r="U7" s="158">
        <v>4.9139999999999997</v>
      </c>
      <c r="V7" s="158">
        <v>4.7648999999999999</v>
      </c>
      <c r="W7" s="158">
        <v>4.7361500000000003</v>
      </c>
      <c r="X7" s="158">
        <v>4.7519</v>
      </c>
      <c r="Y7" s="158">
        <v>4.6261999999999999</v>
      </c>
      <c r="Z7" s="158">
        <v>4.1310000000000002</v>
      </c>
      <c r="AA7" s="158">
        <v>3.7233000000000001</v>
      </c>
      <c r="AB7" s="158">
        <v>3.2866</v>
      </c>
      <c r="AC7" s="158">
        <v>3.5232999999999999</v>
      </c>
      <c r="AD7" s="158"/>
      <c r="AE7" s="158"/>
      <c r="AF7" s="158"/>
      <c r="AG7" s="158"/>
      <c r="AH7" s="158"/>
      <c r="AI7" s="158"/>
      <c r="AJ7" s="278">
        <f t="shared" si="4"/>
        <v>0.20017196086899672</v>
      </c>
      <c r="AK7" s="278">
        <f t="shared" si="4"/>
        <v>0.16512649206659902</v>
      </c>
      <c r="AL7" s="278">
        <f t="shared" si="4"/>
        <v>2.3802853291128101</v>
      </c>
      <c r="AM7" s="278">
        <f t="shared" si="4"/>
        <v>2.8001513954275925</v>
      </c>
      <c r="AN7" s="278">
        <f t="shared" si="4"/>
        <v>3.7173624428381769</v>
      </c>
    </row>
    <row r="8" spans="1:40">
      <c r="A8" s="10" t="s">
        <v>18</v>
      </c>
      <c r="B8" s="159">
        <v>5.2439999999999998</v>
      </c>
      <c r="C8" s="159">
        <v>8.2170000000000005</v>
      </c>
      <c r="D8" s="159">
        <v>11.08</v>
      </c>
      <c r="E8" s="159">
        <v>12.384</v>
      </c>
      <c r="F8" s="159">
        <v>6.327</v>
      </c>
      <c r="G8" s="159">
        <v>8.6950000000000003</v>
      </c>
      <c r="H8" s="159">
        <v>9.0310000000000006</v>
      </c>
      <c r="I8" s="159">
        <v>2.363</v>
      </c>
      <c r="J8" s="159">
        <v>0.85599999999999998</v>
      </c>
      <c r="K8" s="159">
        <v>0.68829999999999991</v>
      </c>
      <c r="L8" s="159">
        <v>0.56579999999999997</v>
      </c>
      <c r="M8" s="159">
        <v>0.62220000000000009</v>
      </c>
      <c r="N8" s="159">
        <v>0.50060000000000004</v>
      </c>
      <c r="O8" s="159">
        <v>0.35680000000000001</v>
      </c>
      <c r="P8" s="159">
        <v>0.25259999999999999</v>
      </c>
      <c r="Q8" s="159">
        <v>0.1915</v>
      </c>
      <c r="R8" s="159">
        <v>2.4026999999999998</v>
      </c>
      <c r="S8" s="159">
        <v>2.5301999999999998</v>
      </c>
      <c r="T8" s="159">
        <v>3.5531999999999999</v>
      </c>
      <c r="U8" s="159">
        <v>0.42180000000000001</v>
      </c>
      <c r="V8" s="159">
        <v>0.59279999999999999</v>
      </c>
      <c r="W8" s="159">
        <v>0.29849999999999999</v>
      </c>
      <c r="X8" s="159">
        <v>1.2664</v>
      </c>
      <c r="Y8" s="159">
        <v>1.2654000000000001</v>
      </c>
      <c r="Z8" s="159">
        <v>0.6724</v>
      </c>
      <c r="AA8" s="159">
        <v>0.23269999999999999</v>
      </c>
      <c r="AB8" s="159">
        <v>0.25309999999999999</v>
      </c>
      <c r="AC8" s="159">
        <v>0.48780000000000001</v>
      </c>
      <c r="AD8" s="159"/>
      <c r="AE8" s="159"/>
      <c r="AF8" s="159"/>
      <c r="AG8" s="159"/>
      <c r="AH8" s="159"/>
      <c r="AI8" s="159"/>
      <c r="AJ8" s="278">
        <f t="shared" si="4"/>
        <v>44.313919717255125</v>
      </c>
      <c r="AK8" s="278">
        <f t="shared" si="4"/>
        <v>51.073063514633311</v>
      </c>
      <c r="AL8" s="278">
        <f t="shared" si="4"/>
        <v>53.688070180722171</v>
      </c>
      <c r="AM8" s="278">
        <f t="shared" si="4"/>
        <v>58.155211300650514</v>
      </c>
      <c r="AN8" s="278">
        <f t="shared" si="4"/>
        <v>53.360660111169352</v>
      </c>
    </row>
    <row r="9" spans="1:40">
      <c r="A9" s="10" t="s">
        <v>19</v>
      </c>
      <c r="B9" s="158">
        <v>152.404</v>
      </c>
      <c r="C9" s="158">
        <v>151.35900000000001</v>
      </c>
      <c r="D9" s="158">
        <v>143.60900000000001</v>
      </c>
      <c r="E9" s="158">
        <v>139.11199999999999</v>
      </c>
      <c r="F9" s="158">
        <v>134.916</v>
      </c>
      <c r="G9" s="158">
        <v>135.05799999999999</v>
      </c>
      <c r="H9" s="158">
        <v>131.86600000000001</v>
      </c>
      <c r="I9" s="158">
        <v>97.424000000000007</v>
      </c>
      <c r="J9" s="158">
        <v>78.251000000000005</v>
      </c>
      <c r="K9" s="158">
        <v>73.638600000000011</v>
      </c>
      <c r="L9" s="158">
        <v>64.773099999999999</v>
      </c>
      <c r="M9" s="158">
        <v>62.712699999999998</v>
      </c>
      <c r="N9" s="158">
        <v>55.952500000000001</v>
      </c>
      <c r="O9" s="158">
        <v>52.119199999999999</v>
      </c>
      <c r="P9" s="158">
        <v>55.920400000000001</v>
      </c>
      <c r="Q9" s="158">
        <v>59.2303</v>
      </c>
      <c r="R9" s="158">
        <v>54.193640000000002</v>
      </c>
      <c r="S9" s="158">
        <v>52.548699999999997</v>
      </c>
      <c r="T9" s="158">
        <v>51.004199999999997</v>
      </c>
      <c r="U9" s="158">
        <v>42.017600000000002</v>
      </c>
      <c r="V9" s="158">
        <v>38.959899999999998</v>
      </c>
      <c r="W9" s="158">
        <v>33.8551</v>
      </c>
      <c r="X9" s="158">
        <v>24.166</v>
      </c>
      <c r="Y9" s="158">
        <v>18.802399999999999</v>
      </c>
      <c r="Z9" s="158">
        <v>20.761500000000002</v>
      </c>
      <c r="AA9" s="158">
        <v>32.659599999999998</v>
      </c>
      <c r="AB9" s="158">
        <v>19.094200000000001</v>
      </c>
      <c r="AC9" s="158">
        <v>9.3209900000000001</v>
      </c>
      <c r="AD9" s="158"/>
      <c r="AE9" s="158"/>
      <c r="AF9" s="158"/>
      <c r="AG9" s="158"/>
      <c r="AH9" s="158"/>
      <c r="AI9" s="158"/>
      <c r="AJ9" s="278">
        <f t="shared" si="4"/>
        <v>52.289258785258909</v>
      </c>
      <c r="AK9" s="278">
        <f t="shared" si="4"/>
        <v>45.023225493805811</v>
      </c>
      <c r="AL9" s="278">
        <f t="shared" si="4"/>
        <v>38.391316649376151</v>
      </c>
      <c r="AM9" s="278">
        <f t="shared" si="4"/>
        <v>32.94289249375273</v>
      </c>
      <c r="AN9" s="278">
        <f t="shared" si="4"/>
        <v>37.718276822770363</v>
      </c>
    </row>
    <row r="10" spans="1:40">
      <c r="A10" s="10" t="s">
        <v>20</v>
      </c>
      <c r="B10" s="159" t="s">
        <v>21</v>
      </c>
      <c r="C10" s="159" t="s">
        <v>21</v>
      </c>
      <c r="D10" s="159" t="s">
        <v>21</v>
      </c>
      <c r="E10" s="159">
        <v>6.8780000000000001</v>
      </c>
      <c r="F10" s="159">
        <v>10.728999999999999</v>
      </c>
      <c r="G10" s="159">
        <v>15.01</v>
      </c>
      <c r="H10" s="159">
        <v>27.663</v>
      </c>
      <c r="I10" s="159">
        <v>41.588999999999999</v>
      </c>
      <c r="J10" s="159">
        <v>58.701999999999998</v>
      </c>
      <c r="K10" s="159">
        <v>65.25030000000001</v>
      </c>
      <c r="L10" s="159">
        <v>78.036500000000004</v>
      </c>
      <c r="M10" s="159">
        <v>86.795400000000001</v>
      </c>
      <c r="N10" s="159">
        <v>64.558400000000006</v>
      </c>
      <c r="O10" s="159">
        <v>62.568300000000001</v>
      </c>
      <c r="P10" s="159">
        <v>65.9846</v>
      </c>
      <c r="Q10" s="159">
        <v>52.214199999999998</v>
      </c>
      <c r="R10" s="159">
        <v>38.752839999999999</v>
      </c>
      <c r="S10" s="158">
        <v>29.766999999999999</v>
      </c>
      <c r="T10" s="158">
        <v>36.052599999999998</v>
      </c>
      <c r="U10" s="158">
        <v>46.213799999999999</v>
      </c>
      <c r="V10" s="158">
        <v>54.377800000000001</v>
      </c>
      <c r="W10" s="158">
        <v>48.316749999999999</v>
      </c>
      <c r="X10" s="158">
        <v>57.638800000000003</v>
      </c>
      <c r="Y10" s="158">
        <v>55.6584</v>
      </c>
      <c r="Z10" s="158">
        <v>61.978000000000002</v>
      </c>
      <c r="AA10" s="158">
        <v>56.457799999999999</v>
      </c>
      <c r="AB10" s="158">
        <v>43.032299999999999</v>
      </c>
      <c r="AC10" s="158">
        <v>46.904850000000003</v>
      </c>
      <c r="AD10" s="158"/>
      <c r="AE10" s="158"/>
      <c r="AF10" s="158"/>
      <c r="AG10" s="158"/>
      <c r="AH10" s="158"/>
      <c r="AI10" s="158"/>
      <c r="AJ10" s="278">
        <f t="shared" si="4"/>
        <v>0.28512221504617979</v>
      </c>
      <c r="AK10" s="278">
        <f t="shared" si="4"/>
        <v>0.29326120079295209</v>
      </c>
      <c r="AL10" s="278">
        <f t="shared" si="4"/>
        <v>5.6963585309854167E-2</v>
      </c>
      <c r="AM10" s="278">
        <f t="shared" si="4"/>
        <v>3.9840901998021237E-3</v>
      </c>
      <c r="AN10" s="278">
        <f t="shared" si="4"/>
        <v>3.8709447930038434E-3</v>
      </c>
    </row>
    <row r="11" spans="1:40">
      <c r="A11" s="10" t="s">
        <v>22</v>
      </c>
      <c r="B11" s="158" t="s">
        <v>21</v>
      </c>
      <c r="C11" s="158" t="s">
        <v>21</v>
      </c>
      <c r="D11" s="158" t="s">
        <v>21</v>
      </c>
      <c r="E11" s="158" t="s">
        <v>21</v>
      </c>
      <c r="F11" s="158" t="s">
        <v>21</v>
      </c>
      <c r="G11" s="158" t="s">
        <v>21</v>
      </c>
      <c r="H11" s="158" t="s">
        <v>21</v>
      </c>
      <c r="I11" s="158">
        <v>19.103999999999999</v>
      </c>
      <c r="J11" s="158">
        <v>18.119</v>
      </c>
      <c r="K11" s="158">
        <v>18.198400000000003</v>
      </c>
      <c r="L11" s="158">
        <v>11.987299999999999</v>
      </c>
      <c r="M11" s="158">
        <v>5.4711999999999996</v>
      </c>
      <c r="N11" s="158">
        <v>2.1223000000000001</v>
      </c>
      <c r="O11" s="158">
        <v>0.91179999999999994</v>
      </c>
      <c r="P11" s="158">
        <v>0.35980000000000001</v>
      </c>
      <c r="Q11" s="158">
        <v>0.34010000000000001</v>
      </c>
      <c r="R11" s="158">
        <v>5.7500000000000002E-2</v>
      </c>
      <c r="S11" s="158">
        <v>3.5999999999999999E-3</v>
      </c>
      <c r="T11" s="158">
        <v>3.7000000000000002E-3</v>
      </c>
      <c r="U11" s="158"/>
      <c r="V11" s="158"/>
      <c r="W11" s="158"/>
      <c r="X11" s="158"/>
      <c r="Y11" s="158"/>
      <c r="Z11" s="158"/>
      <c r="AA11" s="158"/>
      <c r="AB11" s="158"/>
      <c r="AC11" s="158"/>
      <c r="AD11" s="158"/>
      <c r="AE11" s="158"/>
      <c r="AF11" s="158"/>
      <c r="AG11" s="158"/>
      <c r="AH11" s="158"/>
      <c r="AI11" s="158"/>
      <c r="AJ11" s="278">
        <f>P14/P$6*100</f>
        <v>80.440283220343673</v>
      </c>
      <c r="AK11" s="278">
        <f>Q14/Q$6*100</f>
        <v>86.951213097678149</v>
      </c>
      <c r="AL11" s="278">
        <f>R14/R$6*100</f>
        <v>90.441173556849847</v>
      </c>
      <c r="AM11" s="278">
        <f>S14/S$6*100</f>
        <v>94.23557482674741</v>
      </c>
      <c r="AN11" s="278">
        <f>T14/T$6*100</f>
        <v>100.30402609644513</v>
      </c>
    </row>
    <row r="12" spans="1:40">
      <c r="A12" s="10" t="s">
        <v>349</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v>1E-4</v>
      </c>
      <c r="Y12" s="158">
        <v>1E-4</v>
      </c>
      <c r="Z12" s="158">
        <v>1.1E-4</v>
      </c>
      <c r="AA12" s="158">
        <v>1E-4</v>
      </c>
      <c r="AB12" s="158">
        <f>3.7/1000</f>
        <v>3.7000000000000002E-3</v>
      </c>
      <c r="AC12" s="158">
        <v>8.2000000000000007E-3</v>
      </c>
      <c r="AD12" s="158"/>
      <c r="AE12" s="158"/>
      <c r="AF12" s="158"/>
      <c r="AG12" s="158"/>
      <c r="AH12" s="158"/>
      <c r="AI12" s="158"/>
      <c r="AJ12" s="278"/>
      <c r="AK12" s="278"/>
      <c r="AL12" s="278"/>
      <c r="AM12" s="278"/>
      <c r="AN12" s="278"/>
    </row>
    <row r="13" spans="1:40">
      <c r="A13" s="10" t="s">
        <v>691</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v>1.1999999999999999E-3</v>
      </c>
      <c r="AD13" s="159"/>
      <c r="AE13" s="159"/>
      <c r="AF13" s="159"/>
      <c r="AG13" s="159"/>
      <c r="AH13" s="159"/>
      <c r="AI13" s="159"/>
      <c r="AJ13" s="278"/>
      <c r="AK13" s="278"/>
      <c r="AL13" s="278"/>
      <c r="AM13" s="278"/>
      <c r="AN13" s="278"/>
    </row>
    <row r="14" spans="1:40">
      <c r="A14" s="11" t="s">
        <v>373</v>
      </c>
      <c r="B14" s="128">
        <f t="shared" ref="B14:U14" si="5">SUM(B15:B19)</f>
        <v>42.014000000000003</v>
      </c>
      <c r="C14" s="128">
        <f t="shared" si="5"/>
        <v>46.9</v>
      </c>
      <c r="D14" s="128">
        <f t="shared" si="5"/>
        <v>52.673999999999999</v>
      </c>
      <c r="E14" s="128">
        <f t="shared" si="5"/>
        <v>60.100999999999999</v>
      </c>
      <c r="F14" s="128">
        <f t="shared" si="5"/>
        <v>65.341000000000008</v>
      </c>
      <c r="G14" s="276">
        <f>SUM(G15:G19)</f>
        <v>70.149000000000001</v>
      </c>
      <c r="H14" s="128">
        <f t="shared" si="5"/>
        <v>71.891999999999996</v>
      </c>
      <c r="I14" s="276">
        <f t="shared" si="5"/>
        <v>83.13</v>
      </c>
      <c r="J14" s="128">
        <f t="shared" si="5"/>
        <v>94.426999999999992</v>
      </c>
      <c r="K14" s="128">
        <f t="shared" si="5"/>
        <v>101.6439</v>
      </c>
      <c r="L14" s="128">
        <f t="shared" si="5"/>
        <v>107.6504</v>
      </c>
      <c r="M14" s="128">
        <f t="shared" si="5"/>
        <v>102.9247</v>
      </c>
      <c r="N14" s="128">
        <f t="shared" si="5"/>
        <v>100.43929999999999</v>
      </c>
      <c r="O14" s="128">
        <f t="shared" si="5"/>
        <v>111.468</v>
      </c>
      <c r="P14" s="128">
        <f t="shared" si="5"/>
        <v>101.50879999999999</v>
      </c>
      <c r="Q14" s="128">
        <f t="shared" si="5"/>
        <v>100.83880000000001</v>
      </c>
      <c r="R14" s="128">
        <f t="shared" si="5"/>
        <v>91.292839999999984</v>
      </c>
      <c r="S14" s="128">
        <f t="shared" si="5"/>
        <v>85.150700000000001</v>
      </c>
      <c r="T14" s="128">
        <f t="shared" si="5"/>
        <v>95.874499999999998</v>
      </c>
      <c r="U14" s="128">
        <f t="shared" si="5"/>
        <v>105.1268</v>
      </c>
      <c r="V14" s="128">
        <f>SUM(V15:V19)</f>
        <v>110.12809999999999</v>
      </c>
      <c r="W14" s="128">
        <f t="shared" ref="W14:AC14" si="6">SUM(W15:W20)</f>
        <v>104.9207</v>
      </c>
      <c r="X14" s="128">
        <f t="shared" si="6"/>
        <v>107.2608</v>
      </c>
      <c r="Y14" s="128">
        <f t="shared" si="6"/>
        <v>100.4525</v>
      </c>
      <c r="Z14" s="128">
        <f t="shared" si="6"/>
        <v>101.58919999999999</v>
      </c>
      <c r="AA14" s="128">
        <f t="shared" si="6"/>
        <v>105.4415</v>
      </c>
      <c r="AB14" s="128">
        <f t="shared" si="6"/>
        <v>96.304400000000001</v>
      </c>
      <c r="AC14" s="128">
        <f t="shared" si="6"/>
        <v>91.202940000000012</v>
      </c>
      <c r="AD14" s="157">
        <f t="shared" ref="AD14:AI14" si="7">AC14/AC21*AD21</f>
        <v>95.921817500025085</v>
      </c>
      <c r="AE14" s="157">
        <f t="shared" si="7"/>
        <v>93.56902277180842</v>
      </c>
      <c r="AF14" s="157">
        <f t="shared" si="7"/>
        <v>84.818376661821333</v>
      </c>
      <c r="AG14" s="157">
        <f t="shared" si="7"/>
        <v>75.677904329279727</v>
      </c>
      <c r="AH14" s="157">
        <f t="shared" si="7"/>
        <v>67.586802293155429</v>
      </c>
      <c r="AI14" s="157">
        <f t="shared" si="7"/>
        <v>59.495700257031139</v>
      </c>
    </row>
    <row r="15" spans="1:40">
      <c r="A15" s="10" t="s">
        <v>24</v>
      </c>
      <c r="B15" s="158">
        <v>0.98399999999999999</v>
      </c>
      <c r="C15" s="158">
        <v>1.056</v>
      </c>
      <c r="D15" s="158">
        <v>1.224</v>
      </c>
      <c r="E15" s="158">
        <v>1.361</v>
      </c>
      <c r="F15" s="158">
        <v>1.3919999999999999</v>
      </c>
      <c r="G15" s="158">
        <v>1.5720000000000001</v>
      </c>
      <c r="H15" s="158">
        <v>1.7110000000000001</v>
      </c>
      <c r="I15" s="158">
        <v>1.919</v>
      </c>
      <c r="J15" s="158">
        <v>2.2589999999999999</v>
      </c>
      <c r="K15" s="158">
        <v>2.5605000000000002</v>
      </c>
      <c r="L15" s="158">
        <v>2.7311999999999999</v>
      </c>
      <c r="M15" s="158">
        <v>3.0124</v>
      </c>
      <c r="N15" s="158">
        <v>3.8353999999999999</v>
      </c>
      <c r="O15" s="158">
        <v>5.5973000000000006</v>
      </c>
      <c r="P15" s="158">
        <v>7.0137</v>
      </c>
      <c r="Q15" s="158">
        <v>8.226799999999999</v>
      </c>
      <c r="R15" s="158">
        <v>10.6317</v>
      </c>
      <c r="S15" s="158">
        <v>12.433299999999999</v>
      </c>
      <c r="T15" s="158">
        <v>14.3512</v>
      </c>
      <c r="U15" s="158">
        <v>15.2064</v>
      </c>
      <c r="V15" s="158">
        <v>16.270800000000001</v>
      </c>
      <c r="W15" s="158">
        <v>17.142099999999999</v>
      </c>
      <c r="X15" s="158">
        <v>18.1188</v>
      </c>
      <c r="Y15" s="158">
        <v>18.452100000000002</v>
      </c>
      <c r="Z15" s="158">
        <v>19.538599999999999</v>
      </c>
      <c r="AA15" s="158">
        <v>18.660799999999998</v>
      </c>
      <c r="AB15" s="158">
        <v>18.9758</v>
      </c>
      <c r="AC15" s="158">
        <v>20.345400000000001</v>
      </c>
      <c r="AD15" s="158"/>
      <c r="AE15" s="158"/>
      <c r="AF15" s="158"/>
      <c r="AG15" s="158"/>
      <c r="AH15" s="158"/>
      <c r="AI15" s="158"/>
      <c r="AJ15" s="278">
        <f t="shared" ref="AJ15:AN19" si="8">P15/P$14*100</f>
        <v>6.9094502151537602</v>
      </c>
      <c r="AK15" s="278">
        <f t="shared" si="8"/>
        <v>8.1583676124666287</v>
      </c>
      <c r="AL15" s="278">
        <f t="shared" si="8"/>
        <v>11.645710660332181</v>
      </c>
      <c r="AM15" s="278">
        <f t="shared" si="8"/>
        <v>14.601524121351908</v>
      </c>
      <c r="AN15" s="278">
        <f t="shared" si="8"/>
        <v>14.968735169414183</v>
      </c>
    </row>
    <row r="16" spans="1:40">
      <c r="A16" s="10" t="s">
        <v>25</v>
      </c>
      <c r="B16" s="158">
        <v>3.262</v>
      </c>
      <c r="C16" s="158">
        <v>3.548</v>
      </c>
      <c r="D16" s="158">
        <v>4.4109999999999996</v>
      </c>
      <c r="E16" s="158">
        <v>4.9619999999999997</v>
      </c>
      <c r="F16" s="158">
        <v>4.9029999999999996</v>
      </c>
      <c r="G16" s="158">
        <v>4.8559999999999999</v>
      </c>
      <c r="H16" s="158">
        <v>4.8949999999999996</v>
      </c>
      <c r="I16" s="158">
        <v>5.3869999999999996</v>
      </c>
      <c r="J16" s="158">
        <v>6.077</v>
      </c>
      <c r="K16" s="158">
        <v>5.3181000000000003</v>
      </c>
      <c r="L16" s="158">
        <v>6.0095000000000001</v>
      </c>
      <c r="M16" s="158">
        <v>5.3033999999999999</v>
      </c>
      <c r="N16" s="158">
        <v>3.827</v>
      </c>
      <c r="O16" s="158">
        <v>3.8369</v>
      </c>
      <c r="P16" s="158">
        <v>4.2231999999999994</v>
      </c>
      <c r="Q16" s="158">
        <v>3.8921999999999999</v>
      </c>
      <c r="R16" s="158">
        <v>3.7936000000000001</v>
      </c>
      <c r="S16" s="158">
        <v>4.1523000000000003</v>
      </c>
      <c r="T16" s="158">
        <v>4.6656000000000004</v>
      </c>
      <c r="U16" s="158">
        <v>4.8830999999999998</v>
      </c>
      <c r="V16" s="158">
        <v>4.9763999999999999</v>
      </c>
      <c r="W16" s="158">
        <v>4.9592999999999998</v>
      </c>
      <c r="X16" s="158">
        <v>5.2671000000000001</v>
      </c>
      <c r="Y16" s="158">
        <v>4.9241000000000001</v>
      </c>
      <c r="Z16" s="158">
        <v>8.0336999999999996</v>
      </c>
      <c r="AA16" s="158">
        <v>6.5659999999999998</v>
      </c>
      <c r="AB16" s="158">
        <v>5.4740000000000002</v>
      </c>
      <c r="AC16" s="158">
        <v>5.5528000000000004</v>
      </c>
      <c r="AD16" s="158"/>
      <c r="AE16" s="158"/>
      <c r="AF16" s="158"/>
      <c r="AG16" s="158"/>
      <c r="AH16" s="158"/>
      <c r="AI16" s="158"/>
      <c r="AJ16" s="278">
        <f t="shared" si="8"/>
        <v>4.1604274703276953</v>
      </c>
      <c r="AK16" s="278">
        <f t="shared" si="8"/>
        <v>3.8598237979825223</v>
      </c>
      <c r="AL16" s="278">
        <f t="shared" si="8"/>
        <v>4.1554189791882923</v>
      </c>
      <c r="AM16" s="278">
        <f t="shared" si="8"/>
        <v>4.8764132297209537</v>
      </c>
      <c r="AN16" s="278">
        <f t="shared" si="8"/>
        <v>4.86636175416821</v>
      </c>
    </row>
    <row r="17" spans="1:40">
      <c r="A17" s="10" t="s">
        <v>26</v>
      </c>
      <c r="B17" s="158">
        <v>21.29</v>
      </c>
      <c r="C17" s="158">
        <v>26.125</v>
      </c>
      <c r="D17" s="158">
        <v>31.004999999999999</v>
      </c>
      <c r="E17" s="158">
        <v>36.966999999999999</v>
      </c>
      <c r="F17" s="158">
        <v>43.219000000000001</v>
      </c>
      <c r="G17" s="158">
        <v>47.972000000000001</v>
      </c>
      <c r="H17" s="158">
        <v>49.646000000000001</v>
      </c>
      <c r="I17" s="158">
        <v>61.287999999999997</v>
      </c>
      <c r="J17" s="158">
        <v>72.671999999999997</v>
      </c>
      <c r="K17" s="158">
        <v>82.054199999999994</v>
      </c>
      <c r="L17" s="158">
        <v>88.139499999999998</v>
      </c>
      <c r="M17" s="158">
        <v>85.166800000000009</v>
      </c>
      <c r="N17" s="158">
        <v>85.073399999999992</v>
      </c>
      <c r="O17" s="158">
        <v>94.257800000000003</v>
      </c>
      <c r="P17" s="158">
        <v>82.937699999999992</v>
      </c>
      <c r="Q17" s="158">
        <v>82.433300000000003</v>
      </c>
      <c r="R17" s="158">
        <v>70.861539999999991</v>
      </c>
      <c r="S17" s="158">
        <v>62.533000000000001</v>
      </c>
      <c r="T17" s="158">
        <v>69.424499999999995</v>
      </c>
      <c r="U17" s="158">
        <v>77.8566</v>
      </c>
      <c r="V17" s="158">
        <v>81.611999999999995</v>
      </c>
      <c r="W17" s="158">
        <v>75.787499999999994</v>
      </c>
      <c r="X17" s="158">
        <v>76.655199999999994</v>
      </c>
      <c r="Y17" s="158">
        <v>69.849599999999995</v>
      </c>
      <c r="Z17" s="158">
        <v>66.951599999999999</v>
      </c>
      <c r="AA17" s="158">
        <v>72.958200000000005</v>
      </c>
      <c r="AB17" s="158">
        <v>65.280799999999999</v>
      </c>
      <c r="AC17" s="158">
        <v>58.568939999999998</v>
      </c>
      <c r="AD17" s="158"/>
      <c r="AE17" s="158"/>
      <c r="AF17" s="158"/>
      <c r="AG17" s="158"/>
      <c r="AH17" s="158"/>
      <c r="AI17" s="158"/>
      <c r="AJ17" s="278">
        <f t="shared" si="8"/>
        <v>81.704935926737392</v>
      </c>
      <c r="AK17" s="278">
        <f t="shared" si="8"/>
        <v>81.74760112179041</v>
      </c>
      <c r="AL17" s="278">
        <f t="shared" si="8"/>
        <v>77.620041177380401</v>
      </c>
      <c r="AM17" s="278">
        <f t="shared" si="8"/>
        <v>73.438033979755886</v>
      </c>
      <c r="AN17" s="278">
        <f t="shared" si="8"/>
        <v>72.411850909261588</v>
      </c>
    </row>
    <row r="18" spans="1:40">
      <c r="A18" s="10" t="s">
        <v>27</v>
      </c>
      <c r="B18" s="158">
        <v>6.1639999999999997</v>
      </c>
      <c r="C18" s="158">
        <v>6.2350000000000003</v>
      </c>
      <c r="D18" s="158">
        <v>6.2350000000000003</v>
      </c>
      <c r="E18" s="158">
        <v>6.117</v>
      </c>
      <c r="F18" s="158">
        <v>5.6429999999999998</v>
      </c>
      <c r="G18" s="158">
        <v>5.681</v>
      </c>
      <c r="H18" s="158">
        <v>5.4539999999999997</v>
      </c>
      <c r="I18" s="158">
        <v>5.4139999999999997</v>
      </c>
      <c r="J18" s="158">
        <v>5.343</v>
      </c>
      <c r="K18" s="158">
        <v>4.3828000000000005</v>
      </c>
      <c r="L18" s="158">
        <v>4.0884</v>
      </c>
      <c r="M18" s="158">
        <v>3.6160999999999999</v>
      </c>
      <c r="N18" s="158">
        <v>2.6655000000000002</v>
      </c>
      <c r="O18" s="158">
        <v>2.4169999999999998</v>
      </c>
      <c r="P18" s="158">
        <v>2.1614</v>
      </c>
      <c r="Q18" s="158">
        <v>1.9870999999999999</v>
      </c>
      <c r="R18" s="158">
        <v>1.754</v>
      </c>
      <c r="S18" s="158">
        <v>1.5714999999999999</v>
      </c>
      <c r="T18" s="158">
        <v>1.5659000000000001</v>
      </c>
      <c r="U18" s="158">
        <v>1.5256000000000001</v>
      </c>
      <c r="V18" s="158">
        <v>1.4595</v>
      </c>
      <c r="W18" s="158">
        <v>1.4524999999999999</v>
      </c>
      <c r="X18" s="158">
        <v>1.4655</v>
      </c>
      <c r="Y18" s="158">
        <v>1.3524</v>
      </c>
      <c r="Z18" s="158">
        <v>1.3571</v>
      </c>
      <c r="AA18" s="158">
        <v>1.2849999999999999</v>
      </c>
      <c r="AB18" s="158">
        <v>1.1686000000000001</v>
      </c>
      <c r="AC18" s="158">
        <v>1.0246</v>
      </c>
      <c r="AD18" s="158"/>
      <c r="AE18" s="158"/>
      <c r="AF18" s="158"/>
      <c r="AG18" s="158"/>
      <c r="AH18" s="158"/>
      <c r="AI18" s="158"/>
      <c r="AJ18" s="278">
        <f t="shared" si="8"/>
        <v>2.1292735211134404</v>
      </c>
      <c r="AK18" s="278">
        <f t="shared" si="8"/>
        <v>1.9705708516959737</v>
      </c>
      <c r="AL18" s="278">
        <f t="shared" si="8"/>
        <v>1.9212897747512294</v>
      </c>
      <c r="AM18" s="278">
        <f t="shared" si="8"/>
        <v>1.8455514752080719</v>
      </c>
      <c r="AN18" s="278">
        <f t="shared" si="8"/>
        <v>1.6332810079843965</v>
      </c>
    </row>
    <row r="19" spans="1:40">
      <c r="A19" s="10" t="s">
        <v>28</v>
      </c>
      <c r="B19" s="158">
        <v>10.314</v>
      </c>
      <c r="C19" s="158">
        <v>9.9359999999999999</v>
      </c>
      <c r="D19" s="158">
        <v>9.7989999999999995</v>
      </c>
      <c r="E19" s="158">
        <v>10.694000000000001</v>
      </c>
      <c r="F19" s="158">
        <v>10.183999999999999</v>
      </c>
      <c r="G19" s="158">
        <v>10.068</v>
      </c>
      <c r="H19" s="158">
        <v>10.186</v>
      </c>
      <c r="I19" s="158">
        <v>9.1219999999999999</v>
      </c>
      <c r="J19" s="158">
        <v>8.0760000000000005</v>
      </c>
      <c r="K19" s="158">
        <v>7.3283000000000005</v>
      </c>
      <c r="L19" s="158">
        <v>6.6818</v>
      </c>
      <c r="M19" s="158">
        <v>5.8259999999999996</v>
      </c>
      <c r="N19" s="158">
        <v>5.0380000000000003</v>
      </c>
      <c r="O19" s="158">
        <v>5.359</v>
      </c>
      <c r="P19" s="158">
        <v>5.1728000000000005</v>
      </c>
      <c r="Q19" s="158">
        <v>4.2993999999999994</v>
      </c>
      <c r="R19" s="158">
        <v>4.2519999999999998</v>
      </c>
      <c r="S19" s="158">
        <v>4.4606000000000003</v>
      </c>
      <c r="T19" s="158">
        <v>5.8673000000000002</v>
      </c>
      <c r="U19" s="158">
        <v>5.6551</v>
      </c>
      <c r="V19" s="158">
        <v>5.8094000000000001</v>
      </c>
      <c r="W19" s="158">
        <v>5.5792999999999999</v>
      </c>
      <c r="X19" s="158">
        <v>5.7538</v>
      </c>
      <c r="Y19" s="158">
        <v>5.8738999999999999</v>
      </c>
      <c r="Z19" s="158">
        <v>5.7079000000000004</v>
      </c>
      <c r="AA19" s="158">
        <v>5.9713000000000003</v>
      </c>
      <c r="AB19" s="158">
        <v>5.4051</v>
      </c>
      <c r="AC19" s="158">
        <v>5.7085999999999997</v>
      </c>
      <c r="AD19" s="158"/>
      <c r="AE19" s="158"/>
      <c r="AF19" s="158"/>
      <c r="AG19" s="158"/>
      <c r="AH19" s="158"/>
      <c r="AI19" s="158"/>
      <c r="AJ19" s="278">
        <f t="shared" si="8"/>
        <v>5.0959128666677183</v>
      </c>
      <c r="AK19" s="278">
        <f t="shared" si="8"/>
        <v>4.263636616064451</v>
      </c>
      <c r="AL19" s="278">
        <f t="shared" si="8"/>
        <v>4.6575394083479065</v>
      </c>
      <c r="AM19" s="278">
        <f t="shared" si="8"/>
        <v>5.238477193963174</v>
      </c>
      <c r="AN19" s="278">
        <f t="shared" si="8"/>
        <v>6.1197711591716253</v>
      </c>
    </row>
    <row r="20" spans="1:40">
      <c r="A20" s="10" t="s">
        <v>351</v>
      </c>
      <c r="B20" s="158"/>
      <c r="C20" s="158"/>
      <c r="D20" s="158"/>
      <c r="E20" s="158"/>
      <c r="F20" s="158"/>
      <c r="G20" s="158"/>
      <c r="H20" s="158"/>
      <c r="I20" s="158"/>
      <c r="J20" s="158"/>
      <c r="K20" s="158"/>
      <c r="L20" s="158"/>
      <c r="M20" s="158"/>
      <c r="N20" s="158"/>
      <c r="O20" s="158"/>
      <c r="P20" s="158"/>
      <c r="Q20" s="158"/>
      <c r="R20" s="158"/>
      <c r="S20" s="158"/>
      <c r="T20" s="158"/>
      <c r="U20" s="158"/>
      <c r="V20" s="158"/>
      <c r="W20" s="158"/>
      <c r="X20" s="158">
        <v>4.0000000000000002E-4</v>
      </c>
      <c r="Y20" s="158">
        <v>4.0000000000000002E-4</v>
      </c>
      <c r="Z20" s="158">
        <v>2.9999999999999997E-4</v>
      </c>
      <c r="AA20" s="158">
        <v>2.0000000000000001E-4</v>
      </c>
      <c r="AB20" s="158">
        <f>0.1/1000</f>
        <v>1E-4</v>
      </c>
      <c r="AC20" s="158">
        <v>2.5999999999999999E-3</v>
      </c>
      <c r="AD20" s="158"/>
      <c r="AE20" s="158"/>
      <c r="AF20" s="158"/>
      <c r="AG20" s="158"/>
      <c r="AH20" s="158"/>
      <c r="AI20" s="158"/>
      <c r="AJ20" s="450"/>
      <c r="AK20" s="278"/>
      <c r="AL20" s="278"/>
      <c r="AM20" s="278"/>
      <c r="AN20" s="278"/>
    </row>
    <row r="21" spans="1:40">
      <c r="A21" s="11" t="s">
        <v>49</v>
      </c>
      <c r="B21" s="576">
        <f t="shared" ref="B21:J21" si="9">B6+B14</f>
        <v>200.19400000000002</v>
      </c>
      <c r="C21" s="576">
        <f t="shared" si="9"/>
        <v>207.24300000000002</v>
      </c>
      <c r="D21" s="576">
        <f t="shared" si="9"/>
        <v>208.41100000000003</v>
      </c>
      <c r="E21" s="128">
        <f t="shared" si="9"/>
        <v>219.67000000000002</v>
      </c>
      <c r="F21" s="128">
        <f t="shared" si="9"/>
        <v>218.55700000000002</v>
      </c>
      <c r="G21" s="128">
        <f t="shared" si="9"/>
        <v>231.15989999999999</v>
      </c>
      <c r="H21" s="128">
        <f t="shared" si="9"/>
        <v>241.89600000000002</v>
      </c>
      <c r="I21" s="128">
        <f t="shared" si="9"/>
        <v>245.17700000000002</v>
      </c>
      <c r="J21" s="128">
        <f t="shared" si="9"/>
        <v>251.958</v>
      </c>
      <c r="K21" s="128">
        <f>K6+K14</f>
        <v>261.13729999999998</v>
      </c>
      <c r="L21" s="128">
        <f>L6+L14</f>
        <v>264.74310000000003</v>
      </c>
      <c r="M21" s="128">
        <f>M6+M14</f>
        <v>260.41210000000001</v>
      </c>
      <c r="N21" s="128">
        <f>N6+N14</f>
        <v>226.03559999999999</v>
      </c>
      <c r="O21" s="128">
        <f>O6+O14</f>
        <v>230.47120000000001</v>
      </c>
      <c r="P21" s="128">
        <f t="shared" ref="P21:U21" si="10">P6+P14</f>
        <v>227.7003</v>
      </c>
      <c r="Q21" s="128">
        <f t="shared" si="10"/>
        <v>216.81049999999999</v>
      </c>
      <c r="R21" s="128">
        <f t="shared" si="10"/>
        <v>192.23451999999997</v>
      </c>
      <c r="S21" s="128">
        <f t="shared" si="10"/>
        <v>175.51009999999999</v>
      </c>
      <c r="T21" s="128">
        <f t="shared" si="10"/>
        <v>191.45839999999998</v>
      </c>
      <c r="U21" s="128">
        <f t="shared" si="10"/>
        <v>198.69400000000002</v>
      </c>
      <c r="V21" s="128">
        <f t="shared" ref="V21:AC21" si="11">V6+V14</f>
        <v>208.8235</v>
      </c>
      <c r="W21" s="128">
        <f t="shared" si="11"/>
        <v>192.12720000000002</v>
      </c>
      <c r="X21" s="128">
        <f t="shared" si="11"/>
        <v>195.084</v>
      </c>
      <c r="Y21" s="128">
        <f t="shared" si="11"/>
        <v>180.80500000000001</v>
      </c>
      <c r="Z21" s="128">
        <f t="shared" si="11"/>
        <v>189.13220999999999</v>
      </c>
      <c r="AA21" s="128">
        <f t="shared" si="11"/>
        <v>198.51499999999999</v>
      </c>
      <c r="AB21" s="128">
        <f t="shared" si="11"/>
        <v>161.9743</v>
      </c>
      <c r="AC21" s="128">
        <f t="shared" si="11"/>
        <v>151.44928000000002</v>
      </c>
      <c r="AD21" s="128">
        <v>159.28532782682441</v>
      </c>
      <c r="AE21" s="128">
        <v>155.37833680683966</v>
      </c>
      <c r="AF21" s="128">
        <v>140.84723668120395</v>
      </c>
      <c r="AG21" s="128">
        <v>125.66880105595607</v>
      </c>
      <c r="AH21" s="128">
        <v>112.232923026393</v>
      </c>
      <c r="AI21" s="128">
        <v>98.797044996829925</v>
      </c>
    </row>
    <row r="23" spans="1:40">
      <c r="E23" s="56">
        <f>E14/E21</f>
        <v>0.27359675877452538</v>
      </c>
      <c r="F23" s="56"/>
      <c r="G23" s="56"/>
      <c r="H23" s="56"/>
      <c r="I23" s="56"/>
      <c r="J23" s="56">
        <f>J14/J21</f>
        <v>0.37477277959024913</v>
      </c>
      <c r="K23" s="56">
        <f t="shared" ref="K23:U23" si="12">K14/K21</f>
        <v>0.38923547114870227</v>
      </c>
      <c r="L23" s="56">
        <f t="shared" si="12"/>
        <v>0.4066221178191235</v>
      </c>
      <c r="M23" s="56">
        <f t="shared" si="12"/>
        <v>0.39523777888969058</v>
      </c>
      <c r="N23" s="56">
        <f t="shared" si="12"/>
        <v>0.444351686194564</v>
      </c>
      <c r="O23" s="56">
        <f t="shared" si="12"/>
        <v>0.48365262123857555</v>
      </c>
      <c r="P23" s="56">
        <f t="shared" si="12"/>
        <v>0.44580002749227821</v>
      </c>
      <c r="Q23" s="56">
        <f t="shared" si="12"/>
        <v>0.46510109058371257</v>
      </c>
      <c r="R23" s="56">
        <f t="shared" si="12"/>
        <v>0.47490346686952994</v>
      </c>
      <c r="S23" s="56">
        <f t="shared" si="12"/>
        <v>0.48516125282818484</v>
      </c>
      <c r="T23" s="56">
        <f t="shared" si="12"/>
        <v>0.50075891159646169</v>
      </c>
      <c r="U23" s="56">
        <f t="shared" si="12"/>
        <v>0.52908895084904428</v>
      </c>
      <c r="V23" s="56">
        <f>V14/V21</f>
        <v>0.52737407427803862</v>
      </c>
      <c r="W23" s="56">
        <f>W14/W21</f>
        <v>0.54610018779225422</v>
      </c>
      <c r="X23" s="56">
        <f>X14/X21</f>
        <v>0.54981853970597283</v>
      </c>
      <c r="Y23" s="56">
        <f>Y14/Y21</f>
        <v>0.55558474599706864</v>
      </c>
      <c r="Z23" s="56">
        <f>Z14/Z21</f>
        <v>0.53713325720669158</v>
      </c>
      <c r="AA23" s="585"/>
      <c r="AB23" s="585"/>
      <c r="AC23" s="585"/>
      <c r="AD23" s="585"/>
      <c r="AE23" s="585"/>
      <c r="AF23" s="585"/>
      <c r="AG23" s="585"/>
      <c r="AH23" s="585"/>
      <c r="AI23" s="585"/>
    </row>
    <row r="24" spans="1:40" ht="15.5">
      <c r="A24" s="1" t="s">
        <v>29</v>
      </c>
    </row>
    <row r="25" spans="1:40">
      <c r="A25" s="1116" t="s">
        <v>15</v>
      </c>
      <c r="B25" s="9">
        <v>1997</v>
      </c>
      <c r="C25" s="9">
        <v>1998</v>
      </c>
      <c r="D25" s="9">
        <v>1999</v>
      </c>
      <c r="E25" s="9">
        <v>2000</v>
      </c>
      <c r="F25" s="9">
        <v>2001</v>
      </c>
      <c r="G25" s="9">
        <v>2002</v>
      </c>
      <c r="H25" s="9">
        <v>2003</v>
      </c>
      <c r="I25" s="9">
        <v>2004</v>
      </c>
      <c r="J25" s="9">
        <v>2005</v>
      </c>
      <c r="K25" s="9">
        <v>2006</v>
      </c>
      <c r="L25" s="9">
        <v>2007</v>
      </c>
      <c r="M25" s="9">
        <v>2008</v>
      </c>
      <c r="N25" s="9">
        <v>2009</v>
      </c>
      <c r="O25" s="9">
        <v>2010</v>
      </c>
      <c r="P25" s="9">
        <v>2011</v>
      </c>
      <c r="Q25" s="9">
        <v>2012</v>
      </c>
      <c r="R25" s="9">
        <v>2013</v>
      </c>
      <c r="S25" s="9">
        <v>2014</v>
      </c>
      <c r="T25" s="9">
        <v>2015</v>
      </c>
      <c r="U25" s="9">
        <v>2016</v>
      </c>
      <c r="V25" s="9">
        <v>2017</v>
      </c>
      <c r="W25" s="9">
        <v>2018</v>
      </c>
      <c r="X25" s="9">
        <v>2019</v>
      </c>
      <c r="Y25" s="9">
        <v>2020</v>
      </c>
      <c r="Z25" s="9">
        <v>2021</v>
      </c>
      <c r="AA25" s="9">
        <v>2022</v>
      </c>
      <c r="AB25" s="9">
        <v>2023</v>
      </c>
      <c r="AC25" s="9">
        <f>AB25+1</f>
        <v>2024</v>
      </c>
      <c r="AD25" s="9">
        <f t="shared" ref="AD25:AI25" si="13">AC25+1</f>
        <v>2025</v>
      </c>
      <c r="AE25" s="9">
        <f t="shared" si="13"/>
        <v>2026</v>
      </c>
      <c r="AF25" s="9">
        <f t="shared" si="13"/>
        <v>2027</v>
      </c>
      <c r="AG25" s="9">
        <f t="shared" si="13"/>
        <v>2028</v>
      </c>
      <c r="AH25" s="9">
        <f t="shared" si="13"/>
        <v>2029</v>
      </c>
      <c r="AI25" s="9">
        <f t="shared" si="13"/>
        <v>2030</v>
      </c>
    </row>
    <row r="26" spans="1:40">
      <c r="A26" s="1116"/>
      <c r="B26" s="11" t="s">
        <v>116</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row>
    <row r="27" spans="1:40">
      <c r="A27" s="11" t="s">
        <v>16</v>
      </c>
      <c r="B27" s="612">
        <f t="shared" ref="B27:U27" si="14">SUM(B28:B32)</f>
        <v>148.58499999999998</v>
      </c>
      <c r="C27" s="612">
        <f t="shared" si="14"/>
        <v>150.36500000000001</v>
      </c>
      <c r="D27" s="612">
        <f t="shared" si="14"/>
        <v>145.82799999999997</v>
      </c>
      <c r="E27" s="157">
        <f t="shared" si="14"/>
        <v>149.45999999999998</v>
      </c>
      <c r="F27" s="157">
        <f t="shared" si="14"/>
        <v>143.43</v>
      </c>
      <c r="G27" s="157">
        <f t="shared" si="14"/>
        <v>149.875</v>
      </c>
      <c r="H27" s="157">
        <f t="shared" si="14"/>
        <v>159.72900000000001</v>
      </c>
      <c r="I27" s="157">
        <f t="shared" si="14"/>
        <v>152.35499999999999</v>
      </c>
      <c r="J27" s="157">
        <f t="shared" si="14"/>
        <v>148.37099999999998</v>
      </c>
      <c r="K27" s="157">
        <f t="shared" si="14"/>
        <v>150.54</v>
      </c>
      <c r="L27" s="157">
        <f t="shared" si="14"/>
        <v>148.5333</v>
      </c>
      <c r="M27" s="157">
        <f t="shared" si="14"/>
        <v>149.28769999999997</v>
      </c>
      <c r="N27" s="157">
        <f t="shared" si="14"/>
        <v>117.93599999999999</v>
      </c>
      <c r="O27" s="157">
        <f t="shared" si="14"/>
        <v>111.98010000000001</v>
      </c>
      <c r="P27" s="157">
        <f t="shared" si="14"/>
        <v>119.16330000000001</v>
      </c>
      <c r="Q27" s="157">
        <f t="shared" si="14"/>
        <v>108.7353</v>
      </c>
      <c r="R27" s="157">
        <f t="shared" si="14"/>
        <v>94.327699999999993</v>
      </c>
      <c r="S27" s="157">
        <f t="shared" si="14"/>
        <v>84.156900000000007</v>
      </c>
      <c r="T27" s="157">
        <f t="shared" si="14"/>
        <v>92.723199999999991</v>
      </c>
      <c r="U27" s="157">
        <f t="shared" si="14"/>
        <v>88.383200000000002</v>
      </c>
      <c r="V27" s="157">
        <f>SUM(V28:V32)</f>
        <v>93.096100000000007</v>
      </c>
      <c r="W27" s="157">
        <f t="shared" ref="W27:AB27" si="15">SUM(W28:W33)</f>
        <v>82.353399999999993</v>
      </c>
      <c r="X27" s="157">
        <f t="shared" si="15"/>
        <v>83.144800000000004</v>
      </c>
      <c r="Y27" s="157">
        <f t="shared" si="15"/>
        <v>76.305700000000002</v>
      </c>
      <c r="Z27" s="157">
        <f t="shared" si="15"/>
        <v>83.523400000000009</v>
      </c>
      <c r="AA27" s="157">
        <f t="shared" si="15"/>
        <v>88.610700000000008</v>
      </c>
      <c r="AB27" s="157">
        <f t="shared" si="15"/>
        <v>62.603500000000004</v>
      </c>
      <c r="AC27" s="157">
        <f>SUM(AC28:AC34)</f>
        <v>57.913249999999991</v>
      </c>
      <c r="AD27" s="157">
        <f t="shared" ref="AD27:AI27" si="16">AC27/AC42*AD42</f>
        <v>60.909705293857037</v>
      </c>
      <c r="AE27" s="157">
        <f t="shared" si="16"/>
        <v>59.415696555828482</v>
      </c>
      <c r="AF27" s="157">
        <f t="shared" si="16"/>
        <v>53.859095465674919</v>
      </c>
      <c r="AG27" s="157">
        <f t="shared" si="16"/>
        <v>48.054957360997982</v>
      </c>
      <c r="AH27" s="157">
        <f t="shared" si="16"/>
        <v>42.917162296567213</v>
      </c>
      <c r="AI27" s="157">
        <f t="shared" si="16"/>
        <v>37.779367232136444</v>
      </c>
    </row>
    <row r="28" spans="1:40">
      <c r="A28" s="10" t="s">
        <v>17</v>
      </c>
      <c r="B28" s="158">
        <v>0.52100000000000002</v>
      </c>
      <c r="C28" s="158">
        <v>0.74</v>
      </c>
      <c r="D28" s="158">
        <v>1.008</v>
      </c>
      <c r="E28" s="158">
        <v>1.1419999999999999</v>
      </c>
      <c r="F28" s="158">
        <v>1.1839999999999999</v>
      </c>
      <c r="G28" s="158">
        <v>1.321</v>
      </c>
      <c r="H28" s="158">
        <v>1.385</v>
      </c>
      <c r="I28" s="158">
        <v>1.506</v>
      </c>
      <c r="J28" s="158">
        <v>1.5389999999999999</v>
      </c>
      <c r="K28" s="158">
        <v>1.6505999999999998</v>
      </c>
      <c r="L28" s="158">
        <v>1.6496999999999999</v>
      </c>
      <c r="M28" s="158">
        <v>1.8147</v>
      </c>
      <c r="N28" s="158">
        <v>2.3660000000000001</v>
      </c>
      <c r="O28" s="158">
        <v>2.9349000000000003</v>
      </c>
      <c r="P28" s="158">
        <v>3.4984999999999999</v>
      </c>
      <c r="Q28" s="158">
        <v>3.7921</v>
      </c>
      <c r="R28" s="158">
        <v>5.2234999999999996</v>
      </c>
      <c r="S28" s="158">
        <v>5.1813000000000002</v>
      </c>
      <c r="T28" s="158">
        <v>4.6532</v>
      </c>
      <c r="U28" s="158">
        <v>4.5933999999999999</v>
      </c>
      <c r="V28" s="158">
        <v>4.4512</v>
      </c>
      <c r="W28" s="158">
        <v>4.4326999999999996</v>
      </c>
      <c r="X28" s="158">
        <v>4.4572000000000003</v>
      </c>
      <c r="Y28" s="158">
        <v>4.3392999999999997</v>
      </c>
      <c r="Z28" s="158">
        <v>3.8635999999999999</v>
      </c>
      <c r="AA28" s="158">
        <v>3.4716</v>
      </c>
      <c r="AB28" s="158">
        <v>3.0693000000000001</v>
      </c>
      <c r="AC28" s="158">
        <v>3.2953000000000001</v>
      </c>
      <c r="AD28" s="158"/>
      <c r="AE28" s="158"/>
      <c r="AF28" s="158"/>
      <c r="AG28" s="158"/>
      <c r="AH28" s="158"/>
      <c r="AI28" s="158"/>
    </row>
    <row r="29" spans="1:40">
      <c r="A29" s="10" t="s">
        <v>18</v>
      </c>
      <c r="B29" s="158">
        <v>5.1020000000000003</v>
      </c>
      <c r="C29" s="158">
        <v>8.0449999999999999</v>
      </c>
      <c r="D29" s="158">
        <v>10.84</v>
      </c>
      <c r="E29" s="158">
        <v>11.909000000000001</v>
      </c>
      <c r="F29" s="158">
        <v>6.2220000000000004</v>
      </c>
      <c r="G29" s="158">
        <v>8.2349999999999994</v>
      </c>
      <c r="H29" s="158">
        <v>8.57</v>
      </c>
      <c r="I29" s="158">
        <v>2.2280000000000002</v>
      </c>
      <c r="J29" s="158">
        <v>0.79900000000000004</v>
      </c>
      <c r="K29" s="158">
        <v>0.65349999999999997</v>
      </c>
      <c r="L29" s="158">
        <v>0.53349999999999997</v>
      </c>
      <c r="M29" s="158">
        <v>0.59060000000000001</v>
      </c>
      <c r="N29" s="158">
        <v>0.47320000000000001</v>
      </c>
      <c r="O29" s="158">
        <v>0.3276</v>
      </c>
      <c r="P29" s="158">
        <v>0.23080000000000001</v>
      </c>
      <c r="Q29" s="158">
        <v>0.17180000000000001</v>
      </c>
      <c r="R29" s="158">
        <v>2.3226</v>
      </c>
      <c r="S29" s="158">
        <v>2.4569999999999999</v>
      </c>
      <c r="T29" s="158">
        <v>3.4622999999999999</v>
      </c>
      <c r="U29" s="158">
        <v>0.4073</v>
      </c>
      <c r="V29" s="158">
        <v>0.57050000000000001</v>
      </c>
      <c r="W29" s="158">
        <v>0.28670000000000001</v>
      </c>
      <c r="X29" s="158">
        <v>1.2231000000000001</v>
      </c>
      <c r="Y29" s="158">
        <v>1.2324999999999999</v>
      </c>
      <c r="Z29" s="158">
        <v>0.64449999999999996</v>
      </c>
      <c r="AA29" s="158">
        <v>0.2258</v>
      </c>
      <c r="AB29" s="158">
        <v>0.24299999999999999</v>
      </c>
      <c r="AC29" s="159">
        <v>0.47699999999999998</v>
      </c>
      <c r="AD29" s="159"/>
      <c r="AE29" s="159"/>
      <c r="AF29" s="159"/>
      <c r="AG29" s="159"/>
      <c r="AH29" s="159"/>
      <c r="AI29" s="159"/>
    </row>
    <row r="30" spans="1:40">
      <c r="A30" s="10" t="s">
        <v>19</v>
      </c>
      <c r="B30" s="158">
        <v>142.96199999999999</v>
      </c>
      <c r="C30" s="158">
        <v>141.58000000000001</v>
      </c>
      <c r="D30" s="158">
        <v>133.97999999999999</v>
      </c>
      <c r="E30" s="158">
        <v>129.715</v>
      </c>
      <c r="F30" s="158">
        <v>125.63</v>
      </c>
      <c r="G30" s="158">
        <v>125.76</v>
      </c>
      <c r="H30" s="158">
        <v>122.749</v>
      </c>
      <c r="I30" s="158">
        <v>90.061000000000007</v>
      </c>
      <c r="J30" s="158">
        <v>71.786000000000001</v>
      </c>
      <c r="K30" s="158">
        <v>67.475399999999993</v>
      </c>
      <c r="L30" s="158">
        <v>59.048499999999997</v>
      </c>
      <c r="M30" s="158">
        <v>57.335300000000004</v>
      </c>
      <c r="N30" s="158">
        <v>50.573300000000003</v>
      </c>
      <c r="O30" s="158">
        <v>47.188600000000001</v>
      </c>
      <c r="P30" s="158">
        <v>50.984400000000001</v>
      </c>
      <c r="Q30" s="158">
        <v>53.808500000000002</v>
      </c>
      <c r="R30" s="158">
        <v>48.968199999999996</v>
      </c>
      <c r="S30" s="158">
        <v>47.5717</v>
      </c>
      <c r="T30" s="158">
        <v>46.207799999999999</v>
      </c>
      <c r="U30" s="158">
        <v>38.0227</v>
      </c>
      <c r="V30" s="158">
        <v>34.887500000000003</v>
      </c>
      <c r="W30" s="158">
        <v>30.308499999999999</v>
      </c>
      <c r="X30" s="158">
        <v>21.0458</v>
      </c>
      <c r="Y30" s="158">
        <v>16.280899999999999</v>
      </c>
      <c r="Z30" s="158">
        <v>18.4481</v>
      </c>
      <c r="AA30" s="158">
        <v>29.538599999999999</v>
      </c>
      <c r="AB30" s="158">
        <v>17.104099999999999</v>
      </c>
      <c r="AC30" s="158">
        <v>8.2211099999999995</v>
      </c>
      <c r="AD30" s="158"/>
      <c r="AE30" s="158"/>
      <c r="AF30" s="158"/>
      <c r="AG30" s="158"/>
      <c r="AH30" s="158"/>
      <c r="AI30" s="158"/>
    </row>
    <row r="31" spans="1:40">
      <c r="A31" s="10" t="s">
        <v>20</v>
      </c>
      <c r="B31" s="158">
        <v>0</v>
      </c>
      <c r="C31" s="158">
        <v>0</v>
      </c>
      <c r="D31" s="158">
        <v>0</v>
      </c>
      <c r="E31" s="158">
        <v>6.694</v>
      </c>
      <c r="F31" s="158">
        <v>10.394</v>
      </c>
      <c r="G31" s="158">
        <v>14.558999999999999</v>
      </c>
      <c r="H31" s="158">
        <v>27.024999999999999</v>
      </c>
      <c r="I31" s="158">
        <v>40.465000000000003</v>
      </c>
      <c r="J31" s="158">
        <v>57.136000000000003</v>
      </c>
      <c r="K31" s="158">
        <v>63.578300000000006</v>
      </c>
      <c r="L31" s="158">
        <v>76.161500000000004</v>
      </c>
      <c r="M31" s="158">
        <v>84.566999999999993</v>
      </c>
      <c r="N31" s="158">
        <v>62.716699999999996</v>
      </c>
      <c r="O31" s="158">
        <v>60.838500000000003</v>
      </c>
      <c r="P31" s="158">
        <v>64.238900000000001</v>
      </c>
      <c r="Q31" s="158">
        <v>50.652200000000001</v>
      </c>
      <c r="R31" s="158">
        <v>37.764099999999999</v>
      </c>
      <c r="S31" s="158">
        <v>28.943300000000001</v>
      </c>
      <c r="T31" s="158">
        <v>35.299900000000001</v>
      </c>
      <c r="U31" s="158">
        <v>45.3598</v>
      </c>
      <c r="V31" s="158">
        <v>53.186900000000001</v>
      </c>
      <c r="W31" s="158">
        <v>47.325499999999998</v>
      </c>
      <c r="X31" s="158">
        <v>56.418599999999998</v>
      </c>
      <c r="Y31" s="158">
        <v>54.4529</v>
      </c>
      <c r="Z31" s="158">
        <v>60.567100000000003</v>
      </c>
      <c r="AA31" s="158">
        <v>55.374600000000001</v>
      </c>
      <c r="AB31" s="158">
        <v>42.183399999999999</v>
      </c>
      <c r="AC31" s="158">
        <v>45.910939999999997</v>
      </c>
      <c r="AD31" s="158"/>
      <c r="AE31" s="158"/>
      <c r="AF31" s="158"/>
      <c r="AG31" s="158"/>
      <c r="AH31" s="158"/>
      <c r="AI31" s="158"/>
    </row>
    <row r="32" spans="1:40">
      <c r="A32" s="10" t="s">
        <v>22</v>
      </c>
      <c r="B32" s="158">
        <v>0</v>
      </c>
      <c r="C32" s="158">
        <v>0</v>
      </c>
      <c r="D32" s="158">
        <v>0</v>
      </c>
      <c r="E32" s="158">
        <v>0</v>
      </c>
      <c r="F32" s="158">
        <v>0</v>
      </c>
      <c r="G32" s="158">
        <v>0</v>
      </c>
      <c r="H32" s="158">
        <v>0</v>
      </c>
      <c r="I32" s="158">
        <v>18.094999999999999</v>
      </c>
      <c r="J32" s="158">
        <v>17.111000000000001</v>
      </c>
      <c r="K32" s="158">
        <v>17.182200000000002</v>
      </c>
      <c r="L32" s="158">
        <v>11.1401</v>
      </c>
      <c r="M32" s="158">
        <v>4.9801000000000002</v>
      </c>
      <c r="N32" s="158">
        <v>1.8068</v>
      </c>
      <c r="O32" s="158">
        <v>0.6905</v>
      </c>
      <c r="P32" s="158">
        <v>0.2107</v>
      </c>
      <c r="Q32" s="158">
        <v>0.31069999999999998</v>
      </c>
      <c r="R32" s="158">
        <v>4.9299999999999997E-2</v>
      </c>
      <c r="S32" s="158">
        <v>3.5999999999999999E-3</v>
      </c>
      <c r="T32" s="158">
        <v>3.1</v>
      </c>
      <c r="U32" s="158"/>
      <c r="V32" s="158"/>
      <c r="W32" s="158"/>
      <c r="X32" s="158"/>
      <c r="Y32" s="158"/>
      <c r="Z32" s="158"/>
      <c r="AA32" s="158"/>
      <c r="AB32" s="158"/>
      <c r="AC32" s="158"/>
      <c r="AD32" s="158"/>
      <c r="AE32" s="158"/>
      <c r="AF32" s="158"/>
      <c r="AG32" s="158"/>
      <c r="AH32" s="158"/>
      <c r="AI32" s="158"/>
    </row>
    <row r="33" spans="1:40">
      <c r="A33" s="10" t="s">
        <v>349</v>
      </c>
      <c r="B33" s="159"/>
      <c r="C33" s="159"/>
      <c r="D33" s="159"/>
      <c r="E33" s="159"/>
      <c r="F33" s="159"/>
      <c r="G33" s="159"/>
      <c r="H33" s="159"/>
      <c r="I33" s="159"/>
      <c r="J33" s="159"/>
      <c r="K33" s="159"/>
      <c r="L33" s="158"/>
      <c r="M33" s="158"/>
      <c r="N33" s="158"/>
      <c r="O33" s="158"/>
      <c r="P33" s="158"/>
      <c r="Q33" s="158"/>
      <c r="R33" s="158"/>
      <c r="S33" s="158"/>
      <c r="T33" s="158"/>
      <c r="U33" s="158"/>
      <c r="V33" s="158"/>
      <c r="W33" s="158"/>
      <c r="X33" s="158">
        <v>1E-4</v>
      </c>
      <c r="Y33" s="158">
        <v>1E-4</v>
      </c>
      <c r="Z33" s="158">
        <v>1E-4</v>
      </c>
      <c r="AA33" s="158">
        <v>1E-4</v>
      </c>
      <c r="AB33" s="158">
        <v>3.7000000000000002E-3</v>
      </c>
      <c r="AC33" s="158">
        <v>8.0999999999999996E-3</v>
      </c>
      <c r="AD33" s="158"/>
      <c r="AE33" s="158"/>
      <c r="AF33" s="158"/>
      <c r="AG33" s="158"/>
      <c r="AH33" s="158"/>
      <c r="AI33" s="158"/>
    </row>
    <row r="34" spans="1:40">
      <c r="A34" s="10" t="s">
        <v>691</v>
      </c>
      <c r="B34" s="159"/>
      <c r="C34" s="159"/>
      <c r="D34" s="159"/>
      <c r="E34" s="159"/>
      <c r="F34" s="159"/>
      <c r="G34" s="159"/>
      <c r="H34" s="159"/>
      <c r="I34" s="159"/>
      <c r="J34" s="159"/>
      <c r="K34" s="159"/>
      <c r="L34" s="158"/>
      <c r="M34" s="158"/>
      <c r="N34" s="158"/>
      <c r="O34" s="158"/>
      <c r="P34" s="158"/>
      <c r="Q34" s="158"/>
      <c r="R34" s="158"/>
      <c r="S34" s="158"/>
      <c r="T34" s="158"/>
      <c r="U34" s="158"/>
      <c r="V34" s="158"/>
      <c r="W34" s="158"/>
      <c r="X34" s="158"/>
      <c r="Y34" s="158"/>
      <c r="Z34" s="158"/>
      <c r="AA34" s="158"/>
      <c r="AB34" s="158"/>
      <c r="AC34" s="159">
        <v>8.0000000000000004E-4</v>
      </c>
      <c r="AD34" s="159"/>
      <c r="AE34" s="159"/>
      <c r="AF34" s="159"/>
      <c r="AG34" s="159"/>
      <c r="AH34" s="159"/>
      <c r="AI34" s="159"/>
    </row>
    <row r="35" spans="1:40">
      <c r="A35" s="11" t="s">
        <v>23</v>
      </c>
      <c r="B35" s="157">
        <f t="shared" ref="B35:U35" si="17">SUM(B36:B40)</f>
        <v>40.317</v>
      </c>
      <c r="C35" s="157">
        <f t="shared" si="17"/>
        <v>44.966999999999999</v>
      </c>
      <c r="D35" s="157">
        <f t="shared" si="17"/>
        <v>50.597000000000001</v>
      </c>
      <c r="E35" s="157">
        <f t="shared" si="17"/>
        <v>57.875</v>
      </c>
      <c r="F35" s="157">
        <f t="shared" si="17"/>
        <v>63.066000000000003</v>
      </c>
      <c r="G35" s="157">
        <f t="shared" si="17"/>
        <v>58.339000000000006</v>
      </c>
      <c r="H35" s="157">
        <f t="shared" si="17"/>
        <v>69.471999999999994</v>
      </c>
      <c r="I35" s="157">
        <f t="shared" si="17"/>
        <v>80.503</v>
      </c>
      <c r="J35" s="157">
        <f t="shared" si="17"/>
        <v>91.438000000000002</v>
      </c>
      <c r="K35" s="157">
        <f t="shared" si="17"/>
        <v>98.636500000000012</v>
      </c>
      <c r="L35" s="128">
        <f t="shared" si="17"/>
        <v>104.50119999999998</v>
      </c>
      <c r="M35" s="128">
        <f t="shared" si="17"/>
        <v>99.976500000000001</v>
      </c>
      <c r="N35" s="128">
        <f t="shared" si="17"/>
        <v>97.568900000000014</v>
      </c>
      <c r="O35" s="128">
        <f t="shared" si="17"/>
        <v>108.2557</v>
      </c>
      <c r="P35" s="128">
        <f t="shared" si="17"/>
        <v>98.54740000000001</v>
      </c>
      <c r="Q35" s="128">
        <f t="shared" si="17"/>
        <v>97.870699999999999</v>
      </c>
      <c r="R35" s="128">
        <f t="shared" si="17"/>
        <v>88.355199999999996</v>
      </c>
      <c r="S35" s="128">
        <f t="shared" si="17"/>
        <v>82.287700000000001</v>
      </c>
      <c r="T35" s="128">
        <f t="shared" si="17"/>
        <v>92.696299999999994</v>
      </c>
      <c r="U35" s="128">
        <f t="shared" si="17"/>
        <v>101.73779999999999</v>
      </c>
      <c r="V35" s="128">
        <f>SUM(V36:V40)</f>
        <v>106.6262</v>
      </c>
      <c r="W35" s="128">
        <f t="shared" ref="W35:AC35" si="18">SUM(W36:W41)</f>
        <v>101.44970000000001</v>
      </c>
      <c r="X35" s="128">
        <f t="shared" si="18"/>
        <v>103.6028</v>
      </c>
      <c r="Y35" s="128">
        <f t="shared" si="18"/>
        <v>97.158599999999993</v>
      </c>
      <c r="Z35" s="128">
        <f t="shared" si="18"/>
        <v>98.194699999999997</v>
      </c>
      <c r="AA35" s="128">
        <f t="shared" si="18"/>
        <v>102.0476</v>
      </c>
      <c r="AB35" s="128">
        <f t="shared" si="18"/>
        <v>93.019299999999987</v>
      </c>
      <c r="AC35" s="128">
        <f t="shared" si="18"/>
        <v>87.887950000000004</v>
      </c>
      <c r="AD35" s="157">
        <f t="shared" ref="AD35:AI35" si="19">AC35/AC42*AD42</f>
        <v>92.435308558598308</v>
      </c>
      <c r="AE35" s="157">
        <f t="shared" si="19"/>
        <v>90.168031808158347</v>
      </c>
      <c r="AF35" s="157">
        <f t="shared" si="19"/>
        <v>81.735448957405509</v>
      </c>
      <c r="AG35" s="157">
        <f t="shared" si="19"/>
        <v>72.927209054845363</v>
      </c>
      <c r="AH35" s="157">
        <f t="shared" si="19"/>
        <v>65.13019756381459</v>
      </c>
      <c r="AI35" s="157">
        <f t="shared" si="19"/>
        <v>57.333186072783818</v>
      </c>
    </row>
    <row r="36" spans="1:40">
      <c r="A36" s="10" t="s">
        <v>24</v>
      </c>
      <c r="B36" s="158">
        <v>0.96</v>
      </c>
      <c r="C36" s="158">
        <v>1.018</v>
      </c>
      <c r="D36" s="158">
        <v>1.1870000000000001</v>
      </c>
      <c r="E36" s="158">
        <v>1.3120000000000001</v>
      </c>
      <c r="F36" s="158">
        <v>1.343</v>
      </c>
      <c r="G36" s="158">
        <v>1.512</v>
      </c>
      <c r="H36" s="158">
        <v>1.6479999999999999</v>
      </c>
      <c r="I36" s="158">
        <v>1.855</v>
      </c>
      <c r="J36" s="158">
        <v>2.1850000000000001</v>
      </c>
      <c r="K36" s="158">
        <v>2.4780000000000002</v>
      </c>
      <c r="L36" s="158">
        <v>2.6443000000000003</v>
      </c>
      <c r="M36" s="158">
        <v>2.9215999999999998</v>
      </c>
      <c r="N36" s="158">
        <v>3.7179000000000002</v>
      </c>
      <c r="O36" s="158">
        <v>5.4180000000000001</v>
      </c>
      <c r="P36" s="158">
        <v>6.7409999999999997</v>
      </c>
      <c r="Q36" s="158">
        <v>7.8523999999999994</v>
      </c>
      <c r="R36" s="158">
        <v>10.108000000000001</v>
      </c>
      <c r="S36" s="158">
        <v>11.8232</v>
      </c>
      <c r="T36" s="158">
        <v>13.642799999999999</v>
      </c>
      <c r="U36" s="158">
        <v>14.459</v>
      </c>
      <c r="V36" s="158">
        <v>15.4819</v>
      </c>
      <c r="W36" s="158">
        <v>16.3108</v>
      </c>
      <c r="X36" s="158">
        <v>17.2606</v>
      </c>
      <c r="Y36" s="158">
        <v>17.601199999999999</v>
      </c>
      <c r="Z36" s="158">
        <v>18.6465</v>
      </c>
      <c r="AA36" s="158">
        <v>17.767700000000001</v>
      </c>
      <c r="AB36" s="158">
        <v>18.047699999999999</v>
      </c>
      <c r="AC36" s="158">
        <v>19.371510000000001</v>
      </c>
      <c r="AD36" s="158"/>
      <c r="AE36" s="158"/>
      <c r="AF36" s="158"/>
      <c r="AG36" s="158"/>
      <c r="AH36" s="158"/>
      <c r="AI36" s="158"/>
    </row>
    <row r="37" spans="1:40">
      <c r="A37" s="10" t="s">
        <v>25</v>
      </c>
      <c r="B37" s="158">
        <v>3.1869999999999998</v>
      </c>
      <c r="C37" s="158">
        <v>3.4510000000000001</v>
      </c>
      <c r="D37" s="158">
        <v>4.2859999999999996</v>
      </c>
      <c r="E37" s="158">
        <v>4.8129999999999997</v>
      </c>
      <c r="F37" s="158">
        <v>4.7380000000000004</v>
      </c>
      <c r="G37" s="158">
        <v>4.7060000000000004</v>
      </c>
      <c r="H37" s="158">
        <v>4.742</v>
      </c>
      <c r="I37" s="158">
        <v>5.2539999999999996</v>
      </c>
      <c r="J37" s="158">
        <v>5.9329999999999998</v>
      </c>
      <c r="K37" s="158">
        <v>5.1986000000000008</v>
      </c>
      <c r="L37" s="158">
        <v>5.8673000000000002</v>
      </c>
      <c r="M37" s="158">
        <v>5.1859999999999999</v>
      </c>
      <c r="N37" s="158">
        <v>3.7565</v>
      </c>
      <c r="O37" s="158">
        <v>3.758</v>
      </c>
      <c r="P37" s="158">
        <v>4.1156999999999995</v>
      </c>
      <c r="Q37" s="158">
        <v>3.8106999999999998</v>
      </c>
      <c r="R37" s="158">
        <v>3.7079</v>
      </c>
      <c r="S37" s="158">
        <v>4.0541</v>
      </c>
      <c r="T37" s="158">
        <v>4.5576999999999996</v>
      </c>
      <c r="U37" s="158">
        <v>4.7728999999999999</v>
      </c>
      <c r="V37" s="158">
        <v>4.8642000000000003</v>
      </c>
      <c r="W37" s="158">
        <v>4.8455000000000004</v>
      </c>
      <c r="X37" s="158">
        <v>5.1441999999999997</v>
      </c>
      <c r="Y37" s="158">
        <v>4.8122999999999996</v>
      </c>
      <c r="Z37" s="158">
        <v>7.8513000000000002</v>
      </c>
      <c r="AA37" s="158">
        <v>6.4314999999999998</v>
      </c>
      <c r="AB37" s="158">
        <v>5.3620999999999999</v>
      </c>
      <c r="AC37" s="158">
        <v>5.4389000000000003</v>
      </c>
      <c r="AD37" s="158"/>
      <c r="AE37" s="158"/>
      <c r="AF37" s="158"/>
      <c r="AG37" s="158"/>
      <c r="AH37" s="158"/>
      <c r="AI37" s="158"/>
    </row>
    <row r="38" spans="1:40">
      <c r="A38" s="10" t="s">
        <v>26</v>
      </c>
      <c r="B38" s="158">
        <v>20.631</v>
      </c>
      <c r="C38" s="158">
        <v>25.353999999999999</v>
      </c>
      <c r="D38" s="158">
        <v>30.157</v>
      </c>
      <c r="E38" s="158">
        <v>36.055</v>
      </c>
      <c r="F38" s="158">
        <v>42.247999999999998</v>
      </c>
      <c r="G38" s="158">
        <v>46.89</v>
      </c>
      <c r="H38" s="158">
        <v>48.533000000000001</v>
      </c>
      <c r="I38" s="158">
        <v>59.95</v>
      </c>
      <c r="J38" s="158">
        <v>71.048000000000002</v>
      </c>
      <c r="K38" s="158">
        <v>80.239100000000008</v>
      </c>
      <c r="L38" s="158">
        <v>86.173199999999994</v>
      </c>
      <c r="M38" s="158">
        <v>83.25869999999999</v>
      </c>
      <c r="N38" s="158">
        <v>83.140500000000003</v>
      </c>
      <c r="O38" s="158">
        <v>92.015500000000003</v>
      </c>
      <c r="P38" s="158">
        <v>81.020300000000006</v>
      </c>
      <c r="Q38" s="158">
        <v>80.490800000000007</v>
      </c>
      <c r="R38" s="158">
        <v>69.139399999999995</v>
      </c>
      <c r="S38" s="158">
        <v>60.932000000000002</v>
      </c>
      <c r="T38" s="158">
        <v>67.744</v>
      </c>
      <c r="U38" s="158">
        <v>75.988</v>
      </c>
      <c r="V38" s="158">
        <v>79.702799999999996</v>
      </c>
      <c r="W38" s="158">
        <v>73.918199999999999</v>
      </c>
      <c r="X38" s="158">
        <v>74.721199999999996</v>
      </c>
      <c r="Y38" s="158">
        <v>68.208799999999997</v>
      </c>
      <c r="Z38" s="158">
        <v>65.323599999999999</v>
      </c>
      <c r="AA38" s="158">
        <v>71.3095</v>
      </c>
      <c r="AB38" s="158">
        <v>63.757599999999996</v>
      </c>
      <c r="AC38" s="158">
        <v>57.097439999999999</v>
      </c>
      <c r="AD38" s="158"/>
      <c r="AE38" s="158"/>
      <c r="AF38" s="158"/>
      <c r="AG38" s="158"/>
      <c r="AH38" s="158"/>
      <c r="AI38" s="158"/>
    </row>
    <row r="39" spans="1:40">
      <c r="A39" s="10" t="s">
        <v>27</v>
      </c>
      <c r="B39" s="158">
        <v>5.819</v>
      </c>
      <c r="C39" s="158">
        <v>5.798</v>
      </c>
      <c r="D39" s="158">
        <v>5.7869999999999999</v>
      </c>
      <c r="E39" s="158">
        <v>5.6710000000000003</v>
      </c>
      <c r="F39" s="158">
        <v>5.2030000000000003</v>
      </c>
      <c r="G39" s="158">
        <v>5.2309999999999999</v>
      </c>
      <c r="H39" s="158">
        <v>5.0129999999999999</v>
      </c>
      <c r="I39" s="158">
        <v>4.97</v>
      </c>
      <c r="J39" s="158">
        <v>4.9080000000000004</v>
      </c>
      <c r="K39" s="158">
        <v>4.0189000000000004</v>
      </c>
      <c r="L39" s="158">
        <v>3.7481</v>
      </c>
      <c r="M39" s="158">
        <v>3.3263000000000003</v>
      </c>
      <c r="N39" s="158">
        <v>2.4043000000000001</v>
      </c>
      <c r="O39" s="158">
        <v>2.1978</v>
      </c>
      <c r="P39" s="158">
        <v>1.992</v>
      </c>
      <c r="Q39" s="158">
        <v>1.8371999999999999</v>
      </c>
      <c r="R39" s="158">
        <v>1.6137999999999999</v>
      </c>
      <c r="S39" s="158">
        <v>1.4601</v>
      </c>
      <c r="T39" s="158">
        <v>1.4472</v>
      </c>
      <c r="U39" s="158">
        <v>1.3933</v>
      </c>
      <c r="V39" s="158">
        <v>1.3432999999999999</v>
      </c>
      <c r="W39" s="158">
        <v>1.3382000000000001</v>
      </c>
      <c r="X39" s="158">
        <v>1.3519000000000001</v>
      </c>
      <c r="Y39" s="158">
        <v>1.25</v>
      </c>
      <c r="Z39" s="158">
        <v>1.2574000000000001</v>
      </c>
      <c r="AA39" s="158">
        <v>1.1821999999999999</v>
      </c>
      <c r="AB39" s="158">
        <v>1.0463</v>
      </c>
      <c r="AC39" s="158">
        <v>0.88890000000000002</v>
      </c>
      <c r="AD39" s="158"/>
      <c r="AE39" s="158"/>
      <c r="AF39" s="158"/>
      <c r="AG39" s="158"/>
      <c r="AH39" s="158"/>
      <c r="AI39" s="158"/>
    </row>
    <row r="40" spans="1:40">
      <c r="A40" s="10" t="s">
        <v>28</v>
      </c>
      <c r="B40" s="158">
        <v>9.7200000000000006</v>
      </c>
      <c r="C40" s="158">
        <v>9.3460000000000001</v>
      </c>
      <c r="D40" s="158">
        <v>9.18</v>
      </c>
      <c r="E40" s="158">
        <v>10.023999999999999</v>
      </c>
      <c r="F40" s="158">
        <v>9.5340000000000007</v>
      </c>
      <c r="H40" s="158">
        <v>9.5359999999999996</v>
      </c>
      <c r="I40" s="158">
        <v>8.4740000000000002</v>
      </c>
      <c r="J40" s="158">
        <v>7.3639999999999999</v>
      </c>
      <c r="K40" s="158">
        <v>6.7018999999999993</v>
      </c>
      <c r="L40" s="158">
        <v>6.0682999999999998</v>
      </c>
      <c r="M40" s="158">
        <v>5.2839</v>
      </c>
      <c r="N40" s="158">
        <v>4.5496999999999996</v>
      </c>
      <c r="O40" s="158">
        <v>4.8663999999999996</v>
      </c>
      <c r="P40" s="158">
        <v>4.6783999999999999</v>
      </c>
      <c r="Q40" s="158">
        <v>3.8795999999999999</v>
      </c>
      <c r="R40" s="158">
        <v>3.7860999999999998</v>
      </c>
      <c r="S40" s="158">
        <v>4.0183</v>
      </c>
      <c r="T40" s="158">
        <v>5.3045999999999998</v>
      </c>
      <c r="U40" s="158">
        <v>5.1246</v>
      </c>
      <c r="V40" s="158">
        <v>5.234</v>
      </c>
      <c r="W40" s="158">
        <v>5.0369999999999999</v>
      </c>
      <c r="X40" s="158">
        <v>5.1245000000000003</v>
      </c>
      <c r="Y40" s="158">
        <v>5.2858999999999998</v>
      </c>
      <c r="Z40" s="158">
        <v>5.1155999999999997</v>
      </c>
      <c r="AA40" s="158">
        <v>5.3564999999999996</v>
      </c>
      <c r="AB40" s="158">
        <v>4.8055000000000003</v>
      </c>
      <c r="AC40" s="158">
        <v>5.0885999999999996</v>
      </c>
      <c r="AD40" s="158"/>
      <c r="AE40" s="158"/>
      <c r="AF40" s="158"/>
      <c r="AG40" s="158"/>
      <c r="AH40" s="158"/>
      <c r="AI40" s="158"/>
    </row>
    <row r="41" spans="1:40">
      <c r="A41" s="10" t="s">
        <v>351</v>
      </c>
      <c r="B41" s="158"/>
      <c r="C41" s="158"/>
      <c r="D41" s="158"/>
      <c r="E41" s="158"/>
      <c r="F41" s="158"/>
      <c r="H41" s="158"/>
      <c r="I41" s="158"/>
      <c r="J41" s="158"/>
      <c r="K41" s="158"/>
      <c r="L41" s="158"/>
      <c r="M41" s="158"/>
      <c r="N41" s="158"/>
      <c r="O41" s="158"/>
      <c r="P41" s="158"/>
      <c r="Q41" s="158"/>
      <c r="R41" s="158"/>
      <c r="S41" s="158"/>
      <c r="T41" s="158"/>
      <c r="U41" s="158"/>
      <c r="V41" s="158"/>
      <c r="W41" s="158"/>
      <c r="X41" s="158">
        <v>4.0000000000000002E-4</v>
      </c>
      <c r="Y41" s="158">
        <v>4.0000000000000002E-4</v>
      </c>
      <c r="Z41" s="158">
        <v>2.9999999999999997E-4</v>
      </c>
      <c r="AA41" s="158">
        <v>2.0000000000000001E-4</v>
      </c>
      <c r="AB41" s="158">
        <f>0.1/1000</f>
        <v>1E-4</v>
      </c>
      <c r="AC41" s="158">
        <v>2.5999999999999999E-3</v>
      </c>
      <c r="AD41" s="158"/>
      <c r="AE41" s="158"/>
      <c r="AF41" s="158"/>
      <c r="AG41" s="158"/>
      <c r="AH41" s="158"/>
      <c r="AI41" s="158"/>
    </row>
    <row r="42" spans="1:40">
      <c r="A42" s="11" t="s">
        <v>9</v>
      </c>
      <c r="B42" s="576">
        <f t="shared" ref="B42:U42" si="20">B27+B35</f>
        <v>188.90199999999999</v>
      </c>
      <c r="C42" s="576">
        <f t="shared" si="20"/>
        <v>195.33199999999999</v>
      </c>
      <c r="D42" s="576">
        <f t="shared" si="20"/>
        <v>196.42499999999998</v>
      </c>
      <c r="E42" s="128">
        <f t="shared" si="20"/>
        <v>207.33499999999998</v>
      </c>
      <c r="F42" s="128">
        <f t="shared" si="20"/>
        <v>206.49600000000001</v>
      </c>
      <c r="G42" s="128">
        <f t="shared" si="20"/>
        <v>208.214</v>
      </c>
      <c r="H42" s="128">
        <f t="shared" si="20"/>
        <v>229.20100000000002</v>
      </c>
      <c r="I42" s="128">
        <f t="shared" si="20"/>
        <v>232.858</v>
      </c>
      <c r="J42" s="128">
        <f t="shared" si="20"/>
        <v>239.80899999999997</v>
      </c>
      <c r="K42" s="128">
        <f t="shared" si="20"/>
        <v>249.1765</v>
      </c>
      <c r="L42" s="128">
        <f t="shared" si="20"/>
        <v>253.03449999999998</v>
      </c>
      <c r="M42" s="128">
        <f t="shared" si="20"/>
        <v>249.26419999999996</v>
      </c>
      <c r="N42" s="128">
        <f t="shared" si="20"/>
        <v>215.50490000000002</v>
      </c>
      <c r="O42" s="128">
        <f t="shared" si="20"/>
        <v>220.23580000000001</v>
      </c>
      <c r="P42" s="128">
        <f t="shared" si="20"/>
        <v>217.71070000000003</v>
      </c>
      <c r="Q42" s="128">
        <f t="shared" si="20"/>
        <v>206.60599999999999</v>
      </c>
      <c r="R42" s="128">
        <f t="shared" si="20"/>
        <v>182.68289999999999</v>
      </c>
      <c r="S42" s="128">
        <f t="shared" si="20"/>
        <v>166.44460000000001</v>
      </c>
      <c r="T42" s="128">
        <f t="shared" si="20"/>
        <v>185.41949999999997</v>
      </c>
      <c r="U42" s="128">
        <f t="shared" si="20"/>
        <v>190.12099999999998</v>
      </c>
      <c r="V42" s="128">
        <f t="shared" ref="V42:AC42" si="21">V27+V35</f>
        <v>199.72230000000002</v>
      </c>
      <c r="W42" s="128">
        <f t="shared" si="21"/>
        <v>183.8031</v>
      </c>
      <c r="X42" s="128">
        <f t="shared" si="21"/>
        <v>186.74760000000001</v>
      </c>
      <c r="Y42" s="128">
        <f t="shared" si="21"/>
        <v>173.46429999999998</v>
      </c>
      <c r="Z42" s="128">
        <f t="shared" si="21"/>
        <v>181.71809999999999</v>
      </c>
      <c r="AA42" s="128">
        <f t="shared" si="21"/>
        <v>190.6583</v>
      </c>
      <c r="AB42" s="128">
        <f t="shared" si="21"/>
        <v>155.62279999999998</v>
      </c>
      <c r="AC42" s="128">
        <f t="shared" si="21"/>
        <v>145.80119999999999</v>
      </c>
      <c r="AD42" s="157">
        <f t="shared" ref="AD42:AI42" si="22">AC42/AC21*AD21</f>
        <v>153.34501385245534</v>
      </c>
      <c r="AE42" s="157">
        <f t="shared" si="22"/>
        <v>149.58372836398684</v>
      </c>
      <c r="AF42" s="157">
        <f t="shared" si="22"/>
        <v>135.59454442308044</v>
      </c>
      <c r="AG42" s="157">
        <f t="shared" si="22"/>
        <v>120.98216641584335</v>
      </c>
      <c r="AH42" s="157">
        <f t="shared" si="22"/>
        <v>108.04735986038182</v>
      </c>
      <c r="AI42" s="157">
        <f t="shared" si="22"/>
        <v>95.112553304920269</v>
      </c>
    </row>
    <row r="44" spans="1:40">
      <c r="B44" s="129"/>
    </row>
    <row r="45" spans="1:40" ht="15.5">
      <c r="A45" s="1" t="s">
        <v>153</v>
      </c>
    </row>
    <row r="46" spans="1:40">
      <c r="A46" s="1115" t="s">
        <v>150</v>
      </c>
      <c r="B46" s="139">
        <v>1997</v>
      </c>
      <c r="C46" s="139">
        <v>1998</v>
      </c>
      <c r="D46" s="139">
        <v>1999</v>
      </c>
      <c r="E46" s="139">
        <v>2000</v>
      </c>
      <c r="F46" s="139">
        <v>2001</v>
      </c>
      <c r="G46" s="139">
        <v>2002</v>
      </c>
      <c r="H46" s="139">
        <v>2003</v>
      </c>
      <c r="I46" s="139">
        <v>2004</v>
      </c>
      <c r="J46" s="139">
        <v>2005</v>
      </c>
      <c r="K46" s="139">
        <v>2006</v>
      </c>
      <c r="L46" s="139">
        <v>2007</v>
      </c>
      <c r="M46" s="139">
        <v>2008</v>
      </c>
      <c r="N46" s="139">
        <v>2009</v>
      </c>
      <c r="O46" s="139">
        <v>2010</v>
      </c>
      <c r="P46" s="139">
        <v>2011</v>
      </c>
      <c r="Q46" s="139">
        <v>2012</v>
      </c>
      <c r="R46" s="139">
        <v>2013</v>
      </c>
      <c r="S46" s="139">
        <v>2014</v>
      </c>
      <c r="T46" s="139">
        <v>2015</v>
      </c>
      <c r="U46" s="9">
        <v>2016</v>
      </c>
      <c r="V46" s="9">
        <v>2017</v>
      </c>
      <c r="W46" s="9">
        <v>2018</v>
      </c>
      <c r="X46" s="9">
        <v>2019</v>
      </c>
      <c r="Y46" s="9">
        <v>2020</v>
      </c>
      <c r="Z46" s="9">
        <v>2021</v>
      </c>
      <c r="AA46" s="9">
        <v>2022</v>
      </c>
      <c r="AB46" s="9">
        <v>2023</v>
      </c>
      <c r="AC46" s="9">
        <f>AB46+1</f>
        <v>2024</v>
      </c>
      <c r="AD46" s="9">
        <f t="shared" ref="AD46:AI46" si="23">AC46+1</f>
        <v>2025</v>
      </c>
      <c r="AE46" s="9">
        <f t="shared" si="23"/>
        <v>2026</v>
      </c>
      <c r="AF46" s="9">
        <f t="shared" si="23"/>
        <v>2027</v>
      </c>
      <c r="AG46" s="9">
        <f t="shared" si="23"/>
        <v>2028</v>
      </c>
      <c r="AH46" s="9">
        <f t="shared" si="23"/>
        <v>2029</v>
      </c>
      <c r="AI46" s="9">
        <f t="shared" si="23"/>
        <v>2030</v>
      </c>
      <c r="AL46" s="176">
        <v>2005</v>
      </c>
      <c r="AM46" s="176">
        <v>2010</v>
      </c>
      <c r="AN46" s="176">
        <v>2015</v>
      </c>
    </row>
    <row r="47" spans="1:40">
      <c r="A47" s="1115"/>
      <c r="B47" s="393" t="s">
        <v>148</v>
      </c>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row>
    <row r="48" spans="1:40">
      <c r="A48" s="277" t="s">
        <v>16</v>
      </c>
      <c r="B48" s="140" t="s">
        <v>149</v>
      </c>
      <c r="C48" s="140" t="s">
        <v>149</v>
      </c>
      <c r="D48" s="140" t="s">
        <v>149</v>
      </c>
      <c r="E48" s="141">
        <v>44.118000000000002</v>
      </c>
      <c r="F48" s="140" t="s">
        <v>149</v>
      </c>
      <c r="G48" s="140" t="s">
        <v>149</v>
      </c>
      <c r="H48" s="140" t="s">
        <v>149</v>
      </c>
      <c r="I48" s="140" t="s">
        <v>149</v>
      </c>
      <c r="J48" s="141">
        <v>46.348999999999997</v>
      </c>
      <c r="K48" s="141">
        <v>48.863</v>
      </c>
      <c r="L48" s="141">
        <v>51.848999999999997</v>
      </c>
      <c r="M48" s="141">
        <v>54.497</v>
      </c>
      <c r="N48" s="141">
        <v>52.261000000000003</v>
      </c>
      <c r="O48" s="141">
        <v>53.965000000000003</v>
      </c>
      <c r="P48" s="141">
        <v>55.862000000000002</v>
      </c>
      <c r="Q48" s="141">
        <f t="shared" ref="Q48:V48" si="24">(SUM(Q49:Q55))</f>
        <v>57.064900000000002</v>
      </c>
      <c r="R48" s="141">
        <f t="shared" si="24"/>
        <v>55.301900000000003</v>
      </c>
      <c r="S48" s="141">
        <f t="shared" si="24"/>
        <v>51.501599999999996</v>
      </c>
      <c r="T48" s="141">
        <f t="shared" si="24"/>
        <v>42.029799999999987</v>
      </c>
      <c r="U48" s="141">
        <f t="shared" si="24"/>
        <v>38.687399999999997</v>
      </c>
      <c r="V48" s="141">
        <f t="shared" si="24"/>
        <v>37.882599999999996</v>
      </c>
      <c r="W48" s="141">
        <f t="shared" ref="W48:AC48" si="25">(SUM(W49:W56))</f>
        <v>37.868299999999991</v>
      </c>
      <c r="X48" s="141">
        <f t="shared" si="25"/>
        <v>37.812099999999994</v>
      </c>
      <c r="Y48" s="507">
        <f t="shared" si="25"/>
        <v>36.295100000000005</v>
      </c>
      <c r="Z48" s="507">
        <f t="shared" si="25"/>
        <v>35.798500000000004</v>
      </c>
      <c r="AA48" s="507">
        <f t="shared" si="25"/>
        <v>35.810800000000008</v>
      </c>
      <c r="AB48" s="507">
        <f t="shared" si="25"/>
        <v>36.396799999999999</v>
      </c>
      <c r="AC48" s="507">
        <f t="shared" si="25"/>
        <v>35.419299999999993</v>
      </c>
      <c r="AD48" s="507">
        <f t="shared" ref="AD48:AI48" si="26">(SUM(AD49:AD56))</f>
        <v>0</v>
      </c>
      <c r="AE48" s="507">
        <f t="shared" si="26"/>
        <v>0</v>
      </c>
      <c r="AF48" s="507">
        <f t="shared" si="26"/>
        <v>0</v>
      </c>
      <c r="AG48" s="507">
        <f t="shared" si="26"/>
        <v>0</v>
      </c>
      <c r="AH48" s="507">
        <f t="shared" si="26"/>
        <v>0</v>
      </c>
      <c r="AI48" s="507">
        <f t="shared" si="26"/>
        <v>0</v>
      </c>
      <c r="AJ48" s="56">
        <f>AC48/Q48-1</f>
        <v>-0.37931548114515246</v>
      </c>
      <c r="AL48" s="134">
        <f>J6/(J48/1000)/8760</f>
        <v>0.38799091388336127</v>
      </c>
      <c r="AM48" s="134">
        <f>O6/(O48/1000)/8760</f>
        <v>0.25173427559804312</v>
      </c>
      <c r="AN48" s="134">
        <f>T6/(T48/1000)/8760</f>
        <v>0.25961113566062749</v>
      </c>
    </row>
    <row r="49" spans="1:40">
      <c r="A49" s="142" t="s">
        <v>17</v>
      </c>
      <c r="B49" s="143" t="s">
        <v>149</v>
      </c>
      <c r="C49" s="143" t="s">
        <v>149</v>
      </c>
      <c r="D49" s="143" t="s">
        <v>149</v>
      </c>
      <c r="E49" s="144">
        <v>0.41899999999999998</v>
      </c>
      <c r="F49" s="143" t="s">
        <v>149</v>
      </c>
      <c r="G49" s="143" t="s">
        <v>149</v>
      </c>
      <c r="H49" s="143" t="s">
        <v>149</v>
      </c>
      <c r="I49" s="143" t="s">
        <v>149</v>
      </c>
      <c r="J49" s="144">
        <v>0.504</v>
      </c>
      <c r="K49" s="144">
        <v>0.52800000000000002</v>
      </c>
      <c r="L49" s="144">
        <v>0.55900000000000005</v>
      </c>
      <c r="M49" s="144">
        <v>0.63</v>
      </c>
      <c r="N49" s="144">
        <v>0.72299999999999998</v>
      </c>
      <c r="O49" s="144">
        <v>0.89100000000000001</v>
      </c>
      <c r="P49" s="144">
        <v>1.0515999999999999</v>
      </c>
      <c r="Q49" s="144">
        <v>1.3879999999999999</v>
      </c>
      <c r="R49" s="144">
        <v>1.3888</v>
      </c>
      <c r="S49" s="144">
        <v>1.3180000000000001</v>
      </c>
      <c r="T49" s="144">
        <v>1.2370000000000001</v>
      </c>
      <c r="U49" s="144">
        <v>1.2364999999999999</v>
      </c>
      <c r="V49" s="144">
        <v>1.2402</v>
      </c>
      <c r="W49" s="144">
        <v>1.224</v>
      </c>
      <c r="X49" s="144">
        <v>1.2035</v>
      </c>
      <c r="Y49" s="508">
        <v>1.1915</v>
      </c>
      <c r="Z49" s="508">
        <f>lorda!T7</f>
        <v>1.1418999999999999</v>
      </c>
      <c r="AA49" s="508">
        <f>lorda!U7</f>
        <v>1.2854000000000001</v>
      </c>
      <c r="AB49" s="508">
        <f>lorda!V7</f>
        <v>1.5024</v>
      </c>
      <c r="AC49" s="508">
        <f>lorda!W7</f>
        <v>1.6067</v>
      </c>
      <c r="AD49" s="586"/>
      <c r="AE49" s="586"/>
      <c r="AF49" s="586"/>
      <c r="AG49" s="586"/>
      <c r="AH49" s="586"/>
      <c r="AI49" s="586"/>
      <c r="AL49" s="134">
        <f>J7/(J49/1000)/8760</f>
        <v>0.36307711821410454</v>
      </c>
      <c r="AM49" s="134">
        <f>O7/(O49/1000)/8760</f>
        <v>0.39039558445951145</v>
      </c>
      <c r="AN49" s="134">
        <f>T7/(T49/1000)/8760</f>
        <v>0.45866970834579163</v>
      </c>
    </row>
    <row r="50" spans="1:40">
      <c r="A50" s="142" t="s">
        <v>18</v>
      </c>
      <c r="B50" s="143" t="s">
        <v>149</v>
      </c>
      <c r="C50" s="143" t="s">
        <v>149</v>
      </c>
      <c r="D50" s="143" t="s">
        <v>149</v>
      </c>
      <c r="E50" s="144">
        <v>4.4829999999999997</v>
      </c>
      <c r="F50" s="143" t="s">
        <v>149</v>
      </c>
      <c r="G50" s="143" t="s">
        <v>149</v>
      </c>
      <c r="H50" s="143" t="s">
        <v>149</v>
      </c>
      <c r="I50" s="143" t="s">
        <v>149</v>
      </c>
      <c r="J50" s="144">
        <v>2.98</v>
      </c>
      <c r="K50" s="144">
        <v>2.968</v>
      </c>
      <c r="L50" s="144">
        <v>2.9790000000000001</v>
      </c>
      <c r="M50" s="144">
        <v>3.0990000000000002</v>
      </c>
      <c r="N50" s="144">
        <v>2.5019999999999998</v>
      </c>
      <c r="O50" s="144">
        <v>2.5169999999999999</v>
      </c>
      <c r="P50" s="144">
        <v>2.5489999999999999</v>
      </c>
      <c r="Q50" s="144">
        <v>2.5464000000000002</v>
      </c>
      <c r="R50" s="144">
        <v>2.0970999999999997</v>
      </c>
      <c r="S50" s="144">
        <v>1.5161</v>
      </c>
      <c r="T50" s="144">
        <v>2.1242999999999999</v>
      </c>
      <c r="U50" s="144">
        <v>2.7189999999999999</v>
      </c>
      <c r="V50" s="144">
        <v>2.7187000000000001</v>
      </c>
      <c r="W50" s="144">
        <v>2.7185999999999999</v>
      </c>
      <c r="X50" s="144">
        <v>2.7061000000000002</v>
      </c>
      <c r="Y50" s="508">
        <v>2.3544999999999998</v>
      </c>
      <c r="Z50" s="508">
        <f>lorda!T8</f>
        <v>2.3544999999999998</v>
      </c>
      <c r="AA50" s="508">
        <f>lorda!U8</f>
        <v>2.363</v>
      </c>
      <c r="AB50" s="508">
        <f>lorda!V8</f>
        <v>2.6154999999999999</v>
      </c>
      <c r="AC50" s="508">
        <f>lorda!W8</f>
        <v>2.2927</v>
      </c>
      <c r="AD50" s="586"/>
      <c r="AE50" s="586"/>
      <c r="AF50" s="586"/>
      <c r="AG50" s="586"/>
      <c r="AH50" s="586"/>
      <c r="AI50" s="586"/>
      <c r="AL50" s="134">
        <f>J8/(J50/1000)/8760</f>
        <v>3.279090435475468E-2</v>
      </c>
      <c r="AM50" s="134">
        <f>O8/(O50/1000)/8760</f>
        <v>1.6182198493168827E-2</v>
      </c>
      <c r="AN50" s="134">
        <f>T8/(T50/1000)/8760</f>
        <v>0.19094122221727836</v>
      </c>
    </row>
    <row r="51" spans="1:40">
      <c r="A51" s="142" t="s">
        <v>19</v>
      </c>
      <c r="B51" s="143" t="s">
        <v>149</v>
      </c>
      <c r="C51" s="143" t="s">
        <v>149</v>
      </c>
      <c r="D51" s="143" t="s">
        <v>149</v>
      </c>
      <c r="E51" s="144">
        <v>37.54</v>
      </c>
      <c r="F51" s="143" t="s">
        <v>149</v>
      </c>
      <c r="G51" s="143" t="s">
        <v>149</v>
      </c>
      <c r="H51" s="143" t="s">
        <v>149</v>
      </c>
      <c r="I51" s="143" t="s">
        <v>149</v>
      </c>
      <c r="J51" s="144">
        <v>24.084</v>
      </c>
      <c r="K51" s="144">
        <v>23.736000000000001</v>
      </c>
      <c r="L51" s="144">
        <v>23.288</v>
      </c>
      <c r="M51" s="144">
        <v>23.353999999999999</v>
      </c>
      <c r="N51" s="144">
        <v>21.884</v>
      </c>
      <c r="O51" s="144">
        <v>21.803000000000001</v>
      </c>
      <c r="P51" s="144">
        <v>21.556999999999999</v>
      </c>
      <c r="Q51" s="144">
        <v>21.555199999999999</v>
      </c>
      <c r="R51" s="144">
        <v>20.949200000000001</v>
      </c>
      <c r="S51" s="144">
        <v>17.873799999999999</v>
      </c>
      <c r="T51" s="144">
        <v>13.478999999999999</v>
      </c>
      <c r="U51" s="144">
        <v>12.5648</v>
      </c>
      <c r="V51" s="144">
        <v>11.7476</v>
      </c>
      <c r="W51" s="144">
        <v>11.748200000000001</v>
      </c>
      <c r="X51" s="144">
        <v>11.7067</v>
      </c>
      <c r="Y51" s="508">
        <v>10.546799999999999</v>
      </c>
      <c r="Z51" s="508">
        <f>lorda!T9</f>
        <v>9.9123999999999999</v>
      </c>
      <c r="AA51" s="508">
        <f>lorda!U9</f>
        <v>9.1585000000000001</v>
      </c>
      <c r="AB51" s="508">
        <f>lorda!V9</f>
        <v>9.1479999999999997</v>
      </c>
      <c r="AC51" s="508">
        <f>lorda!W9</f>
        <v>7.4996499999999999</v>
      </c>
      <c r="AD51" s="586"/>
      <c r="AE51" s="586"/>
      <c r="AF51" s="586"/>
      <c r="AG51" s="586"/>
      <c r="AH51" s="586"/>
      <c r="AI51" s="586"/>
      <c r="AL51" s="134">
        <f>J9/(J51/1000)/8760</f>
        <v>0.37090028886719917</v>
      </c>
      <c r="AM51" s="134">
        <f>O9/(O51/1000)/8760</f>
        <v>0.27288356489000615</v>
      </c>
      <c r="AN51" s="134">
        <f>T9/(T51/1000)/8760</f>
        <v>0.43196062469574692</v>
      </c>
    </row>
    <row r="52" spans="1:40">
      <c r="A52" s="142" t="s">
        <v>20</v>
      </c>
      <c r="B52" s="143" t="s">
        <v>149</v>
      </c>
      <c r="C52" s="143" t="s">
        <v>149</v>
      </c>
      <c r="D52" s="143" t="s">
        <v>149</v>
      </c>
      <c r="E52" s="144">
        <v>1.601</v>
      </c>
      <c r="F52" s="143" t="s">
        <v>149</v>
      </c>
      <c r="G52" s="143" t="s">
        <v>149</v>
      </c>
      <c r="H52" s="143" t="s">
        <v>149</v>
      </c>
      <c r="I52" s="143" t="s">
        <v>149</v>
      </c>
      <c r="J52" s="144">
        <v>12.782999999999999</v>
      </c>
      <c r="K52" s="144">
        <v>15.555999999999999</v>
      </c>
      <c r="L52" s="144">
        <v>18.940000000000001</v>
      </c>
      <c r="M52" s="144">
        <v>21.768999999999998</v>
      </c>
      <c r="N52" s="144">
        <v>21.504000000000001</v>
      </c>
      <c r="O52" s="144">
        <v>23.106999999999999</v>
      </c>
      <c r="P52" s="144">
        <v>25.065000000000001</v>
      </c>
      <c r="Q52" s="144">
        <v>25.9343</v>
      </c>
      <c r="R52" s="144">
        <v>25.2196</v>
      </c>
      <c r="S52" s="144">
        <v>25.131399999999999</v>
      </c>
      <c r="T52" s="144">
        <v>22.611999999999998</v>
      </c>
      <c r="U52" s="144">
        <v>21.821200000000001</v>
      </c>
      <c r="V52" s="144">
        <v>21.823899999999998</v>
      </c>
      <c r="W52" s="144">
        <v>21.823899999999998</v>
      </c>
      <c r="X52" s="144">
        <v>21.823899999999998</v>
      </c>
      <c r="Y52" s="508">
        <v>21.8965</v>
      </c>
      <c r="Z52" s="508">
        <f>lorda!T10</f>
        <v>22.080100000000002</v>
      </c>
      <c r="AA52" s="508">
        <f>lorda!U10</f>
        <v>22.693200000000001</v>
      </c>
      <c r="AB52" s="508">
        <f>lorda!V10</f>
        <v>22.8215</v>
      </c>
      <c r="AC52" s="508">
        <f>lorda!W10</f>
        <v>23.710850000000001</v>
      </c>
      <c r="AD52" s="586"/>
      <c r="AE52" s="586"/>
      <c r="AF52" s="586"/>
      <c r="AG52" s="586"/>
      <c r="AH52" s="586"/>
      <c r="AI52" s="586"/>
      <c r="AL52" s="134">
        <f>J10/(J52/1000)/8760</f>
        <v>0.5242229173520625</v>
      </c>
      <c r="AM52" s="134">
        <f>O10/(O52/1000)/8760</f>
        <v>0.30910546587614146</v>
      </c>
      <c r="AN52" s="134">
        <f>T10/(T52/1000)/8760</f>
        <v>0.18200926973757017</v>
      </c>
    </row>
    <row r="53" spans="1:40">
      <c r="A53" s="142" t="s">
        <v>22</v>
      </c>
      <c r="B53" s="143" t="s">
        <v>149</v>
      </c>
      <c r="C53" s="143" t="s">
        <v>149</v>
      </c>
      <c r="D53" s="143" t="s">
        <v>149</v>
      </c>
      <c r="E53" s="145">
        <v>0</v>
      </c>
      <c r="F53" s="143" t="s">
        <v>149</v>
      </c>
      <c r="G53" s="143" t="s">
        <v>149</v>
      </c>
      <c r="H53" s="143" t="s">
        <v>149</v>
      </c>
      <c r="I53" s="143" t="s">
        <v>149</v>
      </c>
      <c r="J53" s="144">
        <v>5.758</v>
      </c>
      <c r="K53" s="144">
        <v>5.758</v>
      </c>
      <c r="L53" s="144">
        <v>5.758</v>
      </c>
      <c r="M53" s="144">
        <v>5.3179999999999996</v>
      </c>
      <c r="N53" s="144">
        <v>5.3179999999999996</v>
      </c>
      <c r="O53" s="144">
        <v>5.3179999999999996</v>
      </c>
      <c r="P53" s="144">
        <v>5.3179999999999996</v>
      </c>
      <c r="Q53" s="144">
        <v>5.3176000000000005</v>
      </c>
      <c r="R53" s="144">
        <v>5.3176000000000005</v>
      </c>
      <c r="S53" s="144">
        <v>5.3175999999999997</v>
      </c>
      <c r="T53" s="144">
        <v>2.2444000000000002</v>
      </c>
      <c r="U53" s="144"/>
      <c r="V53" s="144">
        <v>0</v>
      </c>
      <c r="W53" s="144"/>
      <c r="X53" s="144"/>
      <c r="Y53" s="508"/>
      <c r="Z53" s="508">
        <f>lorda!T11</f>
        <v>0</v>
      </c>
      <c r="AA53" s="508">
        <f>lorda!U11</f>
        <v>0</v>
      </c>
      <c r="AB53" s="508">
        <f>lorda!V11</f>
        <v>0</v>
      </c>
      <c r="AC53" s="508">
        <f>lorda!W11</f>
        <v>0</v>
      </c>
      <c r="AD53" s="586"/>
      <c r="AE53" s="586"/>
      <c r="AF53" s="586"/>
      <c r="AG53" s="586"/>
      <c r="AH53" s="586"/>
      <c r="AI53" s="586"/>
      <c r="AL53" s="134">
        <f>J11/(SUM(J53:J55)/1000)/8760</f>
        <v>0.34484478083257586</v>
      </c>
      <c r="AM53" s="134">
        <f>O11/(SUM(O53:O55)/1000)/8760</f>
        <v>1.8428958567788169E-2</v>
      </c>
      <c r="AN53" s="134">
        <f>T11/(SUM(T53:T55)/1000)/8760</f>
        <v>1.6386980765227714E-4</v>
      </c>
    </row>
    <row r="54" spans="1:40">
      <c r="A54" s="142" t="s">
        <v>151</v>
      </c>
      <c r="B54" s="143" t="s">
        <v>149</v>
      </c>
      <c r="C54" s="143" t="s">
        <v>149</v>
      </c>
      <c r="D54" s="143" t="s">
        <v>149</v>
      </c>
      <c r="E54" s="144">
        <v>7.5999999999999998E-2</v>
      </c>
      <c r="F54" s="143" t="s">
        <v>149</v>
      </c>
      <c r="G54" s="143" t="s">
        <v>149</v>
      </c>
      <c r="H54" s="143" t="s">
        <v>149</v>
      </c>
      <c r="I54" s="143" t="s">
        <v>149</v>
      </c>
      <c r="J54" s="144">
        <v>0.14399999999999999</v>
      </c>
      <c r="K54" s="144">
        <v>0.14199999999999999</v>
      </c>
      <c r="L54" s="144">
        <v>0.151</v>
      </c>
      <c r="M54" s="144">
        <v>0.152</v>
      </c>
      <c r="N54" s="144">
        <v>0.151</v>
      </c>
      <c r="O54" s="144">
        <v>0.151</v>
      </c>
      <c r="P54" s="144">
        <v>0.14199999999999999</v>
      </c>
      <c r="Q54" s="144">
        <v>0.14299999999999999</v>
      </c>
      <c r="R54" s="144">
        <v>0.15230000000000002</v>
      </c>
      <c r="S54" s="144">
        <v>0.1663</v>
      </c>
      <c r="T54" s="144">
        <v>0.1641</v>
      </c>
      <c r="U54" s="144">
        <v>0.16470000000000001</v>
      </c>
      <c r="V54" s="144">
        <v>0.17100000000000001</v>
      </c>
      <c r="W54" s="144">
        <v>0.17219999999999999</v>
      </c>
      <c r="X54" s="144">
        <v>0.1832</v>
      </c>
      <c r="Y54" s="508">
        <v>0.18329999999999999</v>
      </c>
      <c r="Z54" s="508">
        <f>lorda!T12</f>
        <v>0.18709999999999999</v>
      </c>
      <c r="AA54" s="508">
        <f>lorda!U12</f>
        <v>0.1883</v>
      </c>
      <c r="AB54" s="508">
        <f>lorda!V12</f>
        <v>0.18720000000000001</v>
      </c>
      <c r="AC54" s="508">
        <f>lorda!W12</f>
        <v>0.18720000000000001</v>
      </c>
      <c r="AD54" s="586"/>
      <c r="AE54" s="586"/>
      <c r="AF54" s="586"/>
      <c r="AG54" s="586"/>
      <c r="AH54" s="586"/>
      <c r="AI54" s="586"/>
      <c r="AL54" s="170"/>
    </row>
    <row r="55" spans="1:40">
      <c r="A55" s="142" t="s">
        <v>152</v>
      </c>
      <c r="B55" s="143" t="s">
        <v>149</v>
      </c>
      <c r="C55" s="143" t="s">
        <v>149</v>
      </c>
      <c r="D55" s="143" t="s">
        <v>149</v>
      </c>
      <c r="E55" s="145">
        <v>0</v>
      </c>
      <c r="F55" s="143" t="s">
        <v>149</v>
      </c>
      <c r="G55" s="143" t="s">
        <v>149</v>
      </c>
      <c r="H55" s="143" t="s">
        <v>149</v>
      </c>
      <c r="I55" s="143" t="s">
        <v>149</v>
      </c>
      <c r="J55" s="144">
        <v>9.6000000000000002E-2</v>
      </c>
      <c r="K55" s="144">
        <v>0.17399999999999999</v>
      </c>
      <c r="L55" s="144">
        <v>0.17399999999999999</v>
      </c>
      <c r="M55" s="144">
        <v>0.17399999999999999</v>
      </c>
      <c r="N55" s="144">
        <v>0.18099999999999999</v>
      </c>
      <c r="O55" s="144">
        <v>0.17899999999999999</v>
      </c>
      <c r="P55" s="144">
        <v>0.18</v>
      </c>
      <c r="Q55" s="144">
        <v>0.1804</v>
      </c>
      <c r="R55" s="144">
        <v>0.17730000000000001</v>
      </c>
      <c r="S55" s="144">
        <v>0.1784</v>
      </c>
      <c r="T55" s="144">
        <v>0.16900000000000001</v>
      </c>
      <c r="U55" s="144">
        <v>0.1812</v>
      </c>
      <c r="V55" s="144">
        <v>0.1812</v>
      </c>
      <c r="W55" s="144">
        <v>0.1812</v>
      </c>
      <c r="X55" s="144">
        <v>0.1885</v>
      </c>
      <c r="Y55" s="508">
        <v>0.12230000000000001</v>
      </c>
      <c r="Z55" s="508">
        <f>lorda!T13</f>
        <v>0.12230000000000001</v>
      </c>
      <c r="AA55" s="508">
        <f>lorda!U13</f>
        <v>0.12230000000000001</v>
      </c>
      <c r="AB55" s="508">
        <f>lorda!V13</f>
        <v>0.1211</v>
      </c>
      <c r="AC55" s="508">
        <f>lorda!W13</f>
        <v>0.1211</v>
      </c>
      <c r="AD55" s="586"/>
      <c r="AE55" s="586"/>
      <c r="AF55" s="586"/>
      <c r="AG55" s="586"/>
      <c r="AH55" s="586"/>
      <c r="AI55" s="586"/>
      <c r="AL55" s="170"/>
    </row>
    <row r="56" spans="1:40">
      <c r="A56" s="142" t="s">
        <v>352</v>
      </c>
      <c r="B56" s="143"/>
      <c r="C56" s="143"/>
      <c r="D56" s="143"/>
      <c r="E56" s="145"/>
      <c r="F56" s="143"/>
      <c r="G56" s="143"/>
      <c r="H56" s="143"/>
      <c r="I56" s="143"/>
      <c r="J56" s="144"/>
      <c r="K56" s="144"/>
      <c r="L56" s="144"/>
      <c r="M56" s="144"/>
      <c r="N56" s="144"/>
      <c r="O56" s="144"/>
      <c r="P56" s="144"/>
      <c r="Q56" s="144"/>
      <c r="R56" s="144"/>
      <c r="S56" s="144"/>
      <c r="T56" s="144"/>
      <c r="U56" s="144"/>
      <c r="V56" s="144"/>
      <c r="W56" s="144">
        <v>2.0000000000000001E-4</v>
      </c>
      <c r="X56" s="144">
        <v>2.0000000000000001E-4</v>
      </c>
      <c r="Y56" s="508">
        <v>2.0000000000000001E-4</v>
      </c>
      <c r="Z56" s="508">
        <f>lorda!T14</f>
        <v>2.0000000000000001E-4</v>
      </c>
      <c r="AA56" s="508">
        <f>lorda!U14</f>
        <v>1E-4</v>
      </c>
      <c r="AB56" s="508">
        <f>lorda!V14</f>
        <v>1.1000000000000001E-3</v>
      </c>
      <c r="AC56" s="508">
        <f>lorda!W14</f>
        <v>1.1000000000000001E-3</v>
      </c>
      <c r="AD56" s="586"/>
      <c r="AE56" s="586"/>
      <c r="AF56" s="586"/>
      <c r="AG56" s="586"/>
      <c r="AH56" s="586"/>
      <c r="AI56" s="586"/>
      <c r="AL56" s="170"/>
    </row>
    <row r="57" spans="1:40">
      <c r="A57" s="142" t="s">
        <v>691</v>
      </c>
      <c r="B57" s="143"/>
      <c r="C57" s="143"/>
      <c r="D57" s="143"/>
      <c r="E57" s="145"/>
      <c r="F57" s="143"/>
      <c r="G57" s="143"/>
      <c r="H57" s="143"/>
      <c r="I57" s="143"/>
      <c r="J57" s="144"/>
      <c r="K57" s="144"/>
      <c r="L57" s="144"/>
      <c r="M57" s="144"/>
      <c r="N57" s="144"/>
      <c r="O57" s="144"/>
      <c r="P57" s="144"/>
      <c r="Q57" s="144"/>
      <c r="R57" s="144"/>
      <c r="S57" s="144"/>
      <c r="T57" s="144"/>
      <c r="U57" s="144"/>
      <c r="V57" s="144"/>
      <c r="W57" s="144"/>
      <c r="X57" s="144"/>
      <c r="Y57" s="508"/>
      <c r="Z57" s="508"/>
      <c r="AA57" s="508"/>
      <c r="AB57" s="508"/>
      <c r="AC57" s="508">
        <f>lorda!W15</f>
        <v>5.9999999999999995E-4</v>
      </c>
      <c r="AD57" s="586"/>
      <c r="AE57" s="586"/>
      <c r="AF57" s="586"/>
      <c r="AG57" s="586"/>
      <c r="AH57" s="586"/>
      <c r="AI57" s="586"/>
      <c r="AL57" s="170"/>
    </row>
    <row r="58" spans="1:40">
      <c r="A58" s="277" t="s">
        <v>23</v>
      </c>
      <c r="B58" s="140" t="s">
        <v>149</v>
      </c>
      <c r="C58" s="140" t="s">
        <v>149</v>
      </c>
      <c r="D58" s="140" t="s">
        <v>149</v>
      </c>
      <c r="E58" s="141">
        <v>12.218</v>
      </c>
      <c r="F58" s="140" t="s">
        <v>149</v>
      </c>
      <c r="G58" s="140" t="s">
        <v>149</v>
      </c>
      <c r="H58" s="140" t="s">
        <v>149</v>
      </c>
      <c r="I58" s="140" t="s">
        <v>149</v>
      </c>
      <c r="J58" s="141">
        <v>18.297000000000001</v>
      </c>
      <c r="K58" s="141">
        <v>19.486999999999998</v>
      </c>
      <c r="L58" s="141">
        <v>20.390999999999998</v>
      </c>
      <c r="M58" s="141">
        <v>21.521999999999998</v>
      </c>
      <c r="N58" s="141">
        <v>24.408999999999999</v>
      </c>
      <c r="O58" s="141">
        <v>24.376000000000001</v>
      </c>
      <c r="P58" s="141">
        <v>23.849</v>
      </c>
      <c r="Q58" s="141">
        <f t="shared" ref="Q58:V58" si="27">SUM(Q59:Q63)</f>
        <v>23.5092</v>
      </c>
      <c r="R58" s="141">
        <f t="shared" si="27"/>
        <v>23.198900000000002</v>
      </c>
      <c r="S58" s="141">
        <f t="shared" si="27"/>
        <v>23.464000000000002</v>
      </c>
      <c r="T58" s="141">
        <f t="shared" si="27"/>
        <v>26.5688</v>
      </c>
      <c r="U58" s="141">
        <f t="shared" si="27"/>
        <v>26.227800000000002</v>
      </c>
      <c r="V58" s="141">
        <f t="shared" si="27"/>
        <v>26.162499999999994</v>
      </c>
      <c r="W58" s="141">
        <f t="shared" ref="W58:AC58" si="28">SUM(W59:W64)</f>
        <v>26.151900000000001</v>
      </c>
      <c r="X58" s="141">
        <f t="shared" si="28"/>
        <v>26.136899999999997</v>
      </c>
      <c r="Y58" s="507">
        <f t="shared" si="28"/>
        <v>26.358800000000002</v>
      </c>
      <c r="Z58" s="507">
        <f t="shared" si="28"/>
        <v>26.134</v>
      </c>
      <c r="AA58" s="719">
        <f t="shared" si="28"/>
        <v>26.582000000000001</v>
      </c>
      <c r="AB58" s="719">
        <f t="shared" si="28"/>
        <v>26.814700000000002</v>
      </c>
      <c r="AC58" s="507">
        <f t="shared" si="28"/>
        <v>26.689949999999996</v>
      </c>
      <c r="AD58" s="507">
        <f t="shared" ref="AD58:AI58" si="29">SUM(AD59:AD64)</f>
        <v>0</v>
      </c>
      <c r="AE58" s="507">
        <f t="shared" si="29"/>
        <v>0</v>
      </c>
      <c r="AF58" s="507">
        <f t="shared" si="29"/>
        <v>0</v>
      </c>
      <c r="AG58" s="507">
        <f t="shared" si="29"/>
        <v>0</v>
      </c>
      <c r="AH58" s="507">
        <f t="shared" si="29"/>
        <v>0</v>
      </c>
      <c r="AI58" s="507">
        <f t="shared" si="29"/>
        <v>0</v>
      </c>
      <c r="AJ58" s="56">
        <f>AC58/Q58-1</f>
        <v>0.13529809606451937</v>
      </c>
      <c r="AL58" s="134">
        <f t="shared" ref="AL58:AL63" si="30">J14/(J58/1000)/8760</f>
        <v>0.58913143682261448</v>
      </c>
      <c r="AM58" s="134">
        <f t="shared" ref="AM58:AM63" si="31">O14/(O58/1000)/8760</f>
        <v>0.52201581614073567</v>
      </c>
      <c r="AN58" s="134">
        <f t="shared" ref="AN58:AN63" si="32">T14/(T58/1000)/8760</f>
        <v>0.41193345674515885</v>
      </c>
    </row>
    <row r="59" spans="1:40">
      <c r="A59" s="142" t="s">
        <v>24</v>
      </c>
      <c r="B59" s="143" t="s">
        <v>149</v>
      </c>
      <c r="C59" s="143" t="s">
        <v>149</v>
      </c>
      <c r="D59" s="143" t="s">
        <v>149</v>
      </c>
      <c r="E59" s="144">
        <v>0.42499999999999999</v>
      </c>
      <c r="F59" s="143" t="s">
        <v>149</v>
      </c>
      <c r="G59" s="143" t="s">
        <v>149</v>
      </c>
      <c r="H59" s="143" t="s">
        <v>149</v>
      </c>
      <c r="I59" s="143" t="s">
        <v>149</v>
      </c>
      <c r="J59" s="144">
        <v>0.63300000000000001</v>
      </c>
      <c r="K59" s="144">
        <v>0.70399999999999996</v>
      </c>
      <c r="L59" s="144">
        <v>0.76300000000000001</v>
      </c>
      <c r="M59" s="144">
        <v>0.82499999999999996</v>
      </c>
      <c r="N59" s="144">
        <v>1.115</v>
      </c>
      <c r="O59" s="144">
        <v>1.42</v>
      </c>
      <c r="P59" s="144">
        <v>1.8169999999999999</v>
      </c>
      <c r="Q59" s="144">
        <v>2.3540999999999999</v>
      </c>
      <c r="R59" s="144">
        <v>2.5390000000000001</v>
      </c>
      <c r="S59" s="144">
        <v>2.8271000000000002</v>
      </c>
      <c r="T59" s="144">
        <v>3.0895000000000001</v>
      </c>
      <c r="U59" s="144">
        <v>3.2547999999999999</v>
      </c>
      <c r="V59" s="144">
        <v>3.3668999999999998</v>
      </c>
      <c r="W59" s="144">
        <v>3.5444</v>
      </c>
      <c r="X59" s="144">
        <v>3.6852999999999998</v>
      </c>
      <c r="Y59" s="508">
        <v>3.7970000000000002</v>
      </c>
      <c r="Z59" s="508">
        <f>lorda!T17</f>
        <v>3.9034</v>
      </c>
      <c r="AA59" s="508">
        <f>lorda!U17</f>
        <v>4.0803000000000003</v>
      </c>
      <c r="AB59" s="508">
        <f>lorda!V17</f>
        <v>4.2134999999999998</v>
      </c>
      <c r="AC59" s="508">
        <f>lorda!W17</f>
        <v>4.3473100000000002</v>
      </c>
      <c r="AD59" s="586"/>
      <c r="AE59" s="586"/>
      <c r="AF59" s="586"/>
      <c r="AG59" s="586"/>
      <c r="AH59" s="586"/>
      <c r="AI59" s="586"/>
      <c r="AL59" s="134">
        <f t="shared" si="30"/>
        <v>0.40738817113549308</v>
      </c>
      <c r="AM59" s="134">
        <f t="shared" si="31"/>
        <v>0.44997266705254368</v>
      </c>
      <c r="AN59" s="134">
        <f t="shared" si="32"/>
        <v>0.53026860015622213</v>
      </c>
    </row>
    <row r="60" spans="1:40">
      <c r="A60" s="142" t="s">
        <v>25</v>
      </c>
      <c r="B60" s="143" t="s">
        <v>149</v>
      </c>
      <c r="C60" s="143" t="s">
        <v>149</v>
      </c>
      <c r="D60" s="143" t="s">
        <v>149</v>
      </c>
      <c r="E60" s="144">
        <v>0.88300000000000001</v>
      </c>
      <c r="F60" s="143" t="s">
        <v>149</v>
      </c>
      <c r="G60" s="143" t="s">
        <v>149</v>
      </c>
      <c r="H60" s="143" t="s">
        <v>149</v>
      </c>
      <c r="I60" s="143" t="s">
        <v>149</v>
      </c>
      <c r="J60" s="144">
        <v>1.0249999999999999</v>
      </c>
      <c r="K60" s="144">
        <v>1.052</v>
      </c>
      <c r="L60" s="144">
        <v>1.0760000000000001</v>
      </c>
      <c r="M60" s="144">
        <v>1.0049999999999999</v>
      </c>
      <c r="N60" s="144">
        <v>0.89</v>
      </c>
      <c r="O60" s="144">
        <v>0.89190000000000003</v>
      </c>
      <c r="P60" s="144">
        <v>0.94799999999999995</v>
      </c>
      <c r="Q60" s="144">
        <v>0.94510000000000005</v>
      </c>
      <c r="R60" s="144">
        <v>1.008</v>
      </c>
      <c r="S60" s="144">
        <v>1.0439000000000001</v>
      </c>
      <c r="T60" s="144">
        <v>1.0606</v>
      </c>
      <c r="U60" s="144">
        <v>1.0487</v>
      </c>
      <c r="V60" s="144">
        <v>1.0334000000000001</v>
      </c>
      <c r="W60" s="144">
        <v>1.0194000000000001</v>
      </c>
      <c r="X60" s="144">
        <v>1.028</v>
      </c>
      <c r="Y60" s="508">
        <v>1.0484</v>
      </c>
      <c r="Z60" s="508">
        <f>lorda!T18</f>
        <v>1.6680999999999999</v>
      </c>
      <c r="AA60" s="508">
        <f>lorda!U18</f>
        <v>1.4371</v>
      </c>
      <c r="AB60" s="508">
        <f>lorda!V18</f>
        <v>1.4421999999999999</v>
      </c>
      <c r="AC60" s="508">
        <f>lorda!W18</f>
        <v>1.42</v>
      </c>
      <c r="AD60" s="586"/>
      <c r="AE60" s="586"/>
      <c r="AF60" s="586"/>
      <c r="AG60" s="586"/>
      <c r="AH60" s="586"/>
      <c r="AI60" s="586"/>
      <c r="AL60" s="134">
        <f t="shared" si="30"/>
        <v>0.6768014255485022</v>
      </c>
      <c r="AM60" s="134">
        <f t="shared" si="31"/>
        <v>0.4910890044904393</v>
      </c>
      <c r="AN60" s="134">
        <f t="shared" si="32"/>
        <v>0.50217116700549436</v>
      </c>
    </row>
    <row r="61" spans="1:40">
      <c r="A61" s="142" t="s">
        <v>26</v>
      </c>
      <c r="B61" s="143" t="s">
        <v>149</v>
      </c>
      <c r="C61" s="143" t="s">
        <v>149</v>
      </c>
      <c r="D61" s="143" t="s">
        <v>149</v>
      </c>
      <c r="E61" s="144">
        <v>6.3440000000000003</v>
      </c>
      <c r="F61" s="143" t="s">
        <v>149</v>
      </c>
      <c r="G61" s="143" t="s">
        <v>149</v>
      </c>
      <c r="H61" s="143" t="s">
        <v>149</v>
      </c>
      <c r="I61" s="143" t="s">
        <v>149</v>
      </c>
      <c r="J61" s="144">
        <v>12.555</v>
      </c>
      <c r="K61" s="144">
        <v>13.914999999999999</v>
      </c>
      <c r="L61" s="144">
        <v>15</v>
      </c>
      <c r="M61" s="144">
        <v>16.341999999999999</v>
      </c>
      <c r="N61" s="144">
        <v>19.125</v>
      </c>
      <c r="O61" s="144">
        <v>18.928999999999998</v>
      </c>
      <c r="P61" s="144">
        <v>18.338999999999999</v>
      </c>
      <c r="Q61" s="144">
        <v>17.5014</v>
      </c>
      <c r="R61" s="144">
        <v>16.932400000000001</v>
      </c>
      <c r="S61" s="144">
        <v>16.8583</v>
      </c>
      <c r="T61" s="144">
        <v>19.208400000000001</v>
      </c>
      <c r="U61" s="144">
        <v>19.017800000000001</v>
      </c>
      <c r="V61" s="144">
        <v>18.884699999999999</v>
      </c>
      <c r="W61" s="144">
        <v>18.886700000000001</v>
      </c>
      <c r="X61" s="144">
        <v>18.731999999999999</v>
      </c>
      <c r="Y61" s="508">
        <v>18.888999999999999</v>
      </c>
      <c r="Z61" s="508">
        <f>lorda!T19</f>
        <v>17.9984</v>
      </c>
      <c r="AA61" s="508">
        <f>lorda!U19</f>
        <v>18.760300000000001</v>
      </c>
      <c r="AB61" s="508">
        <f>lorda!V19</f>
        <v>18.929300000000001</v>
      </c>
      <c r="AC61" s="508">
        <f>lorda!W19</f>
        <v>18.740739999999999</v>
      </c>
      <c r="AD61" s="586"/>
      <c r="AE61" s="586"/>
      <c r="AF61" s="586"/>
      <c r="AG61" s="586"/>
      <c r="AH61" s="586"/>
      <c r="AI61" s="586"/>
      <c r="AL61" s="134">
        <f t="shared" si="30"/>
        <v>0.66076387184061358</v>
      </c>
      <c r="AM61" s="134">
        <f t="shared" si="31"/>
        <v>0.5684411659913482</v>
      </c>
      <c r="AN61" s="134">
        <f t="shared" si="32"/>
        <v>0.41258882743365982</v>
      </c>
    </row>
    <row r="62" spans="1:40">
      <c r="A62" s="142" t="s">
        <v>27</v>
      </c>
      <c r="B62" s="143" t="s">
        <v>149</v>
      </c>
      <c r="C62" s="143" t="s">
        <v>149</v>
      </c>
      <c r="D62" s="143" t="s">
        <v>149</v>
      </c>
      <c r="E62" s="144">
        <v>2.0209999999999999</v>
      </c>
      <c r="F62" s="143" t="s">
        <v>149</v>
      </c>
      <c r="G62" s="143" t="s">
        <v>149</v>
      </c>
      <c r="H62" s="143" t="s">
        <v>149</v>
      </c>
      <c r="I62" s="143" t="s">
        <v>149</v>
      </c>
      <c r="J62" s="144">
        <v>1.8879999999999999</v>
      </c>
      <c r="K62" s="144">
        <v>1.7649999999999999</v>
      </c>
      <c r="L62" s="144">
        <v>1.605</v>
      </c>
      <c r="M62" s="144">
        <v>1.579</v>
      </c>
      <c r="N62" s="144">
        <v>1.496</v>
      </c>
      <c r="O62" s="144">
        <v>1.3009999999999999</v>
      </c>
      <c r="P62" s="144">
        <v>1.26</v>
      </c>
      <c r="Q62" s="144">
        <v>1.1682000000000001</v>
      </c>
      <c r="R62" s="144">
        <v>1.0539000000000001</v>
      </c>
      <c r="S62" s="144">
        <v>1.0235000000000001</v>
      </c>
      <c r="T62" s="144">
        <v>1.0132000000000001</v>
      </c>
      <c r="U62" s="144">
        <v>0.72699999999999998</v>
      </c>
      <c r="V62" s="144">
        <v>0.71679999999999999</v>
      </c>
      <c r="W62" s="144">
        <v>0.64419999999999999</v>
      </c>
      <c r="X62" s="144">
        <v>0.60880000000000001</v>
      </c>
      <c r="Y62" s="508">
        <v>0.55900000000000005</v>
      </c>
      <c r="Z62" s="508">
        <f>lorda!T20</f>
        <v>0.57299999999999995</v>
      </c>
      <c r="AA62" s="508">
        <f>lorda!U20</f>
        <v>0.56930000000000003</v>
      </c>
      <c r="AB62" s="508">
        <f>lorda!V20</f>
        <v>0.57250000000000001</v>
      </c>
      <c r="AC62" s="508">
        <f>lorda!W20</f>
        <v>0.54</v>
      </c>
      <c r="AD62" s="586"/>
      <c r="AE62" s="586"/>
      <c r="AF62" s="586"/>
      <c r="AG62" s="586"/>
      <c r="AH62" s="586"/>
      <c r="AI62" s="586"/>
      <c r="AL62" s="134">
        <f t="shared" si="30"/>
        <v>0.32305694218713721</v>
      </c>
      <c r="AM62" s="134">
        <f t="shared" si="31"/>
        <v>0.21207781860809563</v>
      </c>
      <c r="AN62" s="134">
        <f t="shared" si="32"/>
        <v>0.17642687303844953</v>
      </c>
    </row>
    <row r="63" spans="1:40">
      <c r="A63" s="142" t="s">
        <v>28</v>
      </c>
      <c r="B63" s="143" t="s">
        <v>149</v>
      </c>
      <c r="C63" s="143" t="s">
        <v>149</v>
      </c>
      <c r="D63" s="143" t="s">
        <v>149</v>
      </c>
      <c r="E63" s="144">
        <v>2.5449999999999999</v>
      </c>
      <c r="F63" s="143" t="s">
        <v>149</v>
      </c>
      <c r="G63" s="143" t="s">
        <v>149</v>
      </c>
      <c r="H63" s="143" t="s">
        <v>149</v>
      </c>
      <c r="I63" s="143" t="s">
        <v>149</v>
      </c>
      <c r="J63" s="144">
        <v>2.1960000000000002</v>
      </c>
      <c r="K63" s="144">
        <v>2.0510000000000002</v>
      </c>
      <c r="L63" s="144">
        <v>1.948</v>
      </c>
      <c r="M63" s="144">
        <v>1.772</v>
      </c>
      <c r="N63" s="144">
        <v>1.782</v>
      </c>
      <c r="O63" s="144">
        <v>1.833</v>
      </c>
      <c r="P63" s="144">
        <v>1.486</v>
      </c>
      <c r="Q63" s="144">
        <v>1.5404</v>
      </c>
      <c r="R63" s="144">
        <v>1.6656</v>
      </c>
      <c r="S63" s="144">
        <v>1.7112000000000001</v>
      </c>
      <c r="T63" s="144">
        <v>2.1970999999999998</v>
      </c>
      <c r="U63" s="144">
        <v>2.1795</v>
      </c>
      <c r="V63" s="144">
        <v>2.1606999999999998</v>
      </c>
      <c r="W63" s="144">
        <v>2.0569999999999999</v>
      </c>
      <c r="X63" s="144">
        <v>2.0825</v>
      </c>
      <c r="Y63" s="508">
        <v>2.0651000000000002</v>
      </c>
      <c r="Z63" s="508">
        <f>lorda!T21</f>
        <v>1.9907999999999999</v>
      </c>
      <c r="AA63" s="508">
        <f>lorda!U21</f>
        <v>1.7349000000000001</v>
      </c>
      <c r="AB63" s="508">
        <f>lorda!V21</f>
        <v>1.6571</v>
      </c>
      <c r="AC63" s="508">
        <f>lorda!W21</f>
        <v>1.6415</v>
      </c>
      <c r="AD63" s="586"/>
      <c r="AE63" s="586"/>
      <c r="AF63" s="586"/>
      <c r="AG63" s="586"/>
      <c r="AH63" s="586"/>
      <c r="AI63" s="586"/>
      <c r="AL63" s="134">
        <f t="shared" si="30"/>
        <v>0.41981685255882428</v>
      </c>
      <c r="AM63" s="134">
        <f t="shared" si="31"/>
        <v>0.33374685808378612</v>
      </c>
      <c r="AN63" s="134">
        <f t="shared" si="32"/>
        <v>0.30484871194885577</v>
      </c>
    </row>
    <row r="64" spans="1:40">
      <c r="A64" s="142" t="s">
        <v>351</v>
      </c>
      <c r="B64" s="143"/>
      <c r="C64" s="143"/>
      <c r="D64" s="143"/>
      <c r="E64" s="144"/>
      <c r="F64" s="143"/>
      <c r="G64" s="143"/>
      <c r="H64" s="143"/>
      <c r="I64" s="143"/>
      <c r="J64" s="144"/>
      <c r="K64" s="144"/>
      <c r="L64" s="144"/>
      <c r="M64" s="144"/>
      <c r="N64" s="144"/>
      <c r="O64" s="144"/>
      <c r="P64" s="144"/>
      <c r="Q64" s="144"/>
      <c r="R64" s="144"/>
      <c r="S64" s="144"/>
      <c r="T64" s="144"/>
      <c r="U64" s="144"/>
      <c r="V64" s="144"/>
      <c r="W64" s="144">
        <v>2.0000000000000001E-4</v>
      </c>
      <c r="X64" s="144">
        <v>2.9999999999999997E-4</v>
      </c>
      <c r="Y64" s="508">
        <v>2.9999999999999997E-4</v>
      </c>
      <c r="Z64" s="508">
        <f>lorda!T22</f>
        <v>2.9999999999999997E-4</v>
      </c>
      <c r="AA64" s="508">
        <f>lorda!U22</f>
        <v>1E-4</v>
      </c>
      <c r="AB64" s="508">
        <f>lorda!V22</f>
        <v>1E-4</v>
      </c>
      <c r="AC64" s="508">
        <f>lorda!W22</f>
        <v>4.0000000000000002E-4</v>
      </c>
      <c r="AD64" s="586"/>
      <c r="AE64" s="586"/>
      <c r="AF64" s="586"/>
      <c r="AG64" s="586"/>
      <c r="AH64" s="586"/>
      <c r="AI64" s="586"/>
      <c r="AL64" s="134"/>
      <c r="AM64" s="134"/>
      <c r="AN64" s="134"/>
    </row>
    <row r="65" spans="1:42">
      <c r="A65" s="277" t="s">
        <v>9</v>
      </c>
      <c r="B65" s="140" t="s">
        <v>149</v>
      </c>
      <c r="C65" s="140" t="s">
        <v>149</v>
      </c>
      <c r="D65" s="140" t="s">
        <v>149</v>
      </c>
      <c r="E65" s="141">
        <v>56.337000000000003</v>
      </c>
      <c r="F65" s="140" t="s">
        <v>149</v>
      </c>
      <c r="G65" s="140" t="s">
        <v>149</v>
      </c>
      <c r="H65" s="140" t="s">
        <v>149</v>
      </c>
      <c r="I65" s="140" t="s">
        <v>149</v>
      </c>
      <c r="J65" s="141">
        <v>64.646000000000001</v>
      </c>
      <c r="K65" s="141">
        <v>68.349999999999994</v>
      </c>
      <c r="L65" s="141">
        <v>72.239999999999995</v>
      </c>
      <c r="M65" s="141">
        <v>76.019000000000005</v>
      </c>
      <c r="N65" s="141">
        <v>76.67</v>
      </c>
      <c r="O65" s="141">
        <v>78.340999999999994</v>
      </c>
      <c r="P65" s="141">
        <v>79.710999999999999</v>
      </c>
      <c r="Q65" s="141">
        <f t="shared" ref="Q65:V65" si="33">(Q48+Q58)</f>
        <v>80.574100000000001</v>
      </c>
      <c r="R65" s="141">
        <f t="shared" si="33"/>
        <v>78.500799999999998</v>
      </c>
      <c r="S65" s="141">
        <f t="shared" si="33"/>
        <v>74.965599999999995</v>
      </c>
      <c r="T65" s="141">
        <f t="shared" si="33"/>
        <v>68.59859999999999</v>
      </c>
      <c r="U65" s="141">
        <f t="shared" si="33"/>
        <v>64.915199999999999</v>
      </c>
      <c r="V65" s="141">
        <f t="shared" si="33"/>
        <v>64.045099999999991</v>
      </c>
      <c r="W65" s="141">
        <f t="shared" ref="W65:AC65" si="34">(W48+W58)</f>
        <v>64.020199999999988</v>
      </c>
      <c r="X65" s="141">
        <f t="shared" si="34"/>
        <v>63.948999999999991</v>
      </c>
      <c r="Y65" s="507">
        <f t="shared" si="34"/>
        <v>62.653900000000007</v>
      </c>
      <c r="Z65" s="507">
        <f t="shared" si="34"/>
        <v>61.932500000000005</v>
      </c>
      <c r="AA65" s="507">
        <f t="shared" si="34"/>
        <v>62.392800000000008</v>
      </c>
      <c r="AB65" s="507">
        <f t="shared" si="34"/>
        <v>63.211500000000001</v>
      </c>
      <c r="AC65" s="507">
        <f t="shared" si="34"/>
        <v>62.109249999999989</v>
      </c>
      <c r="AD65" s="507">
        <f t="shared" ref="AD65:AI65" si="35">(AD48+AD58)</f>
        <v>0</v>
      </c>
      <c r="AE65" s="507">
        <f t="shared" si="35"/>
        <v>0</v>
      </c>
      <c r="AF65" s="507">
        <f t="shared" si="35"/>
        <v>0</v>
      </c>
      <c r="AG65" s="507">
        <f t="shared" si="35"/>
        <v>0</v>
      </c>
      <c r="AH65" s="507">
        <f t="shared" si="35"/>
        <v>0</v>
      </c>
      <c r="AI65" s="507">
        <f t="shared" si="35"/>
        <v>0</v>
      </c>
      <c r="AL65" s="134">
        <f>J21/(J65/1000)/8760</f>
        <v>0.44492047098232357</v>
      </c>
      <c r="AM65" s="134">
        <f>O21/(O65/1000)/8760</f>
        <v>0.3358330595332582</v>
      </c>
      <c r="AN65" s="134">
        <f>T21/(T65/1000)/8760</f>
        <v>0.31860681901904436</v>
      </c>
      <c r="AO65" s="168">
        <f>165.8/(AL65/1000)/8760</f>
        <v>42.540053500980321</v>
      </c>
      <c r="AP65">
        <f>165.8/(0.4/1000)/8760</f>
        <v>47.317351598173516</v>
      </c>
    </row>
    <row r="67" spans="1:42">
      <c r="E67" s="123">
        <f>E52+E61</f>
        <v>7.9450000000000003</v>
      </c>
      <c r="J67" s="123">
        <f>J52+J61</f>
        <v>25.338000000000001</v>
      </c>
      <c r="O67" s="123">
        <f>O52+O61</f>
        <v>42.036000000000001</v>
      </c>
      <c r="Q67" s="123">
        <f>Q52+Q61</f>
        <v>43.435699999999997</v>
      </c>
      <c r="T67" s="123">
        <f t="shared" ref="T67:Z67" si="36">T52+T61</f>
        <v>41.820399999999999</v>
      </c>
      <c r="U67" s="123">
        <f t="shared" si="36"/>
        <v>40.838999999999999</v>
      </c>
      <c r="V67" s="123">
        <f t="shared" si="36"/>
        <v>40.708599999999997</v>
      </c>
      <c r="W67" s="123">
        <f t="shared" si="36"/>
        <v>40.710599999999999</v>
      </c>
      <c r="X67" s="123">
        <f t="shared" si="36"/>
        <v>40.555899999999994</v>
      </c>
      <c r="Y67" s="123">
        <f t="shared" si="36"/>
        <v>40.785499999999999</v>
      </c>
      <c r="Z67" s="123">
        <f t="shared" si="36"/>
        <v>40.078500000000005</v>
      </c>
      <c r="AA67" s="123">
        <f>AA52+AA61</f>
        <v>41.453500000000005</v>
      </c>
      <c r="AB67" s="123">
        <f>AB52+AB61</f>
        <v>41.750799999999998</v>
      </c>
      <c r="AC67" s="173"/>
      <c r="AD67" s="173"/>
      <c r="AE67" s="173"/>
      <c r="AF67" s="173"/>
      <c r="AG67" s="173"/>
      <c r="AH67" s="173"/>
      <c r="AI67" s="173"/>
      <c r="AL67" s="174">
        <f>T65/J65-1</f>
        <v>6.1142220709711204E-2</v>
      </c>
      <c r="AM67" s="175"/>
    </row>
    <row r="68" spans="1:42">
      <c r="E68" s="123">
        <f>E50+E60</f>
        <v>5.3659999999999997</v>
      </c>
      <c r="J68" s="123">
        <f>J50+J60</f>
        <v>4.0049999999999999</v>
      </c>
      <c r="O68" s="123">
        <f>O50+O60</f>
        <v>3.4089</v>
      </c>
      <c r="Q68" s="123">
        <f>Q50+Q60</f>
        <v>3.4915000000000003</v>
      </c>
      <c r="T68" s="123">
        <f t="shared" ref="T68:Z68" si="37">T50+T60</f>
        <v>3.1848999999999998</v>
      </c>
      <c r="U68" s="123">
        <f t="shared" si="37"/>
        <v>3.7676999999999996</v>
      </c>
      <c r="V68" s="123">
        <f t="shared" si="37"/>
        <v>3.7521000000000004</v>
      </c>
      <c r="W68" s="123">
        <f t="shared" si="37"/>
        <v>3.738</v>
      </c>
      <c r="X68" s="123">
        <f t="shared" si="37"/>
        <v>3.7341000000000002</v>
      </c>
      <c r="Y68" s="123">
        <f t="shared" si="37"/>
        <v>3.4028999999999998</v>
      </c>
      <c r="Z68" s="123">
        <f t="shared" si="37"/>
        <v>4.0225999999999997</v>
      </c>
      <c r="AA68" s="123">
        <f>AA50+AA60</f>
        <v>3.8001</v>
      </c>
      <c r="AB68" s="123">
        <f>AB50+AB60</f>
        <v>4.0576999999999996</v>
      </c>
    </row>
    <row r="70" spans="1:42">
      <c r="A70" s="277" t="s">
        <v>16</v>
      </c>
      <c r="E70" s="169">
        <f t="shared" ref="E70:U70" si="38">E6/(E48/1000)</f>
        <v>3616.8683983861461</v>
      </c>
      <c r="F70" s="169"/>
      <c r="G70" s="169"/>
      <c r="H70" s="169"/>
      <c r="I70" s="169"/>
      <c r="J70" s="169">
        <f t="shared" si="38"/>
        <v>3398.8004056182449</v>
      </c>
      <c r="K70" s="169">
        <f t="shared" si="38"/>
        <v>3264.0934858686537</v>
      </c>
      <c r="L70" s="169">
        <f t="shared" si="38"/>
        <v>3029.81156820768</v>
      </c>
      <c r="M70" s="169">
        <f t="shared" si="38"/>
        <v>2889.8361377690517</v>
      </c>
      <c r="N70" s="169">
        <f t="shared" si="38"/>
        <v>2403.2509902221541</v>
      </c>
      <c r="O70" s="169">
        <f t="shared" si="38"/>
        <v>2205.1922542388579</v>
      </c>
      <c r="P70" s="169">
        <f t="shared" si="38"/>
        <v>2258.9864308474457</v>
      </c>
      <c r="Q70" s="169">
        <f t="shared" si="38"/>
        <v>2032.2772842850859</v>
      </c>
      <c r="R70" s="169">
        <f t="shared" si="38"/>
        <v>1825.2841222453478</v>
      </c>
      <c r="S70" s="169">
        <f t="shared" si="38"/>
        <v>1754.4969476676454</v>
      </c>
      <c r="T70" s="169">
        <f t="shared" si="38"/>
        <v>2274.1935483870971</v>
      </c>
      <c r="U70" s="169">
        <f t="shared" si="38"/>
        <v>2418.5445390488894</v>
      </c>
      <c r="V70" s="169">
        <f t="shared" ref="V70:AA70" si="39">V6/(V48/1000)</f>
        <v>2605.2963629740307</v>
      </c>
      <c r="W70" s="169">
        <f t="shared" si="39"/>
        <v>2302.8892239683328</v>
      </c>
      <c r="X70" s="169">
        <f t="shared" si="39"/>
        <v>2322.6215946747211</v>
      </c>
      <c r="Y70" s="169">
        <f t="shared" si="39"/>
        <v>2213.8663345740883</v>
      </c>
      <c r="Z70" s="169">
        <f t="shared" si="39"/>
        <v>2445.4379373437437</v>
      </c>
      <c r="AA70" s="169">
        <f t="shared" si="39"/>
        <v>2599.0343695198089</v>
      </c>
      <c r="AB70" s="169">
        <f>AB6/(AB48/1000)</f>
        <v>1804.2767496043607</v>
      </c>
      <c r="AC70" s="169"/>
      <c r="AD70" s="169"/>
      <c r="AE70" s="169"/>
      <c r="AF70" s="169"/>
      <c r="AG70" s="169"/>
      <c r="AH70" s="169"/>
      <c r="AI70" s="169"/>
    </row>
    <row r="71" spans="1:42">
      <c r="A71" s="277" t="s">
        <v>23</v>
      </c>
      <c r="E71" s="169">
        <f t="shared" ref="E71:U71" si="40">E14/(E58/1000)</f>
        <v>4919.0538549680796</v>
      </c>
      <c r="F71" s="169"/>
      <c r="G71" s="169"/>
      <c r="H71" s="169"/>
      <c r="I71" s="169"/>
      <c r="J71" s="169">
        <f t="shared" si="40"/>
        <v>5160.791386566103</v>
      </c>
      <c r="K71" s="169">
        <f t="shared" si="40"/>
        <v>5215.9850156514603</v>
      </c>
      <c r="L71" s="169">
        <f t="shared" si="40"/>
        <v>5279.3094992889028</v>
      </c>
      <c r="M71" s="169">
        <f t="shared" si="40"/>
        <v>4782.3018306848808</v>
      </c>
      <c r="N71" s="169">
        <f t="shared" si="40"/>
        <v>4114.8469826703258</v>
      </c>
      <c r="O71" s="169">
        <f t="shared" si="40"/>
        <v>4572.8585493928449</v>
      </c>
      <c r="P71" s="169">
        <f t="shared" si="40"/>
        <v>4256.3126336534024</v>
      </c>
      <c r="Q71" s="169">
        <f t="shared" si="40"/>
        <v>4289.3335375087199</v>
      </c>
      <c r="R71" s="169">
        <f t="shared" si="40"/>
        <v>3935.2227907357669</v>
      </c>
      <c r="S71" s="169">
        <f t="shared" si="40"/>
        <v>3628.9933515172174</v>
      </c>
      <c r="T71" s="169">
        <f t="shared" si="40"/>
        <v>3608.5370810875916</v>
      </c>
      <c r="U71" s="169">
        <f t="shared" si="40"/>
        <v>4008.2202853460831</v>
      </c>
      <c r="V71" s="169">
        <f t="shared" ref="V71:AA71" si="41">V14/(V58/1000)</f>
        <v>4209.3874820831343</v>
      </c>
      <c r="W71" s="169">
        <f t="shared" si="41"/>
        <v>4011.9723614727795</v>
      </c>
      <c r="X71" s="169">
        <f t="shared" si="41"/>
        <v>4103.8072609988185</v>
      </c>
      <c r="Y71" s="169">
        <f t="shared" si="41"/>
        <v>3810.9663565867945</v>
      </c>
      <c r="Z71" s="169">
        <f t="shared" si="41"/>
        <v>3887.2426723808062</v>
      </c>
      <c r="AA71" s="169">
        <f t="shared" si="41"/>
        <v>3966.6503649085848</v>
      </c>
      <c r="AB71" s="169">
        <f>AB14/(AB58/1000)</f>
        <v>3591.4778088138223</v>
      </c>
      <c r="AC71" s="169"/>
      <c r="AD71" s="169"/>
      <c r="AE71" s="169"/>
      <c r="AF71" s="169"/>
      <c r="AG71" s="169"/>
      <c r="AH71" s="169"/>
      <c r="AI71" s="169"/>
    </row>
    <row r="72" spans="1:42">
      <c r="A72" s="277" t="s">
        <v>9</v>
      </c>
      <c r="E72" s="169">
        <f t="shared" ref="E72:U72" si="42">E21/(E65/1000)</f>
        <v>3899.2136606493068</v>
      </c>
      <c r="F72" s="169"/>
      <c r="G72" s="169"/>
      <c r="H72" s="169"/>
      <c r="I72" s="169"/>
      <c r="J72" s="169">
        <f t="shared" si="42"/>
        <v>3897.5033258051544</v>
      </c>
      <c r="K72" s="169">
        <f t="shared" si="42"/>
        <v>3820.5896122896856</v>
      </c>
      <c r="L72" s="169">
        <f t="shared" si="42"/>
        <v>3664.7715946843859</v>
      </c>
      <c r="M72" s="169">
        <f t="shared" si="42"/>
        <v>3425.6185953511622</v>
      </c>
      <c r="N72" s="169">
        <f t="shared" si="42"/>
        <v>2948.1622538150514</v>
      </c>
      <c r="O72" s="169">
        <f t="shared" si="42"/>
        <v>2941.8976015113417</v>
      </c>
      <c r="P72" s="169">
        <f t="shared" si="42"/>
        <v>2856.5731203974356</v>
      </c>
      <c r="Q72" s="169">
        <f t="shared" si="42"/>
        <v>2690.8212440474049</v>
      </c>
      <c r="R72" s="169">
        <f t="shared" si="42"/>
        <v>2448.8224323828545</v>
      </c>
      <c r="S72" s="169">
        <f t="shared" si="42"/>
        <v>2341.2085009657762</v>
      </c>
      <c r="T72" s="169">
        <f t="shared" si="42"/>
        <v>2790.9957346068286</v>
      </c>
      <c r="U72" s="169">
        <f t="shared" si="42"/>
        <v>3060.8239672680675</v>
      </c>
      <c r="V72" s="169">
        <f t="shared" ref="V72:AA72" si="43">V21/(V65/1000)</f>
        <v>3260.5695049269971</v>
      </c>
      <c r="W72" s="169">
        <f t="shared" si="43"/>
        <v>3001.0402966563688</v>
      </c>
      <c r="X72" s="169">
        <f t="shared" si="43"/>
        <v>3050.6184615865773</v>
      </c>
      <c r="Y72" s="169">
        <f t="shared" si="43"/>
        <v>2885.7740699302035</v>
      </c>
      <c r="Z72" s="169">
        <f t="shared" si="43"/>
        <v>3053.8442659346865</v>
      </c>
      <c r="AA72" s="169">
        <f t="shared" si="43"/>
        <v>3181.6972471182567</v>
      </c>
      <c r="AB72" s="169">
        <f>AB21/(AB65/1000)</f>
        <v>2562.4182308598906</v>
      </c>
      <c r="AC72" s="169"/>
      <c r="AD72" s="169"/>
      <c r="AE72" s="169"/>
      <c r="AF72" s="169"/>
      <c r="AG72" s="169"/>
      <c r="AH72" s="169"/>
      <c r="AI72" s="169"/>
    </row>
    <row r="74" spans="1:42">
      <c r="A74" s="277" t="s">
        <v>16</v>
      </c>
      <c r="E74" s="168">
        <f t="shared" ref="E74:U76" si="44">E70/8760</f>
        <v>0.41288452036371531</v>
      </c>
      <c r="F74" s="168"/>
      <c r="G74" s="168"/>
      <c r="H74" s="168"/>
      <c r="I74" s="168"/>
      <c r="J74" s="168">
        <f t="shared" si="44"/>
        <v>0.38799091388336127</v>
      </c>
      <c r="K74" s="168">
        <f t="shared" si="44"/>
        <v>0.37261341162884176</v>
      </c>
      <c r="L74" s="168">
        <f t="shared" si="44"/>
        <v>0.34586890048032876</v>
      </c>
      <c r="M74" s="168">
        <f t="shared" si="44"/>
        <v>0.32988997006496024</v>
      </c>
      <c r="N74" s="168">
        <f t="shared" si="44"/>
        <v>0.27434372034499477</v>
      </c>
      <c r="O74" s="168">
        <f t="shared" si="44"/>
        <v>0.25173427559804312</v>
      </c>
      <c r="P74" s="168">
        <f t="shared" si="44"/>
        <v>0.25787516333874949</v>
      </c>
      <c r="Q74" s="168">
        <f t="shared" si="44"/>
        <v>0.23199512377683629</v>
      </c>
      <c r="R74" s="168">
        <f t="shared" si="44"/>
        <v>0.20836576737960591</v>
      </c>
      <c r="S74" s="168">
        <f t="shared" si="44"/>
        <v>0.20028503968808736</v>
      </c>
      <c r="T74" s="168">
        <f t="shared" si="44"/>
        <v>0.25961113566062749</v>
      </c>
      <c r="U74" s="168">
        <f t="shared" si="44"/>
        <v>0.27608955925215634</v>
      </c>
      <c r="V74" s="168">
        <f t="shared" ref="V74:W76" si="45">V70/8760</f>
        <v>0.29740826061347381</v>
      </c>
      <c r="W74" s="168">
        <f t="shared" si="45"/>
        <v>0.26288689771328</v>
      </c>
      <c r="X74" s="168">
        <f t="shared" ref="X74:Z76" si="46">X70/8760</f>
        <v>0.265139451446886</v>
      </c>
      <c r="Y74" s="168">
        <f t="shared" si="46"/>
        <v>0.25272446741713339</v>
      </c>
      <c r="Z74" s="168">
        <f t="shared" si="46"/>
        <v>0.27915958188855522</v>
      </c>
      <c r="AA74" s="168">
        <f t="shared" ref="AA74:AB76" si="47">AA70/8760</f>
        <v>0.29669342117806036</v>
      </c>
      <c r="AB74" s="168">
        <f t="shared" si="47"/>
        <v>0.20596766547994985</v>
      </c>
      <c r="AC74" s="168"/>
      <c r="AD74" s="168"/>
      <c r="AE74" s="168"/>
      <c r="AF74" s="168"/>
      <c r="AG74" s="168"/>
      <c r="AH74" s="168"/>
      <c r="AI74" s="168"/>
      <c r="AN74" s="134">
        <f>0.85*0.7</f>
        <v>0.59499999999999997</v>
      </c>
      <c r="AO74" s="170">
        <f>AN74*8760</f>
        <v>5212.2</v>
      </c>
    </row>
    <row r="75" spans="1:42">
      <c r="A75" s="277" t="s">
        <v>23</v>
      </c>
      <c r="E75" s="168">
        <f t="shared" si="44"/>
        <v>0.5615358281927032</v>
      </c>
      <c r="F75" s="168"/>
      <c r="G75" s="168"/>
      <c r="H75" s="168"/>
      <c r="I75" s="168"/>
      <c r="J75" s="168">
        <f t="shared" si="44"/>
        <v>0.58913143682261448</v>
      </c>
      <c r="K75" s="168">
        <f t="shared" si="44"/>
        <v>0.59543207941226717</v>
      </c>
      <c r="L75" s="168">
        <f t="shared" si="44"/>
        <v>0.60266090174530851</v>
      </c>
      <c r="M75" s="168">
        <f t="shared" si="44"/>
        <v>0.54592486651653893</v>
      </c>
      <c r="N75" s="168">
        <f t="shared" si="44"/>
        <v>0.46973139071579062</v>
      </c>
      <c r="O75" s="168">
        <f t="shared" si="44"/>
        <v>0.52201581614073567</v>
      </c>
      <c r="P75" s="168">
        <f t="shared" si="44"/>
        <v>0.48588043763166694</v>
      </c>
      <c r="Q75" s="168">
        <f t="shared" si="44"/>
        <v>0.48964994720419175</v>
      </c>
      <c r="R75" s="168">
        <f t="shared" si="44"/>
        <v>0.44922634597440264</v>
      </c>
      <c r="S75" s="168">
        <f t="shared" si="44"/>
        <v>0.4142686474334723</v>
      </c>
      <c r="T75" s="168">
        <f t="shared" si="44"/>
        <v>0.41193345674515885</v>
      </c>
      <c r="U75" s="168">
        <f t="shared" si="44"/>
        <v>0.45755939330434736</v>
      </c>
      <c r="V75" s="168">
        <f t="shared" si="45"/>
        <v>0.48052368516930755</v>
      </c>
      <c r="W75" s="168">
        <f t="shared" si="45"/>
        <v>0.45798771249689263</v>
      </c>
      <c r="X75" s="168">
        <f t="shared" si="46"/>
        <v>0.46847114851584687</v>
      </c>
      <c r="Y75" s="168">
        <f t="shared" si="46"/>
        <v>0.43504182152817289</v>
      </c>
      <c r="Z75" s="168">
        <f t="shared" si="46"/>
        <v>0.44374916351379068</v>
      </c>
      <c r="AA75" s="168">
        <f t="shared" si="47"/>
        <v>0.4528139685968704</v>
      </c>
      <c r="AB75" s="168">
        <f t="shared" si="47"/>
        <v>0.40998605123445458</v>
      </c>
      <c r="AC75" s="168"/>
      <c r="AD75" s="168"/>
      <c r="AE75" s="168"/>
      <c r="AF75" s="168"/>
      <c r="AG75" s="168"/>
      <c r="AH75" s="168"/>
      <c r="AI75" s="168"/>
      <c r="AN75" s="134"/>
      <c r="AO75" s="170"/>
    </row>
    <row r="76" spans="1:42">
      <c r="A76" s="277" t="s">
        <v>9</v>
      </c>
      <c r="E76" s="168">
        <f t="shared" si="44"/>
        <v>0.44511571468599392</v>
      </c>
      <c r="F76" s="168"/>
      <c r="G76" s="168"/>
      <c r="H76" s="168"/>
      <c r="I76" s="168"/>
      <c r="J76" s="168">
        <f t="shared" si="44"/>
        <v>0.44492047098232357</v>
      </c>
      <c r="K76" s="168">
        <f t="shared" si="44"/>
        <v>0.43614036669973583</v>
      </c>
      <c r="L76" s="168">
        <f t="shared" si="44"/>
        <v>0.41835292176762395</v>
      </c>
      <c r="M76" s="168">
        <f t="shared" si="44"/>
        <v>0.39105235106748426</v>
      </c>
      <c r="N76" s="168">
        <f t="shared" si="44"/>
        <v>0.33654820249030265</v>
      </c>
      <c r="O76" s="168">
        <f t="shared" si="44"/>
        <v>0.3358330595332582</v>
      </c>
      <c r="P76" s="168">
        <f t="shared" si="44"/>
        <v>0.32609282196317757</v>
      </c>
      <c r="Q76" s="168">
        <f t="shared" si="44"/>
        <v>0.30717137489125629</v>
      </c>
      <c r="R76" s="168">
        <f t="shared" si="44"/>
        <v>0.27954593976973224</v>
      </c>
      <c r="S76" s="168">
        <f t="shared" si="44"/>
        <v>0.26726124440248589</v>
      </c>
      <c r="T76" s="172">
        <f t="shared" si="44"/>
        <v>0.31860681901904436</v>
      </c>
      <c r="U76" s="172">
        <f t="shared" si="44"/>
        <v>0.34940912868356933</v>
      </c>
      <c r="V76" s="172">
        <f t="shared" si="45"/>
        <v>0.3722111306994289</v>
      </c>
      <c r="W76" s="172">
        <f t="shared" si="45"/>
        <v>0.34258450875072705</v>
      </c>
      <c r="X76" s="172">
        <f t="shared" si="46"/>
        <v>0.3482441166194723</v>
      </c>
      <c r="Y76" s="172">
        <f t="shared" si="46"/>
        <v>0.32942626369066252</v>
      </c>
      <c r="Z76" s="172">
        <f t="shared" si="46"/>
        <v>0.34861235912496419</v>
      </c>
      <c r="AA76" s="172">
        <f t="shared" si="47"/>
        <v>0.36320744830117085</v>
      </c>
      <c r="AB76" s="172">
        <f t="shared" si="47"/>
        <v>0.29251349667350351</v>
      </c>
      <c r="AC76" s="172"/>
      <c r="AD76" s="172"/>
      <c r="AE76" s="172"/>
      <c r="AF76" s="172"/>
      <c r="AG76" s="172"/>
      <c r="AH76" s="172"/>
      <c r="AI76" s="172"/>
    </row>
    <row r="79" spans="1:42">
      <c r="E79" s="168">
        <f t="shared" ref="E79:U79" si="48">E72/$AO$74</f>
        <v>0.74809363812772089</v>
      </c>
      <c r="F79" s="168"/>
      <c r="G79" s="168"/>
      <c r="H79" s="168"/>
      <c r="I79" s="168"/>
      <c r="J79" s="168">
        <f t="shared" si="48"/>
        <v>0.74776549744928333</v>
      </c>
      <c r="K79" s="168">
        <f t="shared" si="48"/>
        <v>0.73300901966342158</v>
      </c>
      <c r="L79" s="168">
        <f t="shared" si="48"/>
        <v>0.70311415423130086</v>
      </c>
      <c r="M79" s="168">
        <f t="shared" si="48"/>
        <v>0.65723084213022565</v>
      </c>
      <c r="N79" s="168">
        <f t="shared" si="48"/>
        <v>0.56562723107613899</v>
      </c>
      <c r="O79" s="168">
        <f t="shared" si="48"/>
        <v>0.56442531013992969</v>
      </c>
      <c r="P79" s="168">
        <f t="shared" si="48"/>
        <v>0.54805516296332368</v>
      </c>
      <c r="Q79" s="168">
        <f t="shared" si="48"/>
        <v>0.5162544115819433</v>
      </c>
      <c r="R79" s="168">
        <f t="shared" si="48"/>
        <v>0.46982510885669287</v>
      </c>
      <c r="S79" s="168">
        <f t="shared" si="48"/>
        <v>0.44917856202098466</v>
      </c>
      <c r="T79" s="168">
        <f t="shared" si="48"/>
        <v>0.53547364541015863</v>
      </c>
      <c r="U79" s="168">
        <f t="shared" si="48"/>
        <v>0.58724223308162915</v>
      </c>
      <c r="V79" s="168">
        <f t="shared" ref="V79:AA79" si="49">V72/$AO$74</f>
        <v>0.62556492554525867</v>
      </c>
      <c r="W79" s="168">
        <f t="shared" si="49"/>
        <v>0.57577228361466726</v>
      </c>
      <c r="X79" s="168">
        <f t="shared" si="49"/>
        <v>0.58528422961255844</v>
      </c>
      <c r="Y79" s="168">
        <f t="shared" si="49"/>
        <v>0.55365758603472692</v>
      </c>
      <c r="Z79" s="168">
        <f t="shared" si="49"/>
        <v>0.58590312457977178</v>
      </c>
      <c r="AA79" s="168">
        <f t="shared" si="49"/>
        <v>0.61043268622045521</v>
      </c>
      <c r="AB79" s="168">
        <f>AB72/$AO$74</f>
        <v>0.49161932214034204</v>
      </c>
      <c r="AC79" s="168"/>
      <c r="AD79" s="168"/>
      <c r="AE79" s="168"/>
      <c r="AF79" s="168"/>
      <c r="AG79" s="168"/>
      <c r="AH79" s="168"/>
      <c r="AI79" s="168"/>
    </row>
  </sheetData>
  <mergeCells count="4">
    <mergeCell ref="A46:A47"/>
    <mergeCell ref="A1:B1"/>
    <mergeCell ref="A4:A5"/>
    <mergeCell ref="A25:A26"/>
  </mergeCells>
  <hyperlinks>
    <hyperlink ref="A1" location="Indice!A1" display="Torna indietro" xr:uid="{00000000-0004-0000-1D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2">
    <tabColor rgb="FFFF0000"/>
  </sheetPr>
  <dimension ref="A1:BL164"/>
  <sheetViews>
    <sheetView zoomScale="85" zoomScaleNormal="85" workbookViewId="0">
      <pane xSplit="5" ySplit="3" topLeftCell="F35"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37.81640625" customWidth="1"/>
    <col min="2" max="5" width="0.1796875" customWidth="1"/>
    <col min="6" max="6" width="8.81640625" customWidth="1"/>
    <col min="7" max="10" width="0.1796875" customWidth="1"/>
    <col min="11" max="11" width="8.81640625" customWidth="1"/>
    <col min="12" max="15" width="0.1796875" customWidth="1"/>
    <col min="16" max="16" width="8.81640625" customWidth="1"/>
    <col min="17" max="20" width="8.984375E-2" customWidth="1"/>
    <col min="21" max="22" width="8.81640625" customWidth="1"/>
    <col min="23" max="23" width="9.54296875" customWidth="1"/>
    <col min="24" max="24" width="10.1796875" customWidth="1"/>
    <col min="25" max="25" width="10" bestFit="1" customWidth="1"/>
    <col min="26" max="27" width="10.1796875" customWidth="1"/>
    <col min="28" max="28" width="9.81640625" customWidth="1"/>
    <col min="29" max="36" width="10.1796875" customWidth="1"/>
    <col min="37" max="37" width="12.1796875" customWidth="1"/>
    <col min="42" max="42" width="11.1796875" bestFit="1" customWidth="1"/>
    <col min="43" max="43" width="10.1796875" customWidth="1"/>
  </cols>
  <sheetData>
    <row r="1" spans="1:43" ht="15.5">
      <c r="A1" s="1114" t="s">
        <v>56</v>
      </c>
      <c r="B1" s="1114"/>
      <c r="C1" s="108"/>
      <c r="D1" s="108"/>
      <c r="E1" s="108"/>
      <c r="Y1" s="269"/>
      <c r="Z1" s="269"/>
      <c r="AA1" s="269"/>
      <c r="AB1" s="269"/>
      <c r="AC1" s="269"/>
      <c r="AD1" s="269"/>
      <c r="AE1" s="269"/>
      <c r="AF1" s="269"/>
      <c r="AG1" s="269"/>
      <c r="AH1" s="269"/>
      <c r="AI1" s="269"/>
      <c r="AJ1" s="269"/>
    </row>
    <row r="2" spans="1:43" ht="15" customHeight="1">
      <c r="A2" s="663" t="s">
        <v>505</v>
      </c>
      <c r="Y2" s="269"/>
      <c r="Z2" s="56"/>
      <c r="AA2" s="56"/>
      <c r="AB2" s="56"/>
      <c r="AC2" s="90"/>
      <c r="AD2" s="90"/>
      <c r="AE2" s="90"/>
      <c r="AF2" s="90"/>
      <c r="AG2" s="90"/>
      <c r="AH2" s="90"/>
      <c r="AI2" s="90"/>
      <c r="AJ2" s="90"/>
    </row>
    <row r="3" spans="1:43" s="2" customFormat="1" ht="15.5">
      <c r="A3" s="6"/>
      <c r="B3" s="105">
        <v>1996</v>
      </c>
      <c r="C3" s="105">
        <v>1997</v>
      </c>
      <c r="D3" s="105">
        <v>1998</v>
      </c>
      <c r="E3" s="105">
        <v>1999</v>
      </c>
      <c r="F3" s="105">
        <v>2000</v>
      </c>
      <c r="G3" s="105">
        <v>2001</v>
      </c>
      <c r="H3" s="105">
        <v>2002</v>
      </c>
      <c r="I3" s="105">
        <v>2003</v>
      </c>
      <c r="J3" s="105">
        <v>2004</v>
      </c>
      <c r="K3" s="105">
        <v>2005</v>
      </c>
      <c r="L3" s="105">
        <v>2006</v>
      </c>
      <c r="M3" s="105">
        <v>2007</v>
      </c>
      <c r="N3" s="105">
        <v>2008</v>
      </c>
      <c r="O3" s="105">
        <v>2009</v>
      </c>
      <c r="P3" s="443">
        <v>2010</v>
      </c>
      <c r="Q3" s="105">
        <v>2011</v>
      </c>
      <c r="R3" s="105">
        <v>2012</v>
      </c>
      <c r="S3" s="443">
        <v>2013</v>
      </c>
      <c r="T3" s="105">
        <v>2014</v>
      </c>
      <c r="U3" s="443">
        <v>2015</v>
      </c>
      <c r="V3" s="105">
        <v>2016</v>
      </c>
      <c r="W3" s="3">
        <v>2017</v>
      </c>
      <c r="X3" s="444">
        <v>2018</v>
      </c>
      <c r="Y3" s="3">
        <v>2019</v>
      </c>
      <c r="Z3" s="3">
        <v>2020</v>
      </c>
      <c r="AA3" s="562">
        <v>2021</v>
      </c>
      <c r="AB3" s="3">
        <v>2022</v>
      </c>
      <c r="AC3" s="3">
        <f t="shared" ref="AC3:AJ3" si="0">AB3+1</f>
        <v>2023</v>
      </c>
      <c r="AD3" s="3">
        <f t="shared" si="0"/>
        <v>2024</v>
      </c>
      <c r="AE3" s="294">
        <f t="shared" si="0"/>
        <v>2025</v>
      </c>
      <c r="AF3" s="294">
        <f t="shared" si="0"/>
        <v>2026</v>
      </c>
      <c r="AG3" s="294">
        <f t="shared" si="0"/>
        <v>2027</v>
      </c>
      <c r="AH3" s="294">
        <f t="shared" si="0"/>
        <v>2028</v>
      </c>
      <c r="AI3" s="294">
        <f t="shared" si="0"/>
        <v>2029</v>
      </c>
      <c r="AJ3" s="294">
        <f t="shared" si="0"/>
        <v>2030</v>
      </c>
      <c r="AN3"/>
      <c r="AO3"/>
      <c r="AP3"/>
      <c r="AQ3"/>
    </row>
    <row r="4" spans="1:43" s="2" customFormat="1" ht="15.5">
      <c r="A4" s="662"/>
      <c r="B4" s="659"/>
      <c r="C4" s="660"/>
      <c r="D4" s="660"/>
      <c r="E4" s="660"/>
      <c r="F4" s="660"/>
      <c r="G4" s="660"/>
      <c r="H4" s="660"/>
      <c r="I4" s="660"/>
      <c r="J4" s="660"/>
      <c r="K4" s="660"/>
      <c r="L4" s="660"/>
      <c r="M4" s="660"/>
      <c r="N4" s="660"/>
      <c r="O4" s="660"/>
      <c r="P4" s="660"/>
      <c r="Q4" s="660"/>
      <c r="R4" s="660"/>
      <c r="S4" s="660"/>
      <c r="T4" s="660"/>
      <c r="U4" s="660"/>
      <c r="V4" s="660"/>
      <c r="W4" s="660"/>
      <c r="X4" s="661"/>
      <c r="Y4" s="385"/>
      <c r="Z4" s="385"/>
      <c r="AA4" s="563"/>
      <c r="AB4" s="385"/>
      <c r="AC4" s="385"/>
      <c r="AD4" s="385"/>
      <c r="AE4" s="385"/>
      <c r="AF4" s="385"/>
      <c r="AG4" s="385"/>
      <c r="AH4" s="385"/>
      <c r="AI4" s="385"/>
      <c r="AJ4" s="385"/>
    </row>
    <row r="5" spans="1:43" s="2" customFormat="1" ht="15.5">
      <c r="A5" s="69" t="s">
        <v>109</v>
      </c>
      <c r="B5" s="130">
        <v>4.1070000000000002</v>
      </c>
      <c r="C5" s="130">
        <v>4.3529999999999998</v>
      </c>
      <c r="D5" s="130">
        <v>4.4868000000000006</v>
      </c>
      <c r="E5" s="130">
        <v>4.6821999999999999</v>
      </c>
      <c r="F5" s="160">
        <v>4.9066000000000001</v>
      </c>
      <c r="G5" s="161">
        <v>5.1626000000000003</v>
      </c>
      <c r="H5" s="161">
        <v>4.8902000000000001</v>
      </c>
      <c r="I5" s="161">
        <v>5.1621999999999995</v>
      </c>
      <c r="J5" s="161">
        <v>5.1848000000000001</v>
      </c>
      <c r="K5" s="161">
        <v>5.3643999999999998</v>
      </c>
      <c r="L5" s="161">
        <v>5.5034999999999998</v>
      </c>
      <c r="M5" s="161">
        <v>5.6592000000000002</v>
      </c>
      <c r="N5" s="161">
        <v>5.6695000000000002</v>
      </c>
      <c r="O5" s="161">
        <v>5.6498999999999997</v>
      </c>
      <c r="P5" s="161">
        <v>5.6103000000000005</v>
      </c>
      <c r="Q5" s="161">
        <v>5.907</v>
      </c>
      <c r="R5" s="161">
        <v>5.9236000000000004</v>
      </c>
      <c r="S5" s="161">
        <v>5.6771000000000003</v>
      </c>
      <c r="T5" s="161">
        <v>5.3721000000000005</v>
      </c>
      <c r="U5" s="161">
        <v>5.6898999999999997</v>
      </c>
      <c r="V5" s="161">
        <v>5.5674999999999999</v>
      </c>
      <c r="W5" s="161">
        <v>5.9904000000000002</v>
      </c>
      <c r="X5" s="161">
        <v>5.8433000000000002</v>
      </c>
      <c r="Y5" s="161">
        <v>6.0523999999999996</v>
      </c>
      <c r="Z5" s="161">
        <v>6.3105000000000002</v>
      </c>
      <c r="AA5" s="564">
        <v>6.7138</v>
      </c>
      <c r="AB5" s="564">
        <v>6.6173000000000002</v>
      </c>
      <c r="AC5" s="564">
        <v>6.3333999999999993</v>
      </c>
      <c r="AD5" s="564">
        <v>6.6852</v>
      </c>
      <c r="AE5" s="544">
        <f t="shared" ref="AE5:AJ9" si="1">AE$12*AE21</f>
        <v>6.6478092871656127</v>
      </c>
      <c r="AF5" s="544">
        <f t="shared" si="1"/>
        <v>6.7789849954136594</v>
      </c>
      <c r="AG5" s="544">
        <f t="shared" si="1"/>
        <v>0</v>
      </c>
      <c r="AH5" s="544">
        <f t="shared" si="1"/>
        <v>7.9756208584096179E-6</v>
      </c>
      <c r="AI5" s="544">
        <f t="shared" si="1"/>
        <v>-6.4899121839059089E-7</v>
      </c>
      <c r="AJ5" s="544">
        <f t="shared" si="1"/>
        <v>0</v>
      </c>
      <c r="AK5" s="300">
        <f t="shared" ref="AK5:AP10" si="2">X5/W5-1</f>
        <v>-2.4555956196581241E-2</v>
      </c>
      <c r="AL5" s="300">
        <f t="shared" si="2"/>
        <v>3.5784573785360818E-2</v>
      </c>
      <c r="AM5" s="414">
        <f t="shared" si="2"/>
        <v>4.2644240301368264E-2</v>
      </c>
      <c r="AN5" s="414">
        <f t="shared" si="2"/>
        <v>6.3909357420172785E-2</v>
      </c>
      <c r="AO5" s="414">
        <f t="shared" si="2"/>
        <v>-1.4373380201971986E-2</v>
      </c>
      <c r="AP5" s="414">
        <f t="shared" si="2"/>
        <v>-4.2902694452420342E-2</v>
      </c>
    </row>
    <row r="6" spans="1:43" s="2" customFormat="1" ht="15.5">
      <c r="A6" s="69" t="s">
        <v>110</v>
      </c>
      <c r="B6" s="130">
        <v>129.12799999999999</v>
      </c>
      <c r="C6" s="130">
        <v>133.88999999999999</v>
      </c>
      <c r="D6" s="130">
        <v>137.7003</v>
      </c>
      <c r="E6" s="130">
        <v>139.69810000000001</v>
      </c>
      <c r="F6" s="160">
        <v>148.19239999999999</v>
      </c>
      <c r="G6" s="161">
        <v>150.9734</v>
      </c>
      <c r="H6" s="161">
        <v>151.3141</v>
      </c>
      <c r="I6" s="161">
        <v>152.7209</v>
      </c>
      <c r="J6" s="161">
        <v>153.15529999999998</v>
      </c>
      <c r="K6" s="161">
        <v>153.7268</v>
      </c>
      <c r="L6" s="161">
        <v>156.1506</v>
      </c>
      <c r="M6" s="161">
        <v>155.80429999999998</v>
      </c>
      <c r="N6" s="161">
        <v>151.36660000000001</v>
      </c>
      <c r="O6" s="161">
        <v>130.5059</v>
      </c>
      <c r="P6" s="161">
        <v>138.43929999999997</v>
      </c>
      <c r="Q6" s="161">
        <v>140.03960000000001</v>
      </c>
      <c r="R6" s="161">
        <v>130.80089999999998</v>
      </c>
      <c r="S6" s="161">
        <v>124.8708</v>
      </c>
      <c r="T6" s="161">
        <v>122.505</v>
      </c>
      <c r="U6" s="161">
        <v>122.3623</v>
      </c>
      <c r="V6" s="161">
        <v>122.738</v>
      </c>
      <c r="W6" s="161">
        <v>125.52460000000001</v>
      </c>
      <c r="X6" s="161">
        <v>126.432</v>
      </c>
      <c r="Y6" s="161">
        <v>128.93998999999999</v>
      </c>
      <c r="Z6" s="161">
        <v>125.4175</v>
      </c>
      <c r="AA6" s="564">
        <v>135.74615</v>
      </c>
      <c r="AB6" s="564">
        <v>130.01310000000001</v>
      </c>
      <c r="AC6" s="564">
        <v>124.48570000000001</v>
      </c>
      <c r="AD6" s="564">
        <v>124.82358000000001</v>
      </c>
      <c r="AE6" s="544">
        <f t="shared" si="1"/>
        <v>124.43558126844862</v>
      </c>
      <c r="AF6" s="544">
        <f t="shared" si="1"/>
        <v>126.89096541065912</v>
      </c>
      <c r="AG6" s="544">
        <f t="shared" si="1"/>
        <v>0</v>
      </c>
      <c r="AH6" s="544">
        <f t="shared" si="1"/>
        <v>1.4928993516841836E-4</v>
      </c>
      <c r="AI6" s="544">
        <f t="shared" si="1"/>
        <v>-1.2148001846933848E-5</v>
      </c>
      <c r="AJ6" s="544">
        <f t="shared" si="1"/>
        <v>0</v>
      </c>
      <c r="AK6" s="300">
        <f t="shared" si="2"/>
        <v>7.228861912326412E-3</v>
      </c>
      <c r="AL6" s="300">
        <f t="shared" si="2"/>
        <v>1.9836671095925018E-2</v>
      </c>
      <c r="AM6" s="414">
        <f t="shared" si="2"/>
        <v>-2.7318832582505892E-2</v>
      </c>
      <c r="AN6" s="414">
        <f t="shared" si="2"/>
        <v>8.2354137181812614E-2</v>
      </c>
      <c r="AO6" s="414">
        <f t="shared" si="2"/>
        <v>-4.2233610308653247E-2</v>
      </c>
      <c r="AP6" s="414">
        <f t="shared" si="2"/>
        <v>-4.2514177417506405E-2</v>
      </c>
    </row>
    <row r="7" spans="1:43" s="2" customFormat="1" ht="15.5">
      <c r="A7" s="69" t="s">
        <v>334</v>
      </c>
      <c r="B7" s="130">
        <v>54.722000000000001</v>
      </c>
      <c r="C7" s="130">
        <v>56.923000000000002</v>
      </c>
      <c r="D7" s="130">
        <v>59.346599999999995</v>
      </c>
      <c r="E7" s="130">
        <v>62.186999999999998</v>
      </c>
      <c r="F7" s="160">
        <v>65.108800000000002</v>
      </c>
      <c r="G7" s="161">
        <v>67.802700000000002</v>
      </c>
      <c r="H7" s="161">
        <v>71.797699999999992</v>
      </c>
      <c r="I7" s="161">
        <v>76.889699999999991</v>
      </c>
      <c r="J7" s="161">
        <v>79.557400000000001</v>
      </c>
      <c r="K7" s="161">
        <v>83.793000000000006</v>
      </c>
      <c r="L7" s="161">
        <v>88.276499999999999</v>
      </c>
      <c r="M7" s="161">
        <v>90.268500000000003</v>
      </c>
      <c r="N7" s="161">
        <v>93.612200000000001</v>
      </c>
      <c r="O7" s="161">
        <v>94.83489999999999</v>
      </c>
      <c r="P7" s="161">
        <v>96.284499999999994</v>
      </c>
      <c r="Q7" s="161">
        <v>97.705100000000002</v>
      </c>
      <c r="R7" s="161">
        <v>101.0384</v>
      </c>
      <c r="S7" s="161">
        <v>99.756500000000003</v>
      </c>
      <c r="T7" s="161">
        <v>98.951399999999992</v>
      </c>
      <c r="U7" s="161">
        <v>102.9405</v>
      </c>
      <c r="V7" s="161">
        <v>102.8985</v>
      </c>
      <c r="W7" s="161">
        <v>104.87479999999999</v>
      </c>
      <c r="X7" s="161">
        <v>106.02979999999999</v>
      </c>
      <c r="Y7" s="161">
        <v>101.2234</v>
      </c>
      <c r="Z7" s="161">
        <v>85.874800000000008</v>
      </c>
      <c r="AA7" s="564">
        <v>91.374899999999997</v>
      </c>
      <c r="AB7" s="564">
        <v>94.697839999999999</v>
      </c>
      <c r="AC7" s="564">
        <v>93.330900000000028</v>
      </c>
      <c r="AD7" s="564">
        <v>95.774400000000014</v>
      </c>
      <c r="AE7" s="544">
        <f t="shared" si="1"/>
        <v>98.889486155433332</v>
      </c>
      <c r="AF7" s="544">
        <f t="shared" si="1"/>
        <v>100.84079038580109</v>
      </c>
      <c r="AG7" s="544">
        <f t="shared" si="1"/>
        <v>0</v>
      </c>
      <c r="AH7" s="544">
        <f t="shared" si="1"/>
        <v>1.1864134700454961E-4</v>
      </c>
      <c r="AI7" s="544">
        <f t="shared" si="1"/>
        <v>-9.6540687817170377E-6</v>
      </c>
      <c r="AJ7" s="544">
        <f t="shared" si="1"/>
        <v>0</v>
      </c>
      <c r="AK7" s="300">
        <f t="shared" si="2"/>
        <v>1.1013131848642388E-2</v>
      </c>
      <c r="AL7" s="300">
        <f t="shared" si="2"/>
        <v>-4.5330652326044163E-2</v>
      </c>
      <c r="AM7" s="414">
        <f t="shared" si="2"/>
        <v>-0.15163094699446955</v>
      </c>
      <c r="AN7" s="414">
        <f t="shared" si="2"/>
        <v>6.4047892979081089E-2</v>
      </c>
      <c r="AO7" s="414">
        <f t="shared" si="2"/>
        <v>3.6366004230921289E-2</v>
      </c>
      <c r="AP7" s="414">
        <f t="shared" si="2"/>
        <v>-1.4434753738838957E-2</v>
      </c>
    </row>
    <row r="8" spans="1:43" s="2" customFormat="1" ht="15.5">
      <c r="A8" s="116" t="s">
        <v>383</v>
      </c>
      <c r="B8" s="131">
        <v>8.1229999999999993</v>
      </c>
      <c r="C8" s="131">
        <v>8.1097000000000001</v>
      </c>
      <c r="D8" s="131">
        <v>8.2747000000000011</v>
      </c>
      <c r="E8" s="131">
        <v>8.2886000000000006</v>
      </c>
      <c r="F8" s="162">
        <v>8.5137999999999998</v>
      </c>
      <c r="G8" s="163">
        <v>8.5672000000000015</v>
      </c>
      <c r="H8" s="163">
        <v>8.9667999999999992</v>
      </c>
      <c r="I8" s="163">
        <v>9.4632000000000005</v>
      </c>
      <c r="J8" s="163">
        <v>9.6026000000000007</v>
      </c>
      <c r="K8" s="163">
        <v>9.9179999999999993</v>
      </c>
      <c r="L8" s="163">
        <v>10.219299999999999</v>
      </c>
      <c r="M8" s="163">
        <v>10.4039</v>
      </c>
      <c r="N8" s="163">
        <v>10.8391</v>
      </c>
      <c r="O8" s="163">
        <v>10.5349</v>
      </c>
      <c r="P8" s="163">
        <v>10.665899999999999</v>
      </c>
      <c r="Q8" s="163">
        <v>10.7202</v>
      </c>
      <c r="R8" s="163">
        <v>10.759</v>
      </c>
      <c r="S8" s="163">
        <v>10.774299999999998</v>
      </c>
      <c r="T8" s="163">
        <v>10.4621</v>
      </c>
      <c r="U8" s="163">
        <v>10.855600000000001</v>
      </c>
      <c r="V8" s="163">
        <v>11.1625</v>
      </c>
      <c r="W8" s="163">
        <v>11.382899999999999</v>
      </c>
      <c r="X8" s="386">
        <v>11.54</v>
      </c>
      <c r="Y8" s="386">
        <v>11.725100000000001</v>
      </c>
      <c r="Z8" s="386">
        <v>10.184700000000001</v>
      </c>
      <c r="AA8" s="565">
        <v>10.934100000000001</v>
      </c>
      <c r="AB8" s="565">
        <v>11.605840000000001</v>
      </c>
      <c r="AC8" s="565">
        <v>11.7636</v>
      </c>
      <c r="AD8" s="565">
        <v>12.2173</v>
      </c>
      <c r="AE8" s="544">
        <f t="shared" si="1"/>
        <v>12.837040630583529</v>
      </c>
      <c r="AF8" s="544">
        <f t="shared" si="1"/>
        <v>13.090343308772075</v>
      </c>
      <c r="AG8" s="544">
        <f t="shared" si="1"/>
        <v>0</v>
      </c>
      <c r="AH8" s="544">
        <f t="shared" si="1"/>
        <v>1.5401068922238339E-5</v>
      </c>
      <c r="AI8" s="544">
        <f t="shared" si="1"/>
        <v>-1.2532138452672152E-6</v>
      </c>
      <c r="AJ8" s="544">
        <f t="shared" si="1"/>
        <v>0</v>
      </c>
      <c r="AK8" s="300">
        <f t="shared" si="2"/>
        <v>1.3801403860176142E-2</v>
      </c>
      <c r="AL8" s="300">
        <f t="shared" si="2"/>
        <v>1.6039861351820006E-2</v>
      </c>
      <c r="AM8" s="414">
        <f t="shared" si="2"/>
        <v>-0.13137627824069731</v>
      </c>
      <c r="AN8" s="414">
        <f t="shared" si="2"/>
        <v>7.3580959674806268E-2</v>
      </c>
      <c r="AO8" s="414">
        <f t="shared" si="2"/>
        <v>6.14353261813958E-2</v>
      </c>
      <c r="AP8" s="414">
        <f t="shared" si="2"/>
        <v>1.3593156548771912E-2</v>
      </c>
    </row>
    <row r="9" spans="1:43" s="2" customFormat="1" ht="15.5">
      <c r="A9" s="69" t="s">
        <v>111</v>
      </c>
      <c r="B9" s="130">
        <v>58.506999999999998</v>
      </c>
      <c r="C9" s="130">
        <v>58.506999999999998</v>
      </c>
      <c r="D9" s="130">
        <v>59.275300000000001</v>
      </c>
      <c r="E9" s="130">
        <v>60.716900000000003</v>
      </c>
      <c r="F9" s="160">
        <v>61.111699999999999</v>
      </c>
      <c r="G9" s="161">
        <v>61.553199999999997</v>
      </c>
      <c r="H9" s="161">
        <v>62.957599999999999</v>
      </c>
      <c r="I9" s="161">
        <v>65.015799999999999</v>
      </c>
      <c r="J9" s="161">
        <v>66.592199999999991</v>
      </c>
      <c r="K9" s="161">
        <v>66.932500000000005</v>
      </c>
      <c r="L9" s="161">
        <v>67.60260000000001</v>
      </c>
      <c r="M9" s="161">
        <v>67.220399999999998</v>
      </c>
      <c r="N9" s="161">
        <v>68.388899999999992</v>
      </c>
      <c r="O9" s="161">
        <v>68.924399999999991</v>
      </c>
      <c r="P9" s="161">
        <v>69.5505</v>
      </c>
      <c r="Q9" s="161">
        <v>70.1404</v>
      </c>
      <c r="R9" s="161">
        <v>69.456600000000009</v>
      </c>
      <c r="S9" s="161">
        <v>66.983199999999997</v>
      </c>
      <c r="T9" s="161">
        <v>64.254999999999995</v>
      </c>
      <c r="U9" s="161">
        <v>66.187300000000008</v>
      </c>
      <c r="V9" s="161">
        <v>64.304199999999994</v>
      </c>
      <c r="W9" s="161">
        <v>65.490700000000004</v>
      </c>
      <c r="X9" s="161">
        <v>65.137799999999999</v>
      </c>
      <c r="Y9" s="161">
        <v>65.587999999999994</v>
      </c>
      <c r="Z9" s="161">
        <v>66.211600000000004</v>
      </c>
      <c r="AA9" s="564">
        <v>67.052289999999999</v>
      </c>
      <c r="AB9" s="564">
        <v>64.525139999999993</v>
      </c>
      <c r="AC9" s="564">
        <v>63.222099999999998</v>
      </c>
      <c r="AD9" s="564">
        <v>65.429299999999998</v>
      </c>
      <c r="AE9" s="544">
        <f t="shared" si="1"/>
        <v>63.674682607318232</v>
      </c>
      <c r="AF9" s="544">
        <f t="shared" si="1"/>
        <v>64.931122319662293</v>
      </c>
      <c r="AG9" s="544">
        <f t="shared" si="1"/>
        <v>0</v>
      </c>
      <c r="AH9" s="544">
        <f t="shared" si="1"/>
        <v>7.6392854370235146E-5</v>
      </c>
      <c r="AI9" s="544">
        <f t="shared" si="1"/>
        <v>-6.2162297474055284E-6</v>
      </c>
      <c r="AJ9" s="544">
        <f t="shared" si="1"/>
        <v>0</v>
      </c>
      <c r="AK9" s="300">
        <f t="shared" si="2"/>
        <v>-5.3885513515660177E-3</v>
      </c>
      <c r="AL9" s="300">
        <f t="shared" si="2"/>
        <v>6.9115014630520832E-3</v>
      </c>
      <c r="AM9" s="414">
        <f t="shared" si="2"/>
        <v>9.5078367994145818E-3</v>
      </c>
      <c r="AN9" s="414">
        <f t="shared" si="2"/>
        <v>1.2697019857547565E-2</v>
      </c>
      <c r="AO9" s="414">
        <f t="shared" si="2"/>
        <v>-3.7689242231697118E-2</v>
      </c>
      <c r="AP9" s="414">
        <f t="shared" si="2"/>
        <v>-2.0194299462194087E-2</v>
      </c>
    </row>
    <row r="10" spans="1:43" s="2" customFormat="1" ht="15.5">
      <c r="A10" s="6" t="s">
        <v>49</v>
      </c>
      <c r="B10" s="132">
        <f t="shared" ref="B10:S10" si="3">SUM(B5:B7,B9)</f>
        <v>246.464</v>
      </c>
      <c r="C10" s="132">
        <f t="shared" si="3"/>
        <v>253.673</v>
      </c>
      <c r="D10" s="132">
        <f t="shared" si="3"/>
        <v>260.80899999999997</v>
      </c>
      <c r="E10" s="132">
        <f t="shared" si="3"/>
        <v>267.2842</v>
      </c>
      <c r="F10" s="164">
        <f t="shared" si="3"/>
        <v>279.31950000000001</v>
      </c>
      <c r="G10" s="164">
        <f t="shared" si="3"/>
        <v>285.49189999999999</v>
      </c>
      <c r="H10" s="164">
        <f t="shared" si="3"/>
        <v>290.95959999999997</v>
      </c>
      <c r="I10" s="164">
        <f t="shared" si="3"/>
        <v>299.78860000000003</v>
      </c>
      <c r="J10" s="164">
        <f t="shared" si="3"/>
        <v>304.48969999999997</v>
      </c>
      <c r="K10" s="164">
        <f t="shared" si="3"/>
        <v>309.81669999999997</v>
      </c>
      <c r="L10" s="164">
        <f t="shared" si="3"/>
        <v>317.53320000000002</v>
      </c>
      <c r="M10" s="164">
        <f t="shared" si="3"/>
        <v>318.95239999999995</v>
      </c>
      <c r="N10" s="164">
        <f t="shared" si="3"/>
        <v>319.03719999999998</v>
      </c>
      <c r="O10" s="164">
        <f t="shared" si="3"/>
        <v>299.9151</v>
      </c>
      <c r="P10" s="445">
        <f t="shared" si="3"/>
        <v>309.88459999999998</v>
      </c>
      <c r="Q10" s="164">
        <f t="shared" si="3"/>
        <v>313.7921</v>
      </c>
      <c r="R10" s="164">
        <f t="shared" si="3"/>
        <v>307.21949999999998</v>
      </c>
      <c r="S10" s="445">
        <f t="shared" si="3"/>
        <v>297.2876</v>
      </c>
      <c r="T10" s="164">
        <f t="shared" ref="T10:AD10" si="4">SUM(T5:T7,T9)</f>
        <v>291.08349999999996</v>
      </c>
      <c r="U10" s="445">
        <f t="shared" si="4"/>
        <v>297.18</v>
      </c>
      <c r="V10" s="164">
        <f t="shared" si="4"/>
        <v>295.50819999999999</v>
      </c>
      <c r="W10" s="164">
        <f t="shared" si="4"/>
        <v>301.88049999999998</v>
      </c>
      <c r="X10" s="445">
        <f t="shared" si="4"/>
        <v>303.44290000000001</v>
      </c>
      <c r="Y10" s="504">
        <f t="shared" si="4"/>
        <v>301.80378999999999</v>
      </c>
      <c r="Z10" s="504">
        <f t="shared" si="4"/>
        <v>283.81439999999998</v>
      </c>
      <c r="AA10" s="1061">
        <f t="shared" si="4"/>
        <v>300.88713999999999</v>
      </c>
      <c r="AB10" s="1061">
        <f t="shared" si="4"/>
        <v>295.85338000000002</v>
      </c>
      <c r="AC10" s="1061">
        <f t="shared" si="4"/>
        <v>287.37210000000005</v>
      </c>
      <c r="AD10" s="1061">
        <f t="shared" si="4"/>
        <v>292.71248000000003</v>
      </c>
      <c r="AE10" s="544">
        <f t="shared" ref="AE10:AJ10" si="5">AE$12*AE26</f>
        <v>293.64755931836578</v>
      </c>
      <c r="AF10" s="544">
        <f t="shared" si="5"/>
        <v>299.44186311153618</v>
      </c>
      <c r="AG10" s="544">
        <f t="shared" si="5"/>
        <v>0</v>
      </c>
      <c r="AH10" s="544">
        <f t="shared" si="5"/>
        <v>3.5229975740161276E-4</v>
      </c>
      <c r="AI10" s="544">
        <f t="shared" si="5"/>
        <v>-2.8667291594447005E-5</v>
      </c>
      <c r="AJ10" s="544">
        <f t="shared" si="5"/>
        <v>0</v>
      </c>
      <c r="AK10" s="476">
        <f t="shared" si="2"/>
        <v>5.1755578780345868E-3</v>
      </c>
      <c r="AL10" s="476">
        <f t="shared" si="2"/>
        <v>-5.401708196171362E-3</v>
      </c>
      <c r="AM10" s="414">
        <f t="shared" si="2"/>
        <v>-5.9606242850694491E-2</v>
      </c>
      <c r="AN10" s="414">
        <f t="shared" si="2"/>
        <v>6.0154593988183791E-2</v>
      </c>
      <c r="AO10" s="414">
        <f t="shared" si="2"/>
        <v>-1.6729727963780583E-2</v>
      </c>
      <c r="AP10" s="414">
        <f t="shared" si="2"/>
        <v>-2.8667172908418248E-2</v>
      </c>
    </row>
    <row r="11" spans="1:43" ht="15.5">
      <c r="A11" s="297"/>
      <c r="B11" s="298"/>
      <c r="C11" s="298"/>
      <c r="D11" s="298"/>
      <c r="E11" s="298"/>
      <c r="T11" s="573">
        <f t="shared" ref="T11:AB11" si="6">SUM(T5:T7,T9)-T12</f>
        <v>-1.2920000000349319E-3</v>
      </c>
      <c r="U11" s="573">
        <f t="shared" si="6"/>
        <v>-9.5299999998132989E-4</v>
      </c>
      <c r="V11" s="573">
        <f t="shared" si="6"/>
        <v>-6.6199999997706982E-4</v>
      </c>
      <c r="W11" s="573">
        <f t="shared" si="6"/>
        <v>2.8279999355618202E-6</v>
      </c>
      <c r="X11" s="573">
        <f t="shared" si="6"/>
        <v>-9.6727019979425677E-5</v>
      </c>
      <c r="Y11" s="573">
        <f t="shared" si="6"/>
        <v>-9.9999999747524271E-6</v>
      </c>
      <c r="Z11" s="573">
        <f t="shared" si="6"/>
        <v>-1.0000000003174137E-4</v>
      </c>
      <c r="AA11" s="573">
        <f t="shared" si="6"/>
        <v>3.3944600033919414E-5</v>
      </c>
      <c r="AB11" s="573">
        <f t="shared" si="6"/>
        <v>-6.2164829955690948E-5</v>
      </c>
      <c r="AC11" s="573">
        <f t="shared" ref="AC11:AJ11" si="7">SUM(AC5:AC7,AC9)-AC12</f>
        <v>-2.4626438971608877E-5</v>
      </c>
      <c r="AD11" s="573">
        <f t="shared" si="7"/>
        <v>-4.4109611849307839E-5</v>
      </c>
      <c r="AE11" s="573">
        <f t="shared" si="7"/>
        <v>-2.224972951125892E-5</v>
      </c>
      <c r="AF11" s="573">
        <f t="shared" si="7"/>
        <v>-2.2688764943268325E-5</v>
      </c>
      <c r="AG11" s="573">
        <f t="shared" si="7"/>
        <v>0</v>
      </c>
      <c r="AH11" s="573">
        <f t="shared" si="7"/>
        <v>-2.6693817349685706E-11</v>
      </c>
      <c r="AI11" s="573">
        <f t="shared" si="7"/>
        <v>2.1721259502432283E-12</v>
      </c>
      <c r="AJ11" s="573">
        <f t="shared" si="7"/>
        <v>0</v>
      </c>
      <c r="AK11" s="300"/>
      <c r="AL11" s="300"/>
      <c r="AM11" s="300"/>
      <c r="AN11" s="300"/>
      <c r="AO11" s="301"/>
      <c r="AP11" s="2"/>
    </row>
    <row r="12" spans="1:43" ht="15.5">
      <c r="F12" s="296">
        <v>279.31968399999994</v>
      </c>
      <c r="G12" s="296">
        <v>285.49120199999993</v>
      </c>
      <c r="H12" s="296">
        <v>290.96030300000001</v>
      </c>
      <c r="I12" s="296">
        <v>299.78784000000002</v>
      </c>
      <c r="J12" s="296">
        <v>304.51493099999999</v>
      </c>
      <c r="K12" s="296">
        <v>309.84293400000001</v>
      </c>
      <c r="L12" s="296">
        <v>317.56662900000009</v>
      </c>
      <c r="M12" s="296">
        <v>318.9529280000001</v>
      </c>
      <c r="N12" s="296">
        <v>319.03661399999999</v>
      </c>
      <c r="O12" s="296">
        <v>299.91818499999999</v>
      </c>
      <c r="P12" s="296">
        <v>309.88165799999996</v>
      </c>
      <c r="Q12" s="296">
        <v>313.78562799999997</v>
      </c>
      <c r="R12" s="296">
        <v>307.21658199999996</v>
      </c>
      <c r="S12" s="296">
        <v>297.28669700000006</v>
      </c>
      <c r="T12" s="296">
        <v>291.08479199999999</v>
      </c>
      <c r="U12" s="296">
        <v>297.18095299999999</v>
      </c>
      <c r="V12" s="296">
        <v>295.50886199999997</v>
      </c>
      <c r="W12" s="296">
        <v>301.88049717200005</v>
      </c>
      <c r="X12" s="296">
        <v>303.44299672701999</v>
      </c>
      <c r="Y12" s="296">
        <v>301.80379999999997</v>
      </c>
      <c r="Z12" s="296">
        <v>283.81450000000001</v>
      </c>
      <c r="AA12" s="296">
        <v>300.88710605539995</v>
      </c>
      <c r="AB12" s="1062">
        <v>295.85344216482997</v>
      </c>
      <c r="AC12" s="1062">
        <v>287.37212462643902</v>
      </c>
      <c r="AD12" s="1062">
        <v>292.71252410961188</v>
      </c>
      <c r="AE12" s="511">
        <v>293.64758156809529</v>
      </c>
      <c r="AF12" s="511">
        <v>299.44188580030112</v>
      </c>
      <c r="AG12" s="511">
        <v>0</v>
      </c>
      <c r="AH12" s="511">
        <v>3.5229978409543006E-4</v>
      </c>
      <c r="AI12" s="511">
        <v>-2.8667293766572956E-5</v>
      </c>
      <c r="AJ12" s="511">
        <v>0</v>
      </c>
      <c r="AK12" s="300"/>
      <c r="AL12" s="300"/>
      <c r="AM12" s="300"/>
      <c r="AN12" s="300"/>
      <c r="AO12" s="302"/>
      <c r="AP12" s="2"/>
    </row>
    <row r="13" spans="1:43" ht="15.5">
      <c r="A13" s="68" t="s">
        <v>420</v>
      </c>
      <c r="T13" s="296"/>
      <c r="U13" s="296"/>
      <c r="V13" s="296"/>
      <c r="W13" s="296"/>
      <c r="X13" s="296"/>
      <c r="Y13" s="296" t="s">
        <v>419</v>
      </c>
      <c r="Z13" s="296"/>
      <c r="AA13" s="511"/>
      <c r="AB13" s="511"/>
      <c r="AC13" s="511"/>
      <c r="AD13" s="511"/>
      <c r="AE13" s="511"/>
      <c r="AF13" s="511"/>
      <c r="AG13" s="511"/>
      <c r="AH13" s="511"/>
      <c r="AI13" s="511"/>
      <c r="AJ13" s="511"/>
      <c r="AK13" s="300"/>
      <c r="AL13" s="300"/>
      <c r="AM13" s="300"/>
      <c r="AN13" s="300"/>
      <c r="AO13" s="302"/>
      <c r="AP13" s="302"/>
    </row>
    <row r="14" spans="1:43" ht="15.5">
      <c r="A14" s="542" t="s">
        <v>421</v>
      </c>
      <c r="F14" s="123">
        <v>138.60300000000001</v>
      </c>
      <c r="G14" s="123">
        <v>141.03299999999999</v>
      </c>
      <c r="H14" s="123">
        <v>140.38900000000001</v>
      </c>
      <c r="I14" s="123">
        <v>141.21</v>
      </c>
      <c r="J14" s="123">
        <v>141.35</v>
      </c>
      <c r="K14" s="123">
        <v>141.77500000000001</v>
      </c>
      <c r="L14" s="123">
        <v>144.005</v>
      </c>
      <c r="M14" s="123">
        <v>142.648</v>
      </c>
      <c r="N14" s="123">
        <v>138.13800000000001</v>
      </c>
      <c r="O14" s="123">
        <v>117.578</v>
      </c>
      <c r="P14" s="123">
        <v>125.05800000000001</v>
      </c>
      <c r="Q14" s="123">
        <v>125.43430000000001</v>
      </c>
      <c r="R14" s="123">
        <v>117.4872</v>
      </c>
      <c r="S14" s="123">
        <v>112.3817</v>
      </c>
      <c r="T14" s="123">
        <v>110.31329999999998</v>
      </c>
      <c r="U14" s="123">
        <v>109.91959999999999</v>
      </c>
      <c r="V14" s="123">
        <v>110.3973</v>
      </c>
      <c r="W14" s="123">
        <v>112.5804</v>
      </c>
      <c r="X14" s="123">
        <v>113.69429999999997</v>
      </c>
      <c r="Y14" s="538">
        <v>114.41189999999999</v>
      </c>
      <c r="Z14" s="538">
        <v>110.7105</v>
      </c>
      <c r="AA14" s="538">
        <v>120.40294999999998</v>
      </c>
      <c r="AB14" s="538">
        <v>114.77909999999999</v>
      </c>
      <c r="AC14" s="538">
        <v>109.66810000000002</v>
      </c>
      <c r="AD14" s="538">
        <v>109.24118000000001</v>
      </c>
      <c r="AE14" s="538">
        <v>108.90161724051838</v>
      </c>
      <c r="AF14" s="123"/>
      <c r="AG14" s="123"/>
      <c r="AH14" s="123"/>
      <c r="AI14" s="123"/>
      <c r="AJ14" s="123"/>
      <c r="AK14" s="300"/>
      <c r="AL14" s="300"/>
      <c r="AM14" s="300"/>
      <c r="AN14" s="300"/>
      <c r="AO14" s="302"/>
      <c r="AP14" s="302"/>
    </row>
    <row r="15" spans="1:43" ht="15.5">
      <c r="A15" s="542" t="s">
        <v>417</v>
      </c>
      <c r="F15" s="436">
        <v>1.2330000000000001</v>
      </c>
      <c r="G15" s="436">
        <v>1.212</v>
      </c>
      <c r="H15" s="436">
        <v>1.325</v>
      </c>
      <c r="I15" s="436">
        <v>1.5089999999999999</v>
      </c>
      <c r="J15" s="436">
        <v>1.6080000000000001</v>
      </c>
      <c r="K15" s="436">
        <v>1.7090000000000001</v>
      </c>
      <c r="L15" s="436">
        <v>1.7549999999999999</v>
      </c>
      <c r="M15" s="436">
        <v>1.7969999999999999</v>
      </c>
      <c r="N15" s="436">
        <v>1.8879999999999999</v>
      </c>
      <c r="O15" s="436">
        <v>1.8080000000000001</v>
      </c>
      <c r="P15" s="436">
        <v>1.752</v>
      </c>
      <c r="Q15" s="436">
        <v>1.6402000000000001</v>
      </c>
      <c r="R15" s="436">
        <v>1.4458</v>
      </c>
      <c r="S15" s="436">
        <v>1.2900999999999998</v>
      </c>
      <c r="T15" s="436">
        <v>1.2510999999999999</v>
      </c>
      <c r="U15" s="436">
        <v>1.355</v>
      </c>
      <c r="V15" s="436">
        <v>1.353</v>
      </c>
      <c r="W15" s="436">
        <v>1.3859999999999999</v>
      </c>
      <c r="X15" s="436">
        <v>1.4195</v>
      </c>
      <c r="Y15" s="539">
        <v>1.8888</v>
      </c>
      <c r="Z15" s="539">
        <v>1.9032</v>
      </c>
      <c r="AA15" s="539">
        <v>2.2254999999999998</v>
      </c>
      <c r="AB15" s="539">
        <v>2.2343999999999999</v>
      </c>
      <c r="AC15" s="539">
        <v>2.2399</v>
      </c>
      <c r="AD15" s="539">
        <v>2.4235000000000002</v>
      </c>
      <c r="AE15" s="539">
        <v>2.4159668486041275</v>
      </c>
      <c r="AF15" s="436"/>
      <c r="AG15" s="436"/>
      <c r="AH15" s="436"/>
      <c r="AI15" s="436"/>
      <c r="AJ15" s="436"/>
      <c r="AK15" s="300"/>
      <c r="AL15" s="300"/>
      <c r="AM15" s="300"/>
      <c r="AN15" s="300"/>
      <c r="AO15" s="302"/>
      <c r="AP15" s="302"/>
    </row>
    <row r="16" spans="1:43" ht="15.5">
      <c r="A16" s="542" t="s">
        <v>422</v>
      </c>
      <c r="F16" s="436">
        <v>7.0910000000000002</v>
      </c>
      <c r="G16" s="436">
        <v>7.4180000000000001</v>
      </c>
      <c r="H16" s="436">
        <v>8.2769999999999992</v>
      </c>
      <c r="I16" s="436">
        <v>8.6780000000000008</v>
      </c>
      <c r="J16" s="436">
        <v>8.6929999999999996</v>
      </c>
      <c r="K16" s="436">
        <v>8.8049999999999997</v>
      </c>
      <c r="L16" s="436">
        <v>8.9130000000000003</v>
      </c>
      <c r="M16" s="436">
        <v>9.9049999999999994</v>
      </c>
      <c r="N16" s="436">
        <v>9.9139999999999997</v>
      </c>
      <c r="O16" s="436">
        <v>9.81</v>
      </c>
      <c r="P16" s="436">
        <v>10.321999999999999</v>
      </c>
      <c r="Q16" s="436">
        <v>11.731999999999999</v>
      </c>
      <c r="R16" s="436">
        <v>10.728599999999998</v>
      </c>
      <c r="S16" s="436">
        <v>10.1082</v>
      </c>
      <c r="T16" s="436">
        <v>9.9001000000000001</v>
      </c>
      <c r="U16" s="436">
        <v>10.0626</v>
      </c>
      <c r="V16" s="436">
        <v>10.032999999999999</v>
      </c>
      <c r="W16" s="436">
        <v>10.5677</v>
      </c>
      <c r="X16" s="436">
        <v>10.265900000000002</v>
      </c>
      <c r="Y16" s="539">
        <v>11.584389999999999</v>
      </c>
      <c r="Z16" s="539">
        <v>11.8954</v>
      </c>
      <c r="AA16" s="539">
        <v>12.155200000000001</v>
      </c>
      <c r="AB16" s="539">
        <v>12.0929</v>
      </c>
      <c r="AC16" s="539">
        <v>11.680800000000001</v>
      </c>
      <c r="AD16" s="539">
        <v>12.227400000000001</v>
      </c>
      <c r="AE16" s="539">
        <v>12.189392632400294</v>
      </c>
      <c r="AF16" s="436"/>
      <c r="AG16" s="436"/>
      <c r="AH16" s="436"/>
      <c r="AI16" s="436"/>
      <c r="AJ16" s="436"/>
      <c r="AK16" s="300"/>
      <c r="AL16" s="300"/>
      <c r="AM16" s="300"/>
      <c r="AN16" s="300"/>
      <c r="AO16" s="302"/>
      <c r="AP16" s="302"/>
    </row>
    <row r="17" spans="1:42" ht="15.5">
      <c r="A17" s="543" t="s">
        <v>418</v>
      </c>
      <c r="F17" s="436">
        <v>1.2649999999999999</v>
      </c>
      <c r="G17" s="436">
        <v>1.31</v>
      </c>
      <c r="H17" s="436">
        <v>1.3220000000000001</v>
      </c>
      <c r="I17" s="436">
        <v>1.325</v>
      </c>
      <c r="J17" s="436">
        <v>1.504</v>
      </c>
      <c r="K17" s="436">
        <v>1.4370000000000001</v>
      </c>
      <c r="L17" s="436">
        <v>1.4790000000000001</v>
      </c>
      <c r="M17" s="436">
        <v>1.4530000000000001</v>
      </c>
      <c r="N17" s="436">
        <v>1.427</v>
      </c>
      <c r="O17" s="436">
        <v>1.3089999999999999</v>
      </c>
      <c r="P17" s="436">
        <v>1.3069999999999999</v>
      </c>
      <c r="Q17" s="436">
        <v>1.2332000000000001</v>
      </c>
      <c r="R17" s="436">
        <v>1.1391</v>
      </c>
      <c r="S17" s="436">
        <v>1.0908000000000002</v>
      </c>
      <c r="T17" s="436">
        <v>1.0405</v>
      </c>
      <c r="U17" s="436">
        <v>1.0250999999999999</v>
      </c>
      <c r="V17" s="436">
        <v>0.95469999999999988</v>
      </c>
      <c r="W17" s="436">
        <v>0.99060000000000004</v>
      </c>
      <c r="X17" s="436">
        <v>1.0526</v>
      </c>
      <c r="Y17" s="539">
        <v>1.0549000000000002</v>
      </c>
      <c r="Z17" s="539">
        <v>0.9083</v>
      </c>
      <c r="AA17" s="539">
        <v>0.96250000000000002</v>
      </c>
      <c r="AB17" s="539">
        <v>0.90670000000000006</v>
      </c>
      <c r="AC17" s="539">
        <v>0.89690000000000003</v>
      </c>
      <c r="AD17" s="539">
        <v>0.93149999999999999</v>
      </c>
      <c r="AE17" s="539">
        <v>0.92860454692582828</v>
      </c>
      <c r="AF17" s="436"/>
      <c r="AG17" s="436"/>
      <c r="AH17" s="436"/>
      <c r="AI17" s="436"/>
      <c r="AJ17" s="436"/>
      <c r="AK17" s="300"/>
      <c r="AL17" s="300"/>
      <c r="AM17" s="300"/>
      <c r="AN17" s="300"/>
      <c r="AO17" s="302"/>
      <c r="AP17" s="302"/>
    </row>
    <row r="18" spans="1:42" ht="15.5">
      <c r="A18" s="541" t="s">
        <v>49</v>
      </c>
      <c r="F18" s="296">
        <f t="shared" ref="F18:W18" si="8">SUM(F14:F17)-F6</f>
        <v>-3.9999999998485691E-4</v>
      </c>
      <c r="G18" s="296">
        <f t="shared" si="8"/>
        <v>-4.0000000001327862E-4</v>
      </c>
      <c r="H18" s="296">
        <f t="shared" si="8"/>
        <v>-1.1000000000080945E-3</v>
      </c>
      <c r="I18" s="296">
        <f t="shared" si="8"/>
        <v>1.0999999999796728E-3</v>
      </c>
      <c r="J18" s="296">
        <f t="shared" si="8"/>
        <v>-2.9999999998153726E-4</v>
      </c>
      <c r="K18" s="296">
        <f t="shared" si="8"/>
        <v>-7.9999999996971383E-4</v>
      </c>
      <c r="L18" s="296">
        <f t="shared" si="8"/>
        <v>1.4000000000180535E-3</v>
      </c>
      <c r="M18" s="296">
        <f t="shared" si="8"/>
        <v>-1.2999999999863121E-3</v>
      </c>
      <c r="N18" s="296">
        <f t="shared" si="8"/>
        <v>3.9999999998485691E-4</v>
      </c>
      <c r="O18" s="296">
        <f t="shared" si="8"/>
        <v>-9.0000000000145519E-4</v>
      </c>
      <c r="P18" s="296">
        <f t="shared" si="8"/>
        <v>-2.9999999998153726E-4</v>
      </c>
      <c r="Q18" s="296">
        <f t="shared" si="8"/>
        <v>1.0000000000331966E-4</v>
      </c>
      <c r="R18" s="296">
        <f t="shared" si="8"/>
        <v>-1.999999999782176E-4</v>
      </c>
      <c r="S18" s="296">
        <f t="shared" si="8"/>
        <v>0</v>
      </c>
      <c r="T18" s="296">
        <f t="shared" si="8"/>
        <v>0</v>
      </c>
      <c r="U18" s="296">
        <f t="shared" si="8"/>
        <v>0</v>
      </c>
      <c r="V18" s="296">
        <f t="shared" si="8"/>
        <v>0</v>
      </c>
      <c r="W18" s="296">
        <f t="shared" si="8"/>
        <v>9.9999999989108801E-5</v>
      </c>
      <c r="X18" s="296">
        <f t="shared" ref="X18:AE18" si="9">SUM(X14:X17)-X6</f>
        <v>2.999999999673264E-4</v>
      </c>
      <c r="Y18" s="540">
        <f t="shared" si="9"/>
        <v>0</v>
      </c>
      <c r="Z18" s="540">
        <f t="shared" si="9"/>
        <v>-1.0000000001753051E-4</v>
      </c>
      <c r="AA18" s="540">
        <f t="shared" si="9"/>
        <v>0</v>
      </c>
      <c r="AB18" s="540">
        <f t="shared" si="9"/>
        <v>0</v>
      </c>
      <c r="AC18" s="540">
        <f t="shared" si="9"/>
        <v>0</v>
      </c>
      <c r="AD18" s="540">
        <f t="shared" si="9"/>
        <v>0</v>
      </c>
      <c r="AE18" s="540">
        <f t="shared" si="9"/>
        <v>0</v>
      </c>
      <c r="AF18" s="296"/>
      <c r="AG18" s="296"/>
      <c r="AH18" s="296"/>
      <c r="AI18" s="296"/>
      <c r="AJ18" s="296"/>
      <c r="AK18" s="300"/>
      <c r="AL18" s="300"/>
      <c r="AM18" s="300"/>
      <c r="AN18" s="300"/>
      <c r="AO18" s="302"/>
      <c r="AP18" s="302"/>
    </row>
    <row r="19" spans="1:42" ht="15.5">
      <c r="A19" s="537"/>
      <c r="T19" s="296"/>
      <c r="U19" s="296"/>
      <c r="V19" s="296"/>
      <c r="W19" s="296"/>
      <c r="X19" s="296"/>
      <c r="Y19" s="296"/>
      <c r="Z19" s="296"/>
      <c r="AA19" s="511"/>
      <c r="AB19" s="511"/>
      <c r="AC19" s="511"/>
      <c r="AD19" s="511"/>
      <c r="AE19" s="950"/>
      <c r="AF19" s="511"/>
      <c r="AG19" s="511"/>
      <c r="AH19" s="511"/>
      <c r="AI19" s="511"/>
      <c r="AJ19" s="511"/>
      <c r="AK19" s="300"/>
      <c r="AL19" s="300"/>
      <c r="AM19" s="300"/>
      <c r="AN19" s="300"/>
      <c r="AO19" s="302"/>
      <c r="AP19" s="302"/>
    </row>
    <row r="20" spans="1:42">
      <c r="F20" s="68">
        <f>F3</f>
        <v>2000</v>
      </c>
      <c r="G20" s="68">
        <f t="shared" ref="G20:X20" si="10">G3</f>
        <v>2001</v>
      </c>
      <c r="H20" s="68">
        <f t="shared" si="10"/>
        <v>2002</v>
      </c>
      <c r="I20" s="68">
        <f t="shared" si="10"/>
        <v>2003</v>
      </c>
      <c r="J20" s="68">
        <f t="shared" si="10"/>
        <v>2004</v>
      </c>
      <c r="K20" s="68">
        <f t="shared" si="10"/>
        <v>2005</v>
      </c>
      <c r="L20" s="68">
        <f t="shared" si="10"/>
        <v>2006</v>
      </c>
      <c r="M20" s="68">
        <f t="shared" si="10"/>
        <v>2007</v>
      </c>
      <c r="N20" s="68">
        <f t="shared" si="10"/>
        <v>2008</v>
      </c>
      <c r="O20" s="68">
        <f t="shared" si="10"/>
        <v>2009</v>
      </c>
      <c r="P20" s="68">
        <f t="shared" si="10"/>
        <v>2010</v>
      </c>
      <c r="Q20" s="68">
        <f t="shared" si="10"/>
        <v>2011</v>
      </c>
      <c r="R20" s="68">
        <f t="shared" si="10"/>
        <v>2012</v>
      </c>
      <c r="S20" s="68">
        <f t="shared" si="10"/>
        <v>2013</v>
      </c>
      <c r="T20" s="68">
        <f t="shared" si="10"/>
        <v>2014</v>
      </c>
      <c r="U20" s="68">
        <f t="shared" si="10"/>
        <v>2015</v>
      </c>
      <c r="V20" s="68">
        <f t="shared" si="10"/>
        <v>2016</v>
      </c>
      <c r="W20" s="68">
        <f t="shared" si="10"/>
        <v>2017</v>
      </c>
      <c r="X20" s="68">
        <f t="shared" si="10"/>
        <v>2018</v>
      </c>
      <c r="Y20" s="68">
        <f t="shared" ref="Y20:AD20" si="11">Y3</f>
        <v>2019</v>
      </c>
      <c r="Z20" s="68">
        <f t="shared" si="11"/>
        <v>2020</v>
      </c>
      <c r="AA20" s="68">
        <f t="shared" si="11"/>
        <v>2021</v>
      </c>
      <c r="AB20" s="68">
        <f t="shared" si="11"/>
        <v>2022</v>
      </c>
      <c r="AC20" s="68">
        <f t="shared" si="11"/>
        <v>2023</v>
      </c>
      <c r="AD20" s="68">
        <f t="shared" si="11"/>
        <v>2024</v>
      </c>
      <c r="AE20" s="241">
        <f t="shared" ref="AE20:AJ20" si="12">AE3</f>
        <v>2025</v>
      </c>
      <c r="AF20" s="241">
        <f t="shared" si="12"/>
        <v>2026</v>
      </c>
      <c r="AG20" s="241">
        <f t="shared" si="12"/>
        <v>2027</v>
      </c>
      <c r="AH20" s="241">
        <f t="shared" si="12"/>
        <v>2028</v>
      </c>
      <c r="AI20" s="241">
        <f t="shared" si="12"/>
        <v>2029</v>
      </c>
      <c r="AJ20" s="241">
        <f t="shared" si="12"/>
        <v>2030</v>
      </c>
      <c r="AL20" s="426"/>
    </row>
    <row r="21" spans="1:42">
      <c r="A21" t="str">
        <f>A5</f>
        <v>Agricoltura e Pesca</v>
      </c>
      <c r="F21" s="475">
        <f t="shared" ref="F21:Z21" si="13">F5/F$12</f>
        <v>1.7566252151423746E-2</v>
      </c>
      <c r="G21" s="475">
        <f t="shared" si="13"/>
        <v>1.8083219251008659E-2</v>
      </c>
      <c r="H21" s="475">
        <f t="shared" si="13"/>
        <v>1.6807103751194541E-2</v>
      </c>
      <c r="I21" s="475">
        <f t="shared" si="13"/>
        <v>1.721951097149237E-2</v>
      </c>
      <c r="J21" s="475">
        <f t="shared" si="13"/>
        <v>1.7026422917830589E-2</v>
      </c>
      <c r="K21" s="475">
        <f t="shared" si="13"/>
        <v>1.7313288157799332E-2</v>
      </c>
      <c r="L21" s="475">
        <f t="shared" si="13"/>
        <v>1.733022143205103E-2</v>
      </c>
      <c r="M21" s="475">
        <f t="shared" si="13"/>
        <v>1.7743057056996192E-2</v>
      </c>
      <c r="N21" s="475">
        <f t="shared" si="13"/>
        <v>1.777068759888481E-2</v>
      </c>
      <c r="O21" s="475">
        <f t="shared" si="13"/>
        <v>1.8838137474058134E-2</v>
      </c>
      <c r="P21" s="475">
        <f t="shared" si="13"/>
        <v>1.8104653357702123E-2</v>
      </c>
      <c r="Q21" s="475">
        <f t="shared" si="13"/>
        <v>1.8824953958694376E-2</v>
      </c>
      <c r="R21" s="475">
        <f t="shared" si="13"/>
        <v>1.9281511308526962E-2</v>
      </c>
      <c r="S21" s="475">
        <f t="shared" si="13"/>
        <v>1.9096380891876905E-2</v>
      </c>
      <c r="T21" s="475">
        <f t="shared" si="13"/>
        <v>1.8455447167435669E-2</v>
      </c>
      <c r="U21" s="475">
        <f t="shared" si="13"/>
        <v>1.9146247236107354E-2</v>
      </c>
      <c r="V21" s="475">
        <f t="shared" si="13"/>
        <v>1.8840382526328435E-2</v>
      </c>
      <c r="W21" s="475">
        <f t="shared" si="13"/>
        <v>1.9843613801215181E-2</v>
      </c>
      <c r="X21" s="475">
        <f t="shared" si="13"/>
        <v>1.9256664556528504E-2</v>
      </c>
      <c r="Y21" s="475">
        <f t="shared" si="13"/>
        <v>2.0054088119500154E-2</v>
      </c>
      <c r="Z21" s="475">
        <f t="shared" si="13"/>
        <v>2.2234593369965243E-2</v>
      </c>
      <c r="AA21" s="475">
        <f t="shared" ref="AA21:AB25" si="14">AA5/AA$12</f>
        <v>2.2313352300194083E-2</v>
      </c>
      <c r="AB21" s="475">
        <f t="shared" si="14"/>
        <v>2.2366817676953976E-2</v>
      </c>
      <c r="AC21" s="475">
        <f t="shared" ref="AC21:AD25" si="15">AC5/AC$12</f>
        <v>2.2039019992746052E-2</v>
      </c>
      <c r="AD21" s="475">
        <f t="shared" si="15"/>
        <v>2.283879044921425E-2</v>
      </c>
      <c r="AE21" s="572" cm="1">
        <f t="array" ref="AE21">TREND(Z21:AD21,$Z$20:$AD$20,AE$20)</f>
        <v>2.2638733313129711E-2</v>
      </c>
      <c r="AF21" s="572">
        <f t="shared" ref="AF21:AJ25" si="16">AE21</f>
        <v>2.2638733313129711E-2</v>
      </c>
      <c r="AG21" s="572">
        <f t="shared" si="16"/>
        <v>2.2638733313129711E-2</v>
      </c>
      <c r="AH21" s="572">
        <f t="shared" si="16"/>
        <v>2.2638733313129711E-2</v>
      </c>
      <c r="AI21" s="572">
        <f t="shared" si="16"/>
        <v>2.2638733313129711E-2</v>
      </c>
      <c r="AJ21" s="572">
        <f t="shared" si="16"/>
        <v>2.2638733313129711E-2</v>
      </c>
      <c r="AL21" s="427"/>
    </row>
    <row r="22" spans="1:42">
      <c r="A22" t="str">
        <f>A6</f>
        <v>Industria</v>
      </c>
      <c r="F22" s="475">
        <f t="shared" ref="F22:Z25" si="17">F6/F$12</f>
        <v>0.5305476430368582</v>
      </c>
      <c r="G22" s="475">
        <f t="shared" si="17"/>
        <v>0.52881979879716234</v>
      </c>
      <c r="H22" s="475">
        <f t="shared" si="17"/>
        <v>0.52005066821778778</v>
      </c>
      <c r="I22" s="475">
        <f t="shared" si="17"/>
        <v>0.50942993551706428</v>
      </c>
      <c r="J22" s="475">
        <f t="shared" si="17"/>
        <v>0.50294840879247393</v>
      </c>
      <c r="K22" s="475">
        <f t="shared" si="17"/>
        <v>0.49614428192833981</v>
      </c>
      <c r="L22" s="475">
        <f t="shared" si="17"/>
        <v>0.4917097255832884</v>
      </c>
      <c r="M22" s="475">
        <f t="shared" si="17"/>
        <v>0.48848681520804205</v>
      </c>
      <c r="N22" s="475">
        <f t="shared" si="17"/>
        <v>0.47444899224011955</v>
      </c>
      <c r="O22" s="475">
        <f t="shared" si="17"/>
        <v>0.43513833614323855</v>
      </c>
      <c r="P22" s="475">
        <f t="shared" si="17"/>
        <v>0.44674893278130062</v>
      </c>
      <c r="Q22" s="475">
        <f t="shared" si="17"/>
        <v>0.44629067587505955</v>
      </c>
      <c r="R22" s="475">
        <f t="shared" si="17"/>
        <v>0.42576119800720913</v>
      </c>
      <c r="S22" s="475">
        <f t="shared" si="17"/>
        <v>0.42003494021126675</v>
      </c>
      <c r="T22" s="475">
        <f t="shared" si="17"/>
        <v>0.42085675159559693</v>
      </c>
      <c r="U22" s="475">
        <f t="shared" si="17"/>
        <v>0.41174341344816945</v>
      </c>
      <c r="V22" s="475">
        <f t="shared" si="17"/>
        <v>0.41534456587633578</v>
      </c>
      <c r="W22" s="475">
        <f t="shared" si="17"/>
        <v>0.41580890841212859</v>
      </c>
      <c r="X22" s="475">
        <f t="shared" si="17"/>
        <v>0.41665815775520881</v>
      </c>
      <c r="Y22" s="475">
        <f t="shared" si="17"/>
        <v>0.42723116806349026</v>
      </c>
      <c r="Z22" s="475">
        <f t="shared" si="17"/>
        <v>0.44189955058673885</v>
      </c>
      <c r="AA22" s="475">
        <f t="shared" si="14"/>
        <v>0.45115309784994956</v>
      </c>
      <c r="AB22" s="475">
        <f t="shared" si="14"/>
        <v>0.43945103037728156</v>
      </c>
      <c r="AC22" s="475">
        <f t="shared" si="15"/>
        <v>0.43318641347632986</v>
      </c>
      <c r="AD22" s="475">
        <f t="shared" si="15"/>
        <v>0.42643744192256494</v>
      </c>
      <c r="AE22" s="572" cm="1">
        <f t="array" ref="AE22">TREND(Z22:AD22,$Z$20:$AD$20,AE$20)</f>
        <v>0.42375823633198451</v>
      </c>
      <c r="AF22" s="572">
        <f t="shared" si="16"/>
        <v>0.42375823633198451</v>
      </c>
      <c r="AG22" s="572">
        <f t="shared" si="16"/>
        <v>0.42375823633198451</v>
      </c>
      <c r="AH22" s="572">
        <f t="shared" si="16"/>
        <v>0.42375823633198451</v>
      </c>
      <c r="AI22" s="572">
        <f t="shared" si="16"/>
        <v>0.42375823633198451</v>
      </c>
      <c r="AJ22" s="572">
        <f t="shared" si="16"/>
        <v>0.42375823633198451</v>
      </c>
      <c r="AL22" s="426"/>
    </row>
    <row r="23" spans="1:42">
      <c r="A23" t="str">
        <f>A7</f>
        <v>Servizi</v>
      </c>
      <c r="F23" s="475">
        <f t="shared" si="17"/>
        <v>0.23309778626271113</v>
      </c>
      <c r="G23" s="475">
        <f t="shared" si="17"/>
        <v>0.23749488434323107</v>
      </c>
      <c r="H23" s="475">
        <f t="shared" si="17"/>
        <v>0.24676115353096806</v>
      </c>
      <c r="I23" s="475">
        <f t="shared" si="17"/>
        <v>0.25648038292680581</v>
      </c>
      <c r="J23" s="475">
        <f t="shared" si="17"/>
        <v>0.26125943886804026</v>
      </c>
      <c r="K23" s="475">
        <f t="shared" si="17"/>
        <v>0.27043702084230847</v>
      </c>
      <c r="L23" s="475">
        <f t="shared" si="17"/>
        <v>0.27797788539047019</v>
      </c>
      <c r="M23" s="475">
        <f t="shared" si="17"/>
        <v>0.28301511626192055</v>
      </c>
      <c r="N23" s="475">
        <f t="shared" si="17"/>
        <v>0.29342149424893282</v>
      </c>
      <c r="O23" s="475">
        <f t="shared" si="17"/>
        <v>0.31620256704340882</v>
      </c>
      <c r="P23" s="475">
        <f t="shared" si="17"/>
        <v>0.31071377577307274</v>
      </c>
      <c r="Q23" s="475">
        <f t="shared" si="17"/>
        <v>0.31137531894864223</v>
      </c>
      <c r="R23" s="475">
        <f t="shared" si="17"/>
        <v>0.32888328924901589</v>
      </c>
      <c r="S23" s="475">
        <f t="shared" si="17"/>
        <v>0.33555655536110307</v>
      </c>
      <c r="T23" s="475">
        <f t="shared" si="17"/>
        <v>0.33994012301405285</v>
      </c>
      <c r="U23" s="475">
        <f t="shared" si="17"/>
        <v>0.3463899653084429</v>
      </c>
      <c r="V23" s="475">
        <f t="shared" si="17"/>
        <v>0.3482078314118377</v>
      </c>
      <c r="W23" s="475">
        <f t="shared" si="17"/>
        <v>0.34740501947777802</v>
      </c>
      <c r="X23" s="475">
        <f t="shared" si="17"/>
        <v>0.34942246531853671</v>
      </c>
      <c r="Y23" s="475">
        <f t="shared" si="17"/>
        <v>0.33539471670005483</v>
      </c>
      <c r="Z23" s="475">
        <f t="shared" si="17"/>
        <v>0.3025736880955695</v>
      </c>
      <c r="AA23" s="475">
        <f t="shared" si="14"/>
        <v>0.30368499733310561</v>
      </c>
      <c r="AB23" s="475">
        <f t="shared" si="14"/>
        <v>0.32008361743934222</v>
      </c>
      <c r="AC23" s="475">
        <f t="shared" si="15"/>
        <v>0.32477367149413955</v>
      </c>
      <c r="AD23" s="475">
        <f t="shared" si="15"/>
        <v>0.32719611260683684</v>
      </c>
      <c r="AE23" s="572" cm="1">
        <f t="array" ref="AE23">TREND(Z23:AD23,$Z$20:$AD$20,AE$20)</f>
        <v>0.33676247434886974</v>
      </c>
      <c r="AF23" s="572">
        <f t="shared" si="16"/>
        <v>0.33676247434886974</v>
      </c>
      <c r="AG23" s="572">
        <f t="shared" si="16"/>
        <v>0.33676247434886974</v>
      </c>
      <c r="AH23" s="572">
        <f t="shared" si="16"/>
        <v>0.33676247434886974</v>
      </c>
      <c r="AI23" s="572">
        <f t="shared" si="16"/>
        <v>0.33676247434886974</v>
      </c>
      <c r="AJ23" s="572">
        <f t="shared" si="16"/>
        <v>0.33676247434886974</v>
      </c>
    </row>
    <row r="24" spans="1:42">
      <c r="A24" t="str">
        <f>A8</f>
        <v>di cui trasporti (+ magazzinaggio)</v>
      </c>
      <c r="F24" s="475">
        <f t="shared" si="17"/>
        <v>3.048048701071852E-2</v>
      </c>
      <c r="G24" s="475">
        <f t="shared" si="17"/>
        <v>3.0008630528656374E-2</v>
      </c>
      <c r="H24" s="475">
        <f t="shared" si="17"/>
        <v>3.0817949759971205E-2</v>
      </c>
      <c r="I24" s="475">
        <f t="shared" si="17"/>
        <v>3.1566323704123558E-2</v>
      </c>
      <c r="J24" s="475">
        <f t="shared" si="17"/>
        <v>3.1534085926315389E-2</v>
      </c>
      <c r="K24" s="475">
        <f t="shared" si="17"/>
        <v>3.2009766600002564E-2</v>
      </c>
      <c r="L24" s="475">
        <f t="shared" si="17"/>
        <v>3.2180018511957675E-2</v>
      </c>
      <c r="M24" s="475">
        <f t="shared" si="17"/>
        <v>3.2618919867699089E-2</v>
      </c>
      <c r="N24" s="475">
        <f t="shared" si="17"/>
        <v>3.3974470403575686E-2</v>
      </c>
      <c r="O24" s="475">
        <f t="shared" si="17"/>
        <v>3.5125912755173551E-2</v>
      </c>
      <c r="P24" s="475">
        <f t="shared" si="17"/>
        <v>3.4419268532505397E-2</v>
      </c>
      <c r="Q24" s="475">
        <f t="shared" si="17"/>
        <v>3.4164088611477135E-2</v>
      </c>
      <c r="R24" s="475">
        <f t="shared" si="17"/>
        <v>3.5020896105145791E-2</v>
      </c>
      <c r="S24" s="475">
        <f t="shared" si="17"/>
        <v>3.6242119505266651E-2</v>
      </c>
      <c r="T24" s="475">
        <f t="shared" si="17"/>
        <v>3.594176091480588E-2</v>
      </c>
      <c r="U24" s="475">
        <f t="shared" si="17"/>
        <v>3.6528586002616395E-2</v>
      </c>
      <c r="V24" s="475">
        <f t="shared" si="17"/>
        <v>3.7773824867560153E-2</v>
      </c>
      <c r="W24" s="475">
        <f t="shared" si="17"/>
        <v>3.7706642551057067E-2</v>
      </c>
      <c r="X24" s="475">
        <f t="shared" si="17"/>
        <v>3.8030207071746938E-2</v>
      </c>
      <c r="Y24" s="475">
        <f t="shared" si="17"/>
        <v>3.8850074121001797E-2</v>
      </c>
      <c r="Z24" s="475">
        <f t="shared" si="17"/>
        <v>3.5885058726738771E-2</v>
      </c>
      <c r="AA24" s="475">
        <f t="shared" si="14"/>
        <v>3.63395432371462E-2</v>
      </c>
      <c r="AB24" s="475">
        <f t="shared" si="14"/>
        <v>3.9228341962416625E-2</v>
      </c>
      <c r="AC24" s="475">
        <f t="shared" si="15"/>
        <v>4.0935076828665089E-2</v>
      </c>
      <c r="AD24" s="475">
        <f t="shared" si="15"/>
        <v>4.1738220929094905E-2</v>
      </c>
      <c r="AE24" s="572" cm="1">
        <f t="array" ref="AE24">TREND(Z24:AD24,$Z$20:$AD$20,AE$20)</f>
        <v>4.3715805735681457E-2</v>
      </c>
      <c r="AF24" s="572">
        <f t="shared" si="16"/>
        <v>4.3715805735681457E-2</v>
      </c>
      <c r="AG24" s="572">
        <f t="shared" si="16"/>
        <v>4.3715805735681457E-2</v>
      </c>
      <c r="AH24" s="572">
        <f t="shared" si="16"/>
        <v>4.3715805735681457E-2</v>
      </c>
      <c r="AI24" s="572">
        <f t="shared" si="16"/>
        <v>4.3715805735681457E-2</v>
      </c>
      <c r="AJ24" s="572">
        <f t="shared" si="16"/>
        <v>4.3715805735681457E-2</v>
      </c>
    </row>
    <row r="25" spans="1:42">
      <c r="A25" t="str">
        <f>A9</f>
        <v>Domestico</v>
      </c>
      <c r="F25" s="475">
        <f t="shared" si="17"/>
        <v>0.21878765980560114</v>
      </c>
      <c r="G25" s="475">
        <f t="shared" si="17"/>
        <v>0.21560454251756597</v>
      </c>
      <c r="H25" s="475">
        <f t="shared" si="17"/>
        <v>0.21637865836289014</v>
      </c>
      <c r="I25" s="475">
        <f t="shared" si="17"/>
        <v>0.21687270571081199</v>
      </c>
      <c r="J25" s="475">
        <f t="shared" si="17"/>
        <v>0.21868287305754475</v>
      </c>
      <c r="K25" s="475">
        <f t="shared" si="17"/>
        <v>0.21602074036647226</v>
      </c>
      <c r="L25" s="475">
        <f t="shared" si="17"/>
        <v>0.21287690149584323</v>
      </c>
      <c r="M25" s="475">
        <f t="shared" si="17"/>
        <v>0.21075335605635193</v>
      </c>
      <c r="N25" s="475">
        <f t="shared" si="17"/>
        <v>0.21436066269183759</v>
      </c>
      <c r="O25" s="475">
        <f t="shared" si="17"/>
        <v>0.22981067320075971</v>
      </c>
      <c r="P25" s="475">
        <f t="shared" si="17"/>
        <v>0.22444213203480409</v>
      </c>
      <c r="Q25" s="475">
        <f t="shared" si="17"/>
        <v>0.22352967676390839</v>
      </c>
      <c r="R25" s="475">
        <f t="shared" si="17"/>
        <v>0.22608349962047303</v>
      </c>
      <c r="S25" s="475">
        <f t="shared" si="17"/>
        <v>0.22531516100769211</v>
      </c>
      <c r="T25" s="475">
        <f t="shared" si="17"/>
        <v>0.22074323965368825</v>
      </c>
      <c r="U25" s="475">
        <f t="shared" si="17"/>
        <v>0.22271716720687684</v>
      </c>
      <c r="V25" s="475">
        <f t="shared" si="17"/>
        <v>0.21760497998195399</v>
      </c>
      <c r="W25" s="475">
        <f t="shared" si="17"/>
        <v>0.21694246767682343</v>
      </c>
      <c r="X25" s="475">
        <f t="shared" si="17"/>
        <v>0.21466239360468267</v>
      </c>
      <c r="Y25" s="475">
        <f t="shared" si="17"/>
        <v>0.21731999398284582</v>
      </c>
      <c r="Z25" s="475">
        <f t="shared" si="17"/>
        <v>0.23329181560491097</v>
      </c>
      <c r="AA25" s="475">
        <f t="shared" si="14"/>
        <v>0.22284866533182116</v>
      </c>
      <c r="AB25" s="475">
        <f t="shared" si="14"/>
        <v>0.21809832438606833</v>
      </c>
      <c r="AC25" s="475">
        <f t="shared" si="15"/>
        <v>0.22000080934148961</v>
      </c>
      <c r="AD25" s="475">
        <f t="shared" si="15"/>
        <v>0.22352750432878207</v>
      </c>
      <c r="AE25" s="572" cm="1">
        <f t="array" ref="AE25">TREND(Z25:AD25,$Z$20:$AD$20,AE$20)</f>
        <v>0.21684048023583813</v>
      </c>
      <c r="AF25" s="572">
        <f t="shared" si="16"/>
        <v>0.21684048023583813</v>
      </c>
      <c r="AG25" s="572">
        <f t="shared" si="16"/>
        <v>0.21684048023583813</v>
      </c>
      <c r="AH25" s="572">
        <f t="shared" si="16"/>
        <v>0.21684048023583813</v>
      </c>
      <c r="AI25" s="572">
        <f t="shared" si="16"/>
        <v>0.21684048023583813</v>
      </c>
      <c r="AJ25" s="572">
        <f t="shared" si="16"/>
        <v>0.21684048023583813</v>
      </c>
    </row>
    <row r="26" spans="1:42">
      <c r="B26" s="119"/>
      <c r="C26" s="119"/>
      <c r="D26" s="119"/>
      <c r="E26" s="119"/>
      <c r="X26" s="571">
        <f t="shared" ref="X26:AD26" si="18">SUM(X21:X25)-X24</f>
        <v>0.99999968123495664</v>
      </c>
      <c r="Y26" s="571">
        <f t="shared" si="18"/>
        <v>0.99999996686589099</v>
      </c>
      <c r="Z26" s="571">
        <f t="shared" si="18"/>
        <v>0.99999964765718441</v>
      </c>
      <c r="AA26" s="571">
        <f t="shared" si="18"/>
        <v>1.0000001128150704</v>
      </c>
      <c r="AB26" s="571">
        <f t="shared" si="18"/>
        <v>0.99999978987964599</v>
      </c>
      <c r="AC26" s="571">
        <f t="shared" si="18"/>
        <v>0.99999991430470503</v>
      </c>
      <c r="AD26" s="571">
        <f t="shared" si="18"/>
        <v>0.99999984930739827</v>
      </c>
      <c r="AE26" s="571">
        <f t="shared" ref="AE26:AJ26" si="19">SUM(AE21:AE25)-AE24</f>
        <v>0.99999992422982209</v>
      </c>
      <c r="AF26" s="571">
        <f t="shared" si="19"/>
        <v>0.99999992422982209</v>
      </c>
      <c r="AG26" s="571">
        <f t="shared" si="19"/>
        <v>0.99999992422982209</v>
      </c>
      <c r="AH26" s="571">
        <f t="shared" si="19"/>
        <v>0.99999992422982209</v>
      </c>
      <c r="AI26" s="571">
        <f t="shared" si="19"/>
        <v>0.99999992422982209</v>
      </c>
      <c r="AJ26" s="571">
        <f t="shared" si="19"/>
        <v>0.99999992422982209</v>
      </c>
    </row>
    <row r="27" spans="1:42">
      <c r="B27" s="119"/>
      <c r="C27" s="119"/>
      <c r="D27" s="119"/>
      <c r="E27" s="119"/>
      <c r="F27" s="56">
        <f>(F10-F31)/F10</f>
        <v>2.2714136499599948E-2</v>
      </c>
      <c r="G27" s="56">
        <f t="shared" ref="G27:Y27" si="20">(G10-G31)/G10</f>
        <v>2.7208811948780342E-2</v>
      </c>
      <c r="H27" s="56">
        <f t="shared" si="20"/>
        <v>2.8212156258119632E-2</v>
      </c>
      <c r="I27" s="56">
        <f t="shared" si="20"/>
        <v>2.7861648007963136E-2</v>
      </c>
      <c r="J27" s="56">
        <f t="shared" si="20"/>
        <v>2.9422013421143631E-2</v>
      </c>
      <c r="K27" s="56">
        <f t="shared" si="20"/>
        <v>2.8845128458214086E-2</v>
      </c>
      <c r="L27" s="56">
        <f t="shared" si="20"/>
        <v>2.757569888754946E-2</v>
      </c>
      <c r="M27" s="56">
        <f t="shared" si="20"/>
        <v>3.020637427402937E-2</v>
      </c>
      <c r="N27" s="56">
        <f t="shared" si="20"/>
        <v>3.0467280147895032E-2</v>
      </c>
      <c r="O27" s="56">
        <f t="shared" si="20"/>
        <v>3.3006354765065186E-2</v>
      </c>
      <c r="P27" s="56">
        <f t="shared" si="20"/>
        <v>3.4114652519034484E-2</v>
      </c>
      <c r="Q27" s="56">
        <f t="shared" si="20"/>
        <v>3.8127456650438374E-2</v>
      </c>
      <c r="R27" s="56">
        <f t="shared" si="20"/>
        <v>3.4104290352663096E-2</v>
      </c>
      <c r="S27" s="56">
        <f t="shared" si="20"/>
        <v>3.3266098552378234E-2</v>
      </c>
      <c r="T27" s="56">
        <f t="shared" si="20"/>
        <v>3.2930421236517876E-2</v>
      </c>
      <c r="U27" s="56">
        <f t="shared" si="20"/>
        <v>3.2630038798034916E-2</v>
      </c>
      <c r="V27" s="56">
        <f t="shared" si="20"/>
        <v>3.2084392751199474E-2</v>
      </c>
      <c r="W27" s="56">
        <f t="shared" si="20"/>
        <v>3.2844707193740635E-2</v>
      </c>
      <c r="X27" s="56">
        <f t="shared" si="20"/>
        <v>3.4147542486576636E-2</v>
      </c>
      <c r="Y27" s="56">
        <f t="shared" si="20"/>
        <v>3.2707012758189671E-2</v>
      </c>
      <c r="Z27" s="56">
        <f>(Z10-Z31)/Z10</f>
        <v>3.0351643010361525E-2</v>
      </c>
      <c r="AA27" s="56">
        <f>(AA10-AA31)/AA10</f>
        <v>2.8871506705138574E-2</v>
      </c>
      <c r="AB27" s="254"/>
      <c r="AC27" s="254"/>
      <c r="AD27" s="254"/>
      <c r="AE27" s="254"/>
      <c r="AF27" s="254"/>
      <c r="AG27" s="254"/>
      <c r="AH27" s="254"/>
      <c r="AI27" s="254"/>
      <c r="AJ27" s="254"/>
    </row>
    <row r="28" spans="1:42">
      <c r="A28" t="s">
        <v>159</v>
      </c>
    </row>
    <row r="29" spans="1:42">
      <c r="A29" s="431" t="s">
        <v>364</v>
      </c>
      <c r="F29" s="430">
        <v>23471.625</v>
      </c>
      <c r="G29" s="430">
        <v>23879.966</v>
      </c>
      <c r="H29" s="430">
        <v>24312.21</v>
      </c>
      <c r="I29" s="430">
        <v>25058.985000000001</v>
      </c>
      <c r="J29" s="430">
        <v>25411.092000000001</v>
      </c>
      <c r="K29" s="430">
        <v>25871.023000000001</v>
      </c>
      <c r="L29" s="430">
        <v>26550.043000000001</v>
      </c>
      <c r="M29" s="430">
        <v>26596.561000000002</v>
      </c>
      <c r="N29" s="430">
        <v>26596.474999999999</v>
      </c>
      <c r="O29" s="430">
        <v>24936.886999999999</v>
      </c>
      <c r="P29" s="430">
        <v>25736.285</v>
      </c>
      <c r="Q29" s="430">
        <v>25952.537</v>
      </c>
      <c r="R29" s="430">
        <v>25515.219000000001</v>
      </c>
      <c r="S29" s="430">
        <v>24711.78</v>
      </c>
      <c r="T29" s="430">
        <v>24204.471000000001</v>
      </c>
      <c r="U29" s="430">
        <v>24719.089</v>
      </c>
      <c r="V29" s="430">
        <v>24593.895</v>
      </c>
      <c r="W29" s="430">
        <v>25104.499</v>
      </c>
      <c r="X29" s="430">
        <v>25200.436000000002</v>
      </c>
      <c r="Y29" s="430">
        <v>25101.692999999999</v>
      </c>
      <c r="Z29" s="430">
        <v>23662.955000000002</v>
      </c>
      <c r="AA29" s="430">
        <v>25124.684000000001</v>
      </c>
      <c r="AB29" s="430">
        <v>24676.51</v>
      </c>
      <c r="AC29" s="430">
        <v>23978.05</v>
      </c>
      <c r="AD29" s="430">
        <v>24419.080999999998</v>
      </c>
    </row>
    <row r="30" spans="1:42">
      <c r="A30" s="241" t="s">
        <v>331</v>
      </c>
      <c r="F30" s="487">
        <f t="shared" ref="F30:Y30" si="21">F39*0.01163+F31-F10</f>
        <v>-4.9906999998938772E-4</v>
      </c>
      <c r="G30" s="487">
        <f t="shared" si="21"/>
        <v>-8.9295999998739717E-4</v>
      </c>
      <c r="H30" s="487">
        <f t="shared" si="21"/>
        <v>3.9128000003074703E-4</v>
      </c>
      <c r="I30" s="487">
        <f t="shared" si="21"/>
        <v>-6.0136000007560142E-4</v>
      </c>
      <c r="J30" s="487">
        <f t="shared" si="21"/>
        <v>2.9600999999956912E-4</v>
      </c>
      <c r="K30" s="487">
        <f t="shared" si="21"/>
        <v>2.8294619999996939E-2</v>
      </c>
      <c r="L30" s="487">
        <f t="shared" si="21"/>
        <v>3.2812059999969279E-2</v>
      </c>
      <c r="M30" s="487">
        <f t="shared" si="21"/>
        <v>1.6060400000696973E-3</v>
      </c>
      <c r="N30" s="487">
        <f t="shared" si="21"/>
        <v>-1.1908300000413874E-3</v>
      </c>
      <c r="O30" s="487">
        <f t="shared" si="21"/>
        <v>-1.0176000000683416E-4</v>
      </c>
      <c r="P30" s="487">
        <f t="shared" si="21"/>
        <v>-1.6101699999921948E-3</v>
      </c>
      <c r="Q30" s="487">
        <f t="shared" si="21"/>
        <v>-1.1045300000205316E-3</v>
      </c>
      <c r="R30" s="487">
        <f t="shared" si="21"/>
        <v>2.4993100000187951E-3</v>
      </c>
      <c r="S30" s="487">
        <f t="shared" si="21"/>
        <v>1.3907599999924969E-3</v>
      </c>
      <c r="T30" s="487">
        <f t="shared" si="21"/>
        <v>1.490520000061224E-3</v>
      </c>
      <c r="U30" s="487">
        <f t="shared" si="21"/>
        <v>6.0300000086499495E-6</v>
      </c>
      <c r="V30" s="487">
        <f t="shared" si="21"/>
        <v>7.843700000194076E-4</v>
      </c>
      <c r="W30" s="487">
        <f t="shared" si="21"/>
        <v>3.1299999818656943E-6</v>
      </c>
      <c r="X30" s="487">
        <f t="shared" si="21"/>
        <v>9.3629999980748835E-5</v>
      </c>
      <c r="Y30" s="487">
        <f t="shared" si="21"/>
        <v>-2.3095000000239452E-4</v>
      </c>
      <c r="Z30" s="487">
        <f>Z39*0.01163+Z31-Z10</f>
        <v>1.3091000005260867E-4</v>
      </c>
      <c r="AA30" s="487">
        <f>AA39*0.01163+AA31-AA10</f>
        <v>-7.1469999966211617E-5</v>
      </c>
      <c r="AB30" s="487">
        <f>AB39*0.01163+AB31-AB10</f>
        <v>-1.3382570000032956E-2</v>
      </c>
      <c r="AC30" s="487">
        <f>AC39*0.01163+AC31-AC10</f>
        <v>-1.087266000007503E-2</v>
      </c>
      <c r="AD30" s="487">
        <f>AD39*0.01163+AD31-AD10</f>
        <v>-7.2698040000034325E-2</v>
      </c>
      <c r="AK30" t="s">
        <v>175</v>
      </c>
    </row>
    <row r="31" spans="1:42" ht="15.5">
      <c r="A31" t="s">
        <v>707</v>
      </c>
      <c r="F31" s="299">
        <f>F29*0.01163</f>
        <v>272.97499875</v>
      </c>
      <c r="G31" s="299">
        <f t="shared" ref="G31:W31" si="22">G29*0.01163</f>
        <v>277.72400457999998</v>
      </c>
      <c r="H31" s="299">
        <f t="shared" si="22"/>
        <v>282.75100229999998</v>
      </c>
      <c r="I31" s="299">
        <f t="shared" si="22"/>
        <v>291.43599554999997</v>
      </c>
      <c r="J31" s="299">
        <f t="shared" si="22"/>
        <v>295.53099995999997</v>
      </c>
      <c r="K31" s="299">
        <f t="shared" si="22"/>
        <v>300.87999748999999</v>
      </c>
      <c r="L31" s="299">
        <f t="shared" si="22"/>
        <v>308.77700009</v>
      </c>
      <c r="M31" s="299">
        <f t="shared" si="22"/>
        <v>309.31800443000003</v>
      </c>
      <c r="N31" s="299">
        <f t="shared" si="22"/>
        <v>309.31700424999997</v>
      </c>
      <c r="O31" s="299">
        <f t="shared" si="22"/>
        <v>290.01599580999999</v>
      </c>
      <c r="P31" s="299">
        <f t="shared" si="22"/>
        <v>299.31299454999998</v>
      </c>
      <c r="Q31" s="299">
        <f t="shared" si="22"/>
        <v>301.82800530999998</v>
      </c>
      <c r="R31" s="299">
        <f t="shared" si="22"/>
        <v>296.74199697</v>
      </c>
      <c r="S31" s="299">
        <f t="shared" si="22"/>
        <v>287.3980014</v>
      </c>
      <c r="T31" s="299">
        <f t="shared" si="22"/>
        <v>281.49799773000001</v>
      </c>
      <c r="U31" s="299">
        <f t="shared" si="22"/>
        <v>287.48300506999999</v>
      </c>
      <c r="V31" s="299">
        <f t="shared" si="22"/>
        <v>286.02699884999998</v>
      </c>
      <c r="W31" s="299">
        <f t="shared" si="22"/>
        <v>291.96532336999996</v>
      </c>
      <c r="X31" s="299">
        <f t="shared" ref="X31:AC31" si="23">X29*0.01163</f>
        <v>293.08107067999998</v>
      </c>
      <c r="Y31" s="299">
        <f t="shared" si="23"/>
        <v>291.93268959</v>
      </c>
      <c r="Z31" s="299">
        <f t="shared" si="23"/>
        <v>275.20016665000003</v>
      </c>
      <c r="AA31" s="299">
        <f t="shared" si="23"/>
        <v>292.20007492000002</v>
      </c>
      <c r="AB31" s="299">
        <f>AB29*0.01163</f>
        <v>286.98781129999998</v>
      </c>
      <c r="AC31" s="299">
        <f t="shared" si="23"/>
        <v>278.86472149999997</v>
      </c>
      <c r="AD31" s="299">
        <f>AD29*0.01163</f>
        <v>283.99391202999999</v>
      </c>
      <c r="AK31" t="s">
        <v>175</v>
      </c>
    </row>
    <row r="32" spans="1:42">
      <c r="A32" s="68" t="s">
        <v>176</v>
      </c>
      <c r="F32" s="434">
        <f>(F10-F31)*85.9845</f>
        <v>545.52876773062565</v>
      </c>
      <c r="G32" s="434">
        <f t="shared" ref="G32:W32" si="24">(G10-G31)*85.9845</f>
        <v>667.91860374099019</v>
      </c>
      <c r="H32" s="434">
        <f t="shared" si="24"/>
        <v>705.81216893564863</v>
      </c>
      <c r="I32" s="434">
        <f t="shared" si="24"/>
        <v>718.19451733102994</v>
      </c>
      <c r="J32" s="434">
        <f t="shared" si="24"/>
        <v>770.30934358937964</v>
      </c>
      <c r="K32" s="434">
        <f t="shared" si="24"/>
        <v>768.41789697109277</v>
      </c>
      <c r="L32" s="434">
        <f t="shared" si="24"/>
        <v>752.89747116139677</v>
      </c>
      <c r="M32" s="434">
        <f t="shared" si="24"/>
        <v>828.4086858886584</v>
      </c>
      <c r="N32" s="434">
        <f t="shared" si="24"/>
        <v>835.78617146587635</v>
      </c>
      <c r="O32" s="434">
        <f t="shared" si="24"/>
        <v>851.16952422505517</v>
      </c>
      <c r="P32" s="434">
        <f t="shared" si="24"/>
        <v>908.9942088155243</v>
      </c>
      <c r="Q32" s="434">
        <f t="shared" si="24"/>
        <v>1028.7266998723071</v>
      </c>
      <c r="R32" s="434">
        <f t="shared" si="24"/>
        <v>900.90285928303319</v>
      </c>
      <c r="S32" s="434">
        <f t="shared" si="24"/>
        <v>850.35219082169988</v>
      </c>
      <c r="T32" s="434">
        <f t="shared" si="24"/>
        <v>824.20461993481058</v>
      </c>
      <c r="U32" s="434">
        <f t="shared" si="24"/>
        <v>833.79126055858637</v>
      </c>
      <c r="V32" s="434">
        <f t="shared" si="24"/>
        <v>815.23634028217532</v>
      </c>
      <c r="W32" s="434">
        <f t="shared" si="24"/>
        <v>852.55150494223665</v>
      </c>
      <c r="X32" s="434">
        <f t="shared" ref="X32:AA32" si="25">(X10-X31)*85.9845</f>
        <v>890.95671316554228</v>
      </c>
      <c r="Y32" s="434">
        <f t="shared" si="25"/>
        <v>848.76163320364469</v>
      </c>
      <c r="Z32" s="434">
        <f t="shared" si="25"/>
        <v>740.69054748307065</v>
      </c>
      <c r="AA32" s="434">
        <f t="shared" si="25"/>
        <v>746.95294737125721</v>
      </c>
      <c r="AB32" s="434">
        <f>(AB10-AB31)*85.9845</f>
        <v>762.30149188515338</v>
      </c>
      <c r="AC32" s="434">
        <f>(AC10-AC31)*85.9845</f>
        <v>731.50268663325619</v>
      </c>
      <c r="AD32" s="434">
        <f>(AD10-AD31)*85.9845</f>
        <v>749.66170761646822</v>
      </c>
      <c r="AK32" t="s">
        <v>176</v>
      </c>
    </row>
    <row r="33" spans="1:37">
      <c r="A33" s="431" t="s">
        <v>365</v>
      </c>
      <c r="C33" s="56"/>
      <c r="D33" s="56"/>
      <c r="E33" s="56"/>
      <c r="F33" s="432">
        <v>1.8919999999999999</v>
      </c>
      <c r="G33" s="432">
        <v>2.58</v>
      </c>
      <c r="H33" s="432">
        <v>3.181</v>
      </c>
      <c r="I33" s="432">
        <v>2.7519999999999998</v>
      </c>
      <c r="J33" s="432">
        <v>3.181</v>
      </c>
      <c r="K33" s="432">
        <v>3.4390000000000001</v>
      </c>
      <c r="L33" s="432">
        <v>2.6659999999999999</v>
      </c>
      <c r="M33" s="432">
        <v>3.6110000000000002</v>
      </c>
      <c r="N33" s="432">
        <v>3.8690000000000002</v>
      </c>
      <c r="O33" s="432">
        <v>3.7829999999999999</v>
      </c>
      <c r="P33" s="432">
        <v>3.4390000000000001</v>
      </c>
      <c r="Q33" s="432">
        <v>3.6110000000000002</v>
      </c>
      <c r="R33" s="432">
        <v>4.2130000000000001</v>
      </c>
      <c r="S33" s="432">
        <v>3.5249999999999999</v>
      </c>
      <c r="T33" s="432">
        <v>2.4079999999999999</v>
      </c>
      <c r="U33" s="432">
        <v>3.2669999999999999</v>
      </c>
      <c r="V33" s="432">
        <v>3.181</v>
      </c>
      <c r="W33" s="432">
        <v>3.786</v>
      </c>
      <c r="X33" s="432">
        <v>3.508</v>
      </c>
      <c r="Y33" s="432">
        <v>20.556999999999999</v>
      </c>
      <c r="Z33" s="432">
        <v>18.98</v>
      </c>
      <c r="AA33" s="432">
        <v>21.873999999999999</v>
      </c>
      <c r="AB33" s="432">
        <v>21.893000000000001</v>
      </c>
      <c r="AC33" s="432">
        <v>21.809000000000001</v>
      </c>
      <c r="AD33" s="432">
        <v>23.87</v>
      </c>
    </row>
    <row r="34" spans="1:37">
      <c r="A34" s="431" t="s">
        <v>366</v>
      </c>
      <c r="C34" s="56"/>
      <c r="D34" s="56"/>
      <c r="E34" s="56"/>
      <c r="F34" s="432">
        <v>16.766999999999999</v>
      </c>
      <c r="G34" s="432">
        <v>21.065999999999999</v>
      </c>
      <c r="H34" s="432">
        <v>20.55</v>
      </c>
      <c r="I34" s="432">
        <v>19.776</v>
      </c>
      <c r="J34" s="432">
        <v>31.212</v>
      </c>
      <c r="K34" s="432">
        <v>28.117000000000001</v>
      </c>
      <c r="L34" s="432">
        <v>30.524999999999999</v>
      </c>
      <c r="M34" s="432">
        <v>29.321000000000002</v>
      </c>
      <c r="N34" s="432">
        <v>30.009</v>
      </c>
      <c r="O34" s="432">
        <v>29.321000000000002</v>
      </c>
      <c r="P34" s="432">
        <v>32.673999999999999</v>
      </c>
      <c r="Q34" s="432">
        <v>27.600999999999999</v>
      </c>
      <c r="R34" s="432">
        <v>29.407</v>
      </c>
      <c r="S34" s="432">
        <v>31.212</v>
      </c>
      <c r="T34" s="432">
        <v>31.212</v>
      </c>
      <c r="U34" s="432">
        <v>30.439</v>
      </c>
      <c r="V34" s="432">
        <v>26.053000000000001</v>
      </c>
      <c r="W34" s="432">
        <v>28.858000000000001</v>
      </c>
      <c r="X34" s="432">
        <v>33.646000000000001</v>
      </c>
      <c r="Y34" s="432">
        <v>14.414999999999999</v>
      </c>
      <c r="Z34" s="432">
        <v>10.943</v>
      </c>
      <c r="AA34" s="432">
        <v>10.679</v>
      </c>
      <c r="AB34" s="432">
        <v>9.8000000000000007</v>
      </c>
      <c r="AC34" s="432">
        <v>9.2650000000000006</v>
      </c>
      <c r="AD34" s="432">
        <v>8.702</v>
      </c>
    </row>
    <row r="35" spans="1:37">
      <c r="A35" s="431" t="s">
        <v>367</v>
      </c>
      <c r="C35" s="56"/>
      <c r="D35" s="56"/>
      <c r="E35" s="56"/>
      <c r="F35" s="432">
        <v>13.5</v>
      </c>
      <c r="G35" s="432">
        <v>14.617000000000001</v>
      </c>
      <c r="H35" s="432">
        <v>16.422999999999998</v>
      </c>
      <c r="I35" s="432">
        <v>10.231999999999999</v>
      </c>
      <c r="J35" s="432">
        <v>13.156000000000001</v>
      </c>
      <c r="K35" s="432">
        <v>14.101000000000001</v>
      </c>
      <c r="L35" s="432">
        <v>14.445</v>
      </c>
      <c r="M35" s="432">
        <v>14.617000000000001</v>
      </c>
      <c r="N35" s="432">
        <v>14.186999999999999</v>
      </c>
      <c r="O35" s="432">
        <v>6.5350000000000001</v>
      </c>
      <c r="P35" s="432">
        <v>15.648999999999999</v>
      </c>
      <c r="Q35" s="432">
        <v>17.626999999999999</v>
      </c>
      <c r="R35" s="432">
        <v>11.866</v>
      </c>
      <c r="S35" s="432">
        <v>4.8150000000000004</v>
      </c>
      <c r="T35" s="432">
        <v>3.6970000000000001</v>
      </c>
      <c r="U35" s="432">
        <v>3.4390000000000001</v>
      </c>
      <c r="V35" s="432">
        <v>3.6110000000000002</v>
      </c>
      <c r="W35" s="432">
        <v>3.7160000000000002</v>
      </c>
      <c r="X35" s="432">
        <v>3.827</v>
      </c>
      <c r="Y35" s="432">
        <v>3.78</v>
      </c>
      <c r="Z35" s="432">
        <v>3.1779999999999999</v>
      </c>
      <c r="AA35" s="432">
        <v>3.262</v>
      </c>
      <c r="AB35" s="432">
        <v>3.33</v>
      </c>
      <c r="AC35" s="432">
        <v>3.379</v>
      </c>
      <c r="AD35" s="432">
        <v>3.6339999999999999</v>
      </c>
    </row>
    <row r="36" spans="1:37">
      <c r="A36" s="431" t="s">
        <v>368</v>
      </c>
      <c r="C36" s="56"/>
      <c r="D36" s="56"/>
      <c r="E36" s="56"/>
      <c r="F36" s="432">
        <v>369.47500000000002</v>
      </c>
      <c r="G36" s="432">
        <v>473.08699999999999</v>
      </c>
      <c r="H36" s="432">
        <v>466.63799999999998</v>
      </c>
      <c r="I36" s="432">
        <v>473.77499999999998</v>
      </c>
      <c r="J36" s="432">
        <v>504.90100000000001</v>
      </c>
      <c r="K36" s="432">
        <v>511.35</v>
      </c>
      <c r="L36" s="432">
        <v>493.72300000000001</v>
      </c>
      <c r="M36" s="432">
        <v>500.43</v>
      </c>
      <c r="N36" s="432">
        <v>501.63400000000001</v>
      </c>
      <c r="O36" s="432">
        <v>507.56700000000001</v>
      </c>
      <c r="P36" s="432">
        <v>503.78300000000002</v>
      </c>
      <c r="Q36" s="432">
        <v>508.85599999999999</v>
      </c>
      <c r="R36" s="432">
        <v>481.34100000000001</v>
      </c>
      <c r="S36" s="432">
        <v>462.42500000000001</v>
      </c>
      <c r="T36" s="432">
        <v>449.69900000000001</v>
      </c>
      <c r="U36" s="432">
        <v>454.77199999999999</v>
      </c>
      <c r="V36" s="432">
        <v>445.142</v>
      </c>
      <c r="W36" s="432">
        <v>448.02600000000001</v>
      </c>
      <c r="X36" s="432">
        <v>495.45800000000003</v>
      </c>
      <c r="Y36" s="432">
        <v>515.08799999999997</v>
      </c>
      <c r="Z36" s="432">
        <v>461.14699999999999</v>
      </c>
      <c r="AA36" s="432">
        <v>456.83199999999999</v>
      </c>
      <c r="AB36" s="432">
        <v>478.47399999999999</v>
      </c>
      <c r="AC36" s="432">
        <v>460.572</v>
      </c>
      <c r="AD36" s="432">
        <v>448.39699999999999</v>
      </c>
    </row>
    <row r="37" spans="1:37">
      <c r="A37" s="431" t="s">
        <v>369</v>
      </c>
      <c r="C37" s="56"/>
      <c r="D37" s="56"/>
      <c r="E37" s="56"/>
      <c r="F37" s="432">
        <v>0.17199999999999999</v>
      </c>
      <c r="G37" s="432">
        <v>0.34399999999999997</v>
      </c>
      <c r="H37" s="432">
        <v>0.43</v>
      </c>
      <c r="I37" s="432">
        <v>0.25800000000000001</v>
      </c>
      <c r="J37" s="432">
        <v>0.34399999999999997</v>
      </c>
      <c r="K37" s="432">
        <v>0.43</v>
      </c>
      <c r="L37" s="432">
        <v>0.51600000000000001</v>
      </c>
      <c r="M37" s="432">
        <v>0.51600000000000001</v>
      </c>
      <c r="N37" s="432">
        <v>0.43</v>
      </c>
      <c r="O37" s="432">
        <v>0.60199999999999998</v>
      </c>
      <c r="P37" s="432">
        <v>0.60199999999999998</v>
      </c>
      <c r="Q37" s="432">
        <v>0.60199999999999998</v>
      </c>
      <c r="R37" s="432">
        <v>0.60199999999999998</v>
      </c>
      <c r="S37" s="432">
        <v>0.51600000000000001</v>
      </c>
      <c r="T37" s="432">
        <v>0.51600000000000001</v>
      </c>
      <c r="U37" s="432">
        <v>0.51600000000000001</v>
      </c>
      <c r="V37" s="432">
        <v>0.51600000000000001</v>
      </c>
      <c r="W37" s="432">
        <v>0.46700000000000003</v>
      </c>
      <c r="X37" s="432">
        <v>0.46100000000000002</v>
      </c>
      <c r="Y37" s="432">
        <v>0.39200000000000002</v>
      </c>
      <c r="Z37" s="432">
        <v>6.7000000000000004E-2</v>
      </c>
      <c r="AA37" s="432">
        <v>0</v>
      </c>
      <c r="AB37" s="432">
        <v>0</v>
      </c>
      <c r="AC37" s="432">
        <v>0</v>
      </c>
      <c r="AD37" s="432">
        <v>0</v>
      </c>
    </row>
    <row r="38" spans="1:37">
      <c r="A38" s="431" t="s">
        <v>370</v>
      </c>
      <c r="C38" s="56"/>
      <c r="D38" s="56"/>
      <c r="E38" s="56"/>
      <c r="F38" s="432">
        <v>143.68</v>
      </c>
      <c r="G38" s="432">
        <v>156.148</v>
      </c>
      <c r="H38" s="432">
        <v>198.624</v>
      </c>
      <c r="I38" s="432">
        <v>211.35</v>
      </c>
      <c r="J38" s="432">
        <v>217.541</v>
      </c>
      <c r="K38" s="432">
        <v>213.41399999999999</v>
      </c>
      <c r="L38" s="432">
        <v>213.84399999999999</v>
      </c>
      <c r="M38" s="432">
        <v>280.05200000000002</v>
      </c>
      <c r="N38" s="432">
        <v>285.55500000000001</v>
      </c>
      <c r="O38" s="432">
        <v>303.35300000000001</v>
      </c>
      <c r="P38" s="432">
        <v>352.709</v>
      </c>
      <c r="Q38" s="432">
        <v>470.33499999999998</v>
      </c>
      <c r="R38" s="432">
        <v>373.68900000000002</v>
      </c>
      <c r="S38" s="432">
        <v>347.97899999999998</v>
      </c>
      <c r="T38" s="432">
        <v>336.80099999999999</v>
      </c>
      <c r="U38" s="432">
        <v>341.35899999999998</v>
      </c>
      <c r="V38" s="432">
        <v>336.80099999999999</v>
      </c>
      <c r="W38" s="432">
        <v>367.69900000000001</v>
      </c>
      <c r="X38" s="432">
        <v>354.065</v>
      </c>
      <c r="Y38" s="432">
        <v>294.51</v>
      </c>
      <c r="Z38" s="432">
        <v>246.387</v>
      </c>
      <c r="AA38" s="432">
        <v>254.3</v>
      </c>
      <c r="AB38" s="432">
        <v>247.654</v>
      </c>
      <c r="AC38" s="432">
        <v>235.54300000000001</v>
      </c>
      <c r="AD38" s="432">
        <v>258.80799999999999</v>
      </c>
    </row>
    <row r="39" spans="1:37">
      <c r="C39" s="56"/>
      <c r="D39" s="56"/>
      <c r="E39" s="56"/>
      <c r="F39" s="433">
        <f t="shared" ref="F39:X39" si="26">SUM(F33:F38)</f>
        <v>545.4860000000001</v>
      </c>
      <c r="G39" s="433">
        <f t="shared" si="26"/>
        <v>667.84199999999998</v>
      </c>
      <c r="H39" s="433">
        <f t="shared" si="26"/>
        <v>705.846</v>
      </c>
      <c r="I39" s="433">
        <f t="shared" si="26"/>
        <v>718.14299999999992</v>
      </c>
      <c r="J39" s="433">
        <f t="shared" si="26"/>
        <v>770.33500000000004</v>
      </c>
      <c r="K39" s="433">
        <f t="shared" si="26"/>
        <v>770.851</v>
      </c>
      <c r="L39" s="433">
        <f t="shared" si="26"/>
        <v>755.71900000000005</v>
      </c>
      <c r="M39" s="433">
        <f t="shared" si="26"/>
        <v>828.54700000000003</v>
      </c>
      <c r="N39" s="433">
        <f t="shared" si="26"/>
        <v>835.68399999999997</v>
      </c>
      <c r="O39" s="433">
        <f t="shared" si="26"/>
        <v>851.16100000000006</v>
      </c>
      <c r="P39" s="433">
        <f>SUM(P33:P38)</f>
        <v>908.85599999999999</v>
      </c>
      <c r="Q39" s="433">
        <f t="shared" si="26"/>
        <v>1028.6319999999998</v>
      </c>
      <c r="R39" s="433">
        <f t="shared" si="26"/>
        <v>901.11799999999994</v>
      </c>
      <c r="S39" s="433">
        <f t="shared" si="26"/>
        <v>850.47199999999998</v>
      </c>
      <c r="T39" s="433">
        <f t="shared" si="26"/>
        <v>824.33300000000008</v>
      </c>
      <c r="U39" s="433">
        <f t="shared" si="26"/>
        <v>833.79199999999992</v>
      </c>
      <c r="V39" s="433">
        <f t="shared" si="26"/>
        <v>815.30399999999997</v>
      </c>
      <c r="W39" s="433">
        <f t="shared" si="26"/>
        <v>852.55200000000002</v>
      </c>
      <c r="X39" s="433">
        <f t="shared" si="26"/>
        <v>890.96500000000015</v>
      </c>
      <c r="Y39" s="433">
        <f t="shared" ref="Y39:AD39" si="27">SUM(Y33:Y38)</f>
        <v>848.74199999999996</v>
      </c>
      <c r="Z39" s="433">
        <f t="shared" si="27"/>
        <v>740.702</v>
      </c>
      <c r="AA39" s="433">
        <f t="shared" si="27"/>
        <v>746.947</v>
      </c>
      <c r="AB39" s="433">
        <f t="shared" si="27"/>
        <v>761.15099999999995</v>
      </c>
      <c r="AC39" s="433">
        <f t="shared" si="27"/>
        <v>730.56799999999998</v>
      </c>
      <c r="AD39" s="433">
        <f t="shared" si="27"/>
        <v>743.41100000000006</v>
      </c>
      <c r="AK39" t="s">
        <v>176</v>
      </c>
    </row>
    <row r="40" spans="1:37">
      <c r="F40" s="435">
        <f>(F39-F32)</f>
        <v>-4.2767730625541844E-2</v>
      </c>
      <c r="G40" s="435">
        <f t="shared" ref="G40:W40" si="28">(G39-G32)</f>
        <v>-7.660374099020828E-2</v>
      </c>
      <c r="H40" s="435">
        <f t="shared" si="28"/>
        <v>3.3831064351375062E-2</v>
      </c>
      <c r="I40" s="435">
        <f t="shared" si="28"/>
        <v>-5.151733103002698E-2</v>
      </c>
      <c r="J40" s="435">
        <f t="shared" si="28"/>
        <v>2.5656410620399583E-2</v>
      </c>
      <c r="K40" s="435">
        <f t="shared" si="28"/>
        <v>2.433103028907226</v>
      </c>
      <c r="L40" s="435">
        <f t="shared" si="28"/>
        <v>2.8215288386032853</v>
      </c>
      <c r="M40" s="435">
        <f t="shared" si="28"/>
        <v>0.13831411134162863</v>
      </c>
      <c r="N40" s="435">
        <f t="shared" si="28"/>
        <v>-0.10217146587638126</v>
      </c>
      <c r="O40" s="435">
        <f t="shared" si="28"/>
        <v>-8.5242250551118559E-3</v>
      </c>
      <c r="P40" s="435">
        <f t="shared" si="28"/>
        <v>-0.13820881552430819</v>
      </c>
      <c r="Q40" s="435">
        <f t="shared" si="28"/>
        <v>-9.4699872307273836E-2</v>
      </c>
      <c r="R40" s="435">
        <f t="shared" si="28"/>
        <v>0.21514071696674364</v>
      </c>
      <c r="S40" s="435">
        <f t="shared" si="28"/>
        <v>0.11980917830010185</v>
      </c>
      <c r="T40" s="435">
        <f t="shared" si="28"/>
        <v>0.12838006518950351</v>
      </c>
      <c r="U40" s="435">
        <f t="shared" si="28"/>
        <v>7.3944141354331805E-4</v>
      </c>
      <c r="V40" s="435">
        <f t="shared" si="28"/>
        <v>6.7659717824653853E-2</v>
      </c>
      <c r="W40" s="435">
        <f t="shared" si="28"/>
        <v>4.9505776337355201E-4</v>
      </c>
      <c r="X40" s="435">
        <f t="shared" ref="X40:AC40" si="29">(X39-X32)</f>
        <v>8.2868344578628239E-3</v>
      </c>
      <c r="Y40" s="435">
        <f t="shared" si="29"/>
        <v>-1.9633203644730202E-2</v>
      </c>
      <c r="Z40" s="435">
        <f t="shared" si="29"/>
        <v>1.1452516929352896E-2</v>
      </c>
      <c r="AA40" s="435">
        <f t="shared" si="29"/>
        <v>-5.9473712572071236E-3</v>
      </c>
      <c r="AB40" s="435">
        <f>(AB39-AB32)</f>
        <v>-1.1504918851534285</v>
      </c>
      <c r="AC40" s="435">
        <f t="shared" si="29"/>
        <v>-0.93468663325620582</v>
      </c>
      <c r="AD40" s="435">
        <f>(AD39-AD32)</f>
        <v>-6.2507076164681621</v>
      </c>
      <c r="AK40" t="s">
        <v>176</v>
      </c>
    </row>
    <row r="42" spans="1:37" ht="15.5">
      <c r="A42" t="s">
        <v>708</v>
      </c>
      <c r="F42" s="299">
        <f>F32*0.01163</f>
        <v>6.3444995687071764</v>
      </c>
      <c r="G42" s="299">
        <f t="shared" ref="G42:Y42" si="30">G32*0.01163</f>
        <v>7.7678933615077161</v>
      </c>
      <c r="H42" s="299">
        <f t="shared" si="30"/>
        <v>8.2085955247215932</v>
      </c>
      <c r="I42" s="299">
        <f t="shared" si="30"/>
        <v>8.3526022365598784</v>
      </c>
      <c r="J42" s="299">
        <f t="shared" si="30"/>
        <v>8.9586976659444844</v>
      </c>
      <c r="K42" s="299">
        <f t="shared" si="30"/>
        <v>8.9367001417738088</v>
      </c>
      <c r="L42" s="299">
        <f t="shared" si="30"/>
        <v>8.7561975896070443</v>
      </c>
      <c r="M42" s="299">
        <f t="shared" si="30"/>
        <v>9.6343930168850971</v>
      </c>
      <c r="N42" s="299">
        <f t="shared" si="30"/>
        <v>9.7201931741481413</v>
      </c>
      <c r="O42" s="299">
        <f t="shared" si="30"/>
        <v>9.8991015667373912</v>
      </c>
      <c r="P42" s="299">
        <f t="shared" si="30"/>
        <v>10.571602648524548</v>
      </c>
      <c r="Q42" s="299">
        <f t="shared" si="30"/>
        <v>11.964091519514932</v>
      </c>
      <c r="R42" s="299">
        <f t="shared" si="30"/>
        <v>10.477500253461676</v>
      </c>
      <c r="S42" s="299">
        <f t="shared" si="30"/>
        <v>9.8895959792563701</v>
      </c>
      <c r="T42" s="299">
        <f t="shared" si="30"/>
        <v>9.5854997298418461</v>
      </c>
      <c r="U42" s="299">
        <f t="shared" si="30"/>
        <v>9.6969923602963597</v>
      </c>
      <c r="V42" s="299">
        <f t="shared" si="30"/>
        <v>9.4811986374816986</v>
      </c>
      <c r="W42" s="299">
        <f>W32*0.01163</f>
        <v>9.9151740024782118</v>
      </c>
      <c r="X42" s="299">
        <f t="shared" si="30"/>
        <v>10.361826574115257</v>
      </c>
      <c r="Y42" s="299">
        <f t="shared" si="30"/>
        <v>9.8710977941583877</v>
      </c>
      <c r="Z42" s="299">
        <f>Z32*0.01163</f>
        <v>8.6142310672281113</v>
      </c>
      <c r="AA42" s="299">
        <f>AA32*0.01163</f>
        <v>8.6870627779277214</v>
      </c>
      <c r="AB42" s="299">
        <f>AB32*0.01163</f>
        <v>8.8655663506243343</v>
      </c>
      <c r="AC42" s="299">
        <f>AC32*0.01163</f>
        <v>8.5073762455447692</v>
      </c>
      <c r="AD42" s="299">
        <f>AD32*0.01163</f>
        <v>8.7185656595795251</v>
      </c>
    </row>
    <row r="43" spans="1:37">
      <c r="F43" s="56">
        <f t="shared" ref="F43:J43" si="31">F42/F10</f>
        <v>2.2714130480353777E-2</v>
      </c>
      <c r="G43" s="56">
        <f t="shared" si="31"/>
        <v>2.7208804738445176E-2</v>
      </c>
      <c r="H43" s="56">
        <f t="shared" si="31"/>
        <v>2.8212148781898223E-2</v>
      </c>
      <c r="I43" s="56">
        <f t="shared" si="31"/>
        <v>2.7861640624626413E-2</v>
      </c>
      <c r="J43" s="56">
        <f t="shared" si="31"/>
        <v>2.9422005624310067E-2</v>
      </c>
      <c r="K43" s="56">
        <f>K42/K10</f>
        <v>2.884512081425504E-2</v>
      </c>
      <c r="L43" s="56">
        <f t="shared" ref="L43:U43" si="32">L42/L10</f>
        <v>2.7575691579989254E-2</v>
      </c>
      <c r="M43" s="56">
        <f t="shared" si="32"/>
        <v>3.0206366269340184E-2</v>
      </c>
      <c r="N43" s="56">
        <f t="shared" si="32"/>
        <v>3.0467272074065788E-2</v>
      </c>
      <c r="O43" s="56">
        <f t="shared" si="32"/>
        <v>3.300634601838117E-2</v>
      </c>
      <c r="P43" s="56">
        <f t="shared" si="32"/>
        <v>3.4114643478651563E-2</v>
      </c>
      <c r="Q43" s="56">
        <f t="shared" si="32"/>
        <v>3.8127446546662364E-2</v>
      </c>
      <c r="R43" s="56">
        <f t="shared" si="32"/>
        <v>3.4104281315026151E-2</v>
      </c>
      <c r="S43" s="56">
        <f t="shared" si="32"/>
        <v>3.3266089736862119E-2</v>
      </c>
      <c r="T43" s="56">
        <f t="shared" si="32"/>
        <v>3.2930412509956243E-2</v>
      </c>
      <c r="U43" s="56">
        <f t="shared" si="32"/>
        <v>3.2630030151074636E-2</v>
      </c>
      <c r="V43" s="56">
        <f t="shared" ref="V43:Y43" si="33">V42/V10</f>
        <v>3.208438424883539E-2</v>
      </c>
      <c r="W43" s="56">
        <f>W42/W10</f>
        <v>3.2844698489893229E-2</v>
      </c>
      <c r="X43" s="56">
        <f t="shared" si="33"/>
        <v>3.4147533437477881E-2</v>
      </c>
      <c r="Y43" s="56">
        <f t="shared" si="33"/>
        <v>3.2707004090831292E-2</v>
      </c>
      <c r="Z43" s="56">
        <f>Z42/Z10</f>
        <v>3.0351634967176126E-2</v>
      </c>
      <c r="AA43" s="56">
        <f>AA42/AA10</f>
        <v>2.8871499054189294E-2</v>
      </c>
      <c r="AB43" s="56">
        <f>AB42/AB10</f>
        <v>2.9966081004801547E-2</v>
      </c>
      <c r="AC43" s="56">
        <f>AC42/AC10</f>
        <v>2.9604043835656863E-2</v>
      </c>
      <c r="AD43" s="56">
        <f>AD42/AD10</f>
        <v>2.978542513656925E-2</v>
      </c>
    </row>
    <row r="44" spans="1:37">
      <c r="A44" t="s">
        <v>506</v>
      </c>
    </row>
    <row r="45" spans="1:37">
      <c r="A45" s="664" t="s">
        <v>507</v>
      </c>
      <c r="F45" s="147">
        <v>-1.5999999998257408E-3</v>
      </c>
      <c r="G45" s="147">
        <v>1.2400000000525324E-3</v>
      </c>
      <c r="H45" s="147">
        <v>0.99711999999999534</v>
      </c>
      <c r="I45" s="147">
        <v>5.0000000010186341E-4</v>
      </c>
      <c r="J45" s="147">
        <v>1.8300000001545413E-3</v>
      </c>
      <c r="K45" s="147">
        <v>1.0048200000001088</v>
      </c>
      <c r="L45" s="147">
        <v>-0.9942799999998897</v>
      </c>
      <c r="M45" s="147">
        <v>4.7600000002603338E-3</v>
      </c>
      <c r="N45" s="147">
        <v>4.6500000003106834E-3</v>
      </c>
      <c r="O45" s="147">
        <v>-4.609999999502179E-3</v>
      </c>
      <c r="P45" s="147">
        <v>5.6700000004639151E-3</v>
      </c>
      <c r="Q45" s="147">
        <v>-0.10395000000062282</v>
      </c>
      <c r="R45" s="147">
        <v>0.10307000000102562</v>
      </c>
      <c r="S45" s="147">
        <v>0.19576999999981126</v>
      </c>
      <c r="T45" s="147">
        <v>-4.3699999996533734E-3</v>
      </c>
      <c r="U45" s="147">
        <v>0.10516999999981635</v>
      </c>
      <c r="V45" s="147">
        <v>0.39563000000043758</v>
      </c>
      <c r="W45" s="147">
        <v>3.9370000000417349E-2</v>
      </c>
      <c r="X45" s="147">
        <v>-2.4049999999988358E-2</v>
      </c>
      <c r="Y45" s="147">
        <v>-4.8699999999826105E-2</v>
      </c>
      <c r="Z45" s="147">
        <v>-1.91899999999805E-2</v>
      </c>
      <c r="AA45" s="147">
        <v>9.0000000004692993E-3</v>
      </c>
      <c r="AB45" s="147">
        <v>-13.38397999999961</v>
      </c>
      <c r="AC45" s="147">
        <v>-10.734909999999672</v>
      </c>
      <c r="AD45" s="147">
        <v>-72.762959999999566</v>
      </c>
    </row>
    <row r="46" spans="1:37">
      <c r="F46" s="147">
        <f>F33*11.63</f>
        <v>22.003959999999999</v>
      </c>
      <c r="G46" s="147">
        <f t="shared" ref="G46:AA46" si="34">G33*11.63</f>
        <v>30.005400000000002</v>
      </c>
      <c r="H46" s="147">
        <f t="shared" si="34"/>
        <v>36.99503</v>
      </c>
      <c r="I46" s="147">
        <f t="shared" si="34"/>
        <v>32.005760000000002</v>
      </c>
      <c r="J46" s="147">
        <f t="shared" si="34"/>
        <v>36.99503</v>
      </c>
      <c r="K46" s="147">
        <f t="shared" si="34"/>
        <v>39.995570000000001</v>
      </c>
      <c r="L46" s="147">
        <f t="shared" si="34"/>
        <v>31.005580000000002</v>
      </c>
      <c r="M46" s="147">
        <f t="shared" si="34"/>
        <v>41.995930000000008</v>
      </c>
      <c r="N46" s="147">
        <f t="shared" si="34"/>
        <v>44.996470000000002</v>
      </c>
      <c r="O46" s="147">
        <f t="shared" si="34"/>
        <v>43.996290000000002</v>
      </c>
      <c r="P46" s="147">
        <f t="shared" si="34"/>
        <v>39.995570000000001</v>
      </c>
      <c r="Q46" s="147">
        <f t="shared" si="34"/>
        <v>41.995930000000008</v>
      </c>
      <c r="R46" s="147">
        <f t="shared" si="34"/>
        <v>48.997190000000003</v>
      </c>
      <c r="S46" s="147">
        <f t="shared" si="34"/>
        <v>40.995750000000001</v>
      </c>
      <c r="T46" s="147">
        <f t="shared" si="34"/>
        <v>28.005040000000001</v>
      </c>
      <c r="U46" s="147">
        <f t="shared" si="34"/>
        <v>37.99521</v>
      </c>
      <c r="V46" s="147">
        <f t="shared" si="34"/>
        <v>36.99503</v>
      </c>
      <c r="W46" s="147">
        <f t="shared" si="34"/>
        <v>44.031180000000006</v>
      </c>
      <c r="X46" s="147">
        <f t="shared" si="34"/>
        <v>40.79804</v>
      </c>
      <c r="Y46" s="147">
        <f t="shared" si="34"/>
        <v>239.07791</v>
      </c>
      <c r="Z46" s="147">
        <f t="shared" si="34"/>
        <v>220.73740000000001</v>
      </c>
      <c r="AA46" s="147">
        <f t="shared" si="34"/>
        <v>254.39462</v>
      </c>
      <c r="AB46" s="147">
        <f>AB33*11.63</f>
        <v>254.61559000000003</v>
      </c>
      <c r="AC46" s="147">
        <f t="shared" ref="AC46:AC50" si="35">AC33*11.63</f>
        <v>253.63867000000002</v>
      </c>
      <c r="AD46" s="147">
        <f>AD33*11.63</f>
        <v>277.60810000000004</v>
      </c>
    </row>
    <row r="47" spans="1:37">
      <c r="F47" s="147">
        <f>F34*11.63</f>
        <v>195.00021000000001</v>
      </c>
      <c r="G47" s="147">
        <f t="shared" ref="G47:AA47" si="36">G34*11.63</f>
        <v>244.99758</v>
      </c>
      <c r="H47" s="147">
        <f t="shared" si="36"/>
        <v>238.99650000000003</v>
      </c>
      <c r="I47" s="147">
        <f t="shared" si="36"/>
        <v>229.99488000000002</v>
      </c>
      <c r="J47" s="147">
        <f t="shared" si="36"/>
        <v>362.99556000000001</v>
      </c>
      <c r="K47" s="147">
        <f t="shared" si="36"/>
        <v>327.00071000000003</v>
      </c>
      <c r="L47" s="147">
        <f t="shared" si="36"/>
        <v>355.00575000000003</v>
      </c>
      <c r="M47" s="147">
        <f t="shared" si="36"/>
        <v>341.00323000000003</v>
      </c>
      <c r="N47" s="147">
        <f t="shared" si="36"/>
        <v>349.00467000000003</v>
      </c>
      <c r="O47" s="147">
        <f t="shared" si="36"/>
        <v>341.00323000000003</v>
      </c>
      <c r="P47" s="147">
        <f t="shared" si="36"/>
        <v>379.99862000000002</v>
      </c>
      <c r="Q47" s="147">
        <f t="shared" si="36"/>
        <v>320.99963000000002</v>
      </c>
      <c r="R47" s="147">
        <f t="shared" si="36"/>
        <v>342.00341000000003</v>
      </c>
      <c r="S47" s="147">
        <f t="shared" si="36"/>
        <v>362.99556000000001</v>
      </c>
      <c r="T47" s="147">
        <f t="shared" si="36"/>
        <v>362.99556000000001</v>
      </c>
      <c r="U47" s="147">
        <f t="shared" si="36"/>
        <v>354.00557000000003</v>
      </c>
      <c r="V47" s="147">
        <f t="shared" si="36"/>
        <v>302.99639000000002</v>
      </c>
      <c r="W47" s="147">
        <f t="shared" si="36"/>
        <v>335.61854000000005</v>
      </c>
      <c r="X47" s="147">
        <f t="shared" si="36"/>
        <v>391.30298000000005</v>
      </c>
      <c r="Y47" s="147">
        <f t="shared" si="36"/>
        <v>167.64644999999999</v>
      </c>
      <c r="Z47" s="147">
        <f t="shared" si="36"/>
        <v>127.26709000000001</v>
      </c>
      <c r="AA47" s="147">
        <f t="shared" si="36"/>
        <v>124.19677000000001</v>
      </c>
      <c r="AB47" s="147">
        <f>AB34*11.63</f>
        <v>113.97400000000002</v>
      </c>
      <c r="AC47" s="147">
        <f t="shared" si="35"/>
        <v>107.75195000000001</v>
      </c>
      <c r="AD47" s="147">
        <f>AD34*11.63</f>
        <v>101.20426</v>
      </c>
    </row>
    <row r="48" spans="1:37">
      <c r="F48" s="147">
        <f>F35*11.63</f>
        <v>157.00500000000002</v>
      </c>
      <c r="G48" s="147">
        <f t="shared" ref="G48:U48" si="37">G35*11.63</f>
        <v>169.99571000000003</v>
      </c>
      <c r="H48" s="147">
        <f t="shared" si="37"/>
        <v>190.99948999999998</v>
      </c>
      <c r="I48" s="147">
        <f t="shared" si="37"/>
        <v>118.99816</v>
      </c>
      <c r="J48" s="147">
        <f t="shared" si="37"/>
        <v>153.00428000000002</v>
      </c>
      <c r="K48" s="147">
        <f t="shared" si="37"/>
        <v>163.99463000000003</v>
      </c>
      <c r="L48" s="147">
        <f t="shared" si="37"/>
        <v>167.99535</v>
      </c>
      <c r="M48" s="147">
        <f t="shared" si="37"/>
        <v>169.99571000000003</v>
      </c>
      <c r="N48" s="147">
        <f t="shared" si="37"/>
        <v>164.99481</v>
      </c>
      <c r="O48" s="147">
        <f t="shared" si="37"/>
        <v>76.002050000000011</v>
      </c>
      <c r="P48" s="147">
        <f t="shared" si="37"/>
        <v>181.99787000000001</v>
      </c>
      <c r="Q48" s="147">
        <f t="shared" si="37"/>
        <v>205.00201000000001</v>
      </c>
      <c r="R48" s="147">
        <f t="shared" si="37"/>
        <v>138.00158000000002</v>
      </c>
      <c r="S48" s="147">
        <f t="shared" si="37"/>
        <v>55.998450000000005</v>
      </c>
      <c r="T48" s="147">
        <f t="shared" si="37"/>
        <v>42.996110000000002</v>
      </c>
      <c r="U48" s="147">
        <f t="shared" si="37"/>
        <v>39.995570000000001</v>
      </c>
      <c r="V48" s="147">
        <f t="shared" ref="V48:AA48" si="38">V35*11.63</f>
        <v>41.995930000000008</v>
      </c>
      <c r="W48" s="147">
        <f t="shared" si="38"/>
        <v>43.217080000000003</v>
      </c>
      <c r="X48" s="147">
        <f t="shared" si="38"/>
        <v>44.508010000000006</v>
      </c>
      <c r="Y48" s="147">
        <f t="shared" si="38"/>
        <v>43.961399999999998</v>
      </c>
      <c r="Z48" s="147">
        <f t="shared" si="38"/>
        <v>36.960140000000003</v>
      </c>
      <c r="AA48" s="147">
        <f t="shared" si="38"/>
        <v>37.937060000000002</v>
      </c>
      <c r="AB48" s="147">
        <f>AB35*11.63</f>
        <v>38.727900000000005</v>
      </c>
      <c r="AC48" s="147">
        <f t="shared" si="35"/>
        <v>39.29777</v>
      </c>
      <c r="AD48" s="147">
        <f>AD35*11.63</f>
        <v>42.263420000000004</v>
      </c>
    </row>
    <row r="49" spans="1:64">
      <c r="F49" s="147">
        <f>F36*11.63</f>
        <v>4296.9942500000006</v>
      </c>
      <c r="G49" s="147">
        <f t="shared" ref="G49:AA49" si="39">G36*11.63</f>
        <v>5502.0018100000007</v>
      </c>
      <c r="H49" s="147">
        <f t="shared" si="39"/>
        <v>5426.9999399999997</v>
      </c>
      <c r="I49" s="147">
        <f t="shared" si="39"/>
        <v>5510.0032499999998</v>
      </c>
      <c r="J49" s="147">
        <f t="shared" si="39"/>
        <v>5871.998630000001</v>
      </c>
      <c r="K49" s="147">
        <f t="shared" si="39"/>
        <v>5947.000500000001</v>
      </c>
      <c r="L49" s="147">
        <f t="shared" si="39"/>
        <v>5741.9984900000009</v>
      </c>
      <c r="M49" s="147">
        <f t="shared" si="39"/>
        <v>5820.0009000000009</v>
      </c>
      <c r="N49" s="147">
        <f t="shared" si="39"/>
        <v>5834.0034200000009</v>
      </c>
      <c r="O49" s="147">
        <f t="shared" si="39"/>
        <v>5903.0042100000001</v>
      </c>
      <c r="P49" s="147">
        <f t="shared" si="39"/>
        <v>5858.996290000001</v>
      </c>
      <c r="Q49" s="147">
        <f t="shared" si="39"/>
        <v>5917.9952800000001</v>
      </c>
      <c r="R49" s="147">
        <f t="shared" si="39"/>
        <v>5597.9958300000008</v>
      </c>
      <c r="S49" s="147">
        <f t="shared" si="39"/>
        <v>5378.0027500000006</v>
      </c>
      <c r="T49" s="147">
        <f t="shared" si="39"/>
        <v>5229.9993700000005</v>
      </c>
      <c r="U49" s="147">
        <f t="shared" si="39"/>
        <v>5288.9983600000005</v>
      </c>
      <c r="V49" s="147">
        <f t="shared" si="39"/>
        <v>5177.0014600000004</v>
      </c>
      <c r="W49" s="147">
        <f t="shared" si="39"/>
        <v>5210.5423800000008</v>
      </c>
      <c r="X49" s="147">
        <f t="shared" si="39"/>
        <v>5762.1765400000004</v>
      </c>
      <c r="Y49" s="147">
        <f t="shared" si="39"/>
        <v>5990.4734399999998</v>
      </c>
      <c r="Z49" s="147">
        <f t="shared" si="39"/>
        <v>5363.1396100000002</v>
      </c>
      <c r="AA49" s="147">
        <f t="shared" si="39"/>
        <v>5312.9561600000006</v>
      </c>
      <c r="AB49" s="147">
        <f>AB36*11.63</f>
        <v>5564.6526199999998</v>
      </c>
      <c r="AC49" s="147">
        <f t="shared" si="35"/>
        <v>5356.4523600000002</v>
      </c>
      <c r="AD49" s="147">
        <f>AD36*11.63</f>
        <v>5214.8571099999999</v>
      </c>
    </row>
    <row r="50" spans="1:64">
      <c r="F50" s="147">
        <f>F37*11.63</f>
        <v>2.0003600000000001</v>
      </c>
      <c r="G50" s="147">
        <f t="shared" ref="G50:AA50" si="40">G37*11.63</f>
        <v>4.0007200000000003</v>
      </c>
      <c r="H50" s="147">
        <f t="shared" si="40"/>
        <v>5.0009000000000006</v>
      </c>
      <c r="I50" s="147">
        <f t="shared" si="40"/>
        <v>3.0005400000000004</v>
      </c>
      <c r="J50" s="147">
        <f t="shared" si="40"/>
        <v>4.0007200000000003</v>
      </c>
      <c r="K50" s="147">
        <f t="shared" si="40"/>
        <v>5.0009000000000006</v>
      </c>
      <c r="L50" s="147">
        <f t="shared" si="40"/>
        <v>6.0010800000000009</v>
      </c>
      <c r="M50" s="147">
        <f t="shared" si="40"/>
        <v>6.0010800000000009</v>
      </c>
      <c r="N50" s="147">
        <f t="shared" si="40"/>
        <v>5.0009000000000006</v>
      </c>
      <c r="O50" s="147">
        <f t="shared" si="40"/>
        <v>7.0012600000000003</v>
      </c>
      <c r="P50" s="147">
        <f t="shared" si="40"/>
        <v>7.0012600000000003</v>
      </c>
      <c r="Q50" s="147">
        <f t="shared" si="40"/>
        <v>7.0012600000000003</v>
      </c>
      <c r="R50" s="147">
        <f t="shared" si="40"/>
        <v>7.0012600000000003</v>
      </c>
      <c r="S50" s="147">
        <f t="shared" si="40"/>
        <v>6.0010800000000009</v>
      </c>
      <c r="T50" s="147">
        <f t="shared" si="40"/>
        <v>6.0010800000000009</v>
      </c>
      <c r="U50" s="147">
        <f t="shared" si="40"/>
        <v>6.0010800000000009</v>
      </c>
      <c r="V50" s="147">
        <f t="shared" si="40"/>
        <v>6.0010800000000009</v>
      </c>
      <c r="W50" s="147">
        <f t="shared" si="40"/>
        <v>5.431210000000001</v>
      </c>
      <c r="X50" s="147">
        <f t="shared" si="40"/>
        <v>5.3614300000000004</v>
      </c>
      <c r="Y50" s="147">
        <f t="shared" si="40"/>
        <v>4.5589600000000008</v>
      </c>
      <c r="Z50" s="147">
        <f t="shared" si="40"/>
        <v>0.77921000000000007</v>
      </c>
      <c r="AA50" s="147">
        <f t="shared" si="40"/>
        <v>0</v>
      </c>
      <c r="AB50" s="147">
        <f>AB37*11.63</f>
        <v>0</v>
      </c>
      <c r="AC50" s="147">
        <f t="shared" si="35"/>
        <v>0</v>
      </c>
      <c r="AD50" s="147">
        <f>AD37*11.63</f>
        <v>0</v>
      </c>
    </row>
    <row r="51" spans="1:64">
      <c r="F51" s="147"/>
    </row>
    <row r="52" spans="1:64">
      <c r="A52" t="s">
        <v>371</v>
      </c>
      <c r="F52" s="147">
        <f>'9'!E16</f>
        <v>439.19303374249989</v>
      </c>
      <c r="G52" s="147"/>
      <c r="H52" s="147"/>
      <c r="I52" s="147"/>
      <c r="J52" s="147"/>
      <c r="K52" s="147">
        <f>'10'!Q38</f>
        <v>468.94016885011575</v>
      </c>
      <c r="L52" s="147"/>
      <c r="M52" s="147"/>
      <c r="N52" s="147"/>
      <c r="O52" s="147"/>
      <c r="P52" s="147">
        <f>'10'!R38</f>
        <v>394.61768935117675</v>
      </c>
      <c r="Q52" s="147"/>
      <c r="R52" s="147"/>
      <c r="S52" s="147"/>
      <c r="T52" s="147"/>
      <c r="U52" s="147">
        <f>'10'!S38</f>
        <v>320.32276684053664</v>
      </c>
      <c r="V52" s="147">
        <f>'10'!T38</f>
        <v>319.82243351078824</v>
      </c>
      <c r="W52" s="147">
        <f>'10'!U38</f>
        <v>314.46317569058499</v>
      </c>
      <c r="X52" s="147">
        <f>'10'!V38</f>
        <v>287.47197149185996</v>
      </c>
      <c r="Y52" s="147">
        <f>'10'!W38</f>
        <v>274.64500197272406</v>
      </c>
      <c r="Z52" s="147">
        <f>'10'!X38</f>
        <v>260.73089053334979</v>
      </c>
      <c r="AA52" s="147">
        <f>'10'!Y38</f>
        <v>260.76834209944013</v>
      </c>
      <c r="AB52" s="147">
        <f>'10'!Z38</f>
        <v>294.79289438879016</v>
      </c>
      <c r="AC52" s="147">
        <f>'10'!AA38</f>
        <v>236.33572871692877</v>
      </c>
      <c r="AD52" s="147">
        <f>'10'!AB38</f>
        <v>194.0369706548569</v>
      </c>
      <c r="AE52" s="147">
        <f>'10'!AC38</f>
        <v>201.01034915470873</v>
      </c>
      <c r="BE52">
        <v>2005</v>
      </c>
      <c r="BF52">
        <v>2010</v>
      </c>
      <c r="BG52">
        <v>2015</v>
      </c>
      <c r="BH52">
        <v>2016</v>
      </c>
      <c r="BI52">
        <v>2017</v>
      </c>
      <c r="BJ52">
        <v>2018</v>
      </c>
      <c r="BK52">
        <v>2019</v>
      </c>
      <c r="BL52">
        <v>2020</v>
      </c>
    </row>
    <row r="53" spans="1:64">
      <c r="A53" t="s">
        <v>333</v>
      </c>
      <c r="F53" s="147"/>
      <c r="G53" s="147"/>
      <c r="H53" s="147"/>
      <c r="I53" s="147"/>
      <c r="J53" s="147"/>
      <c r="K53" s="147"/>
      <c r="L53" s="147"/>
      <c r="M53" s="147"/>
      <c r="N53" s="147"/>
      <c r="O53" s="147"/>
      <c r="P53" s="147"/>
      <c r="Q53" s="147"/>
      <c r="R53" s="147"/>
      <c r="S53" s="147"/>
      <c r="T53" s="147"/>
      <c r="U53" s="147"/>
      <c r="V53" s="147"/>
      <c r="AL53">
        <v>2005</v>
      </c>
      <c r="AM53">
        <v>2010</v>
      </c>
      <c r="AN53">
        <v>2015</v>
      </c>
      <c r="AO53">
        <v>2020</v>
      </c>
      <c r="AP53">
        <v>2024</v>
      </c>
      <c r="AU53">
        <f>AL53</f>
        <v>2005</v>
      </c>
      <c r="AV53">
        <f t="shared" ref="AV53:AY53" si="41">AM53</f>
        <v>2010</v>
      </c>
      <c r="AW53">
        <f t="shared" si="41"/>
        <v>2015</v>
      </c>
      <c r="AX53">
        <f t="shared" si="41"/>
        <v>2020</v>
      </c>
      <c r="AY53">
        <f t="shared" si="41"/>
        <v>2024</v>
      </c>
      <c r="BD53" t="str">
        <f t="shared" ref="BD53:BD54" si="42">A54</f>
        <v>Agricoltura e Pesca</v>
      </c>
      <c r="BE53" s="147">
        <f t="shared" ref="BE53:BE54" si="43">K54</f>
        <v>2.5155826417795613</v>
      </c>
      <c r="BF53" s="147">
        <f t="shared" ref="BF53:BF54" si="44">P54</f>
        <v>2.2139236225669068</v>
      </c>
      <c r="BG53" s="147">
        <f t="shared" ref="BG53:BL54" si="45">U54</f>
        <v>1.8226045110459692</v>
      </c>
      <c r="BH53" s="147">
        <f t="shared" si="45"/>
        <v>1.7806113985713135</v>
      </c>
      <c r="BI53" s="147">
        <f t="shared" si="45"/>
        <v>1.8837602076568802</v>
      </c>
      <c r="BJ53" s="147">
        <f t="shared" si="45"/>
        <v>1.6797849710183852</v>
      </c>
      <c r="BK53" s="147">
        <f t="shared" si="45"/>
        <v>1.6622614099397148</v>
      </c>
      <c r="BL53" s="147">
        <f>Z54</f>
        <v>1.645342284710704</v>
      </c>
    </row>
    <row r="54" spans="1:64">
      <c r="A54" t="str">
        <f>A5</f>
        <v>Agricoltura e Pesca</v>
      </c>
      <c r="F54" s="147">
        <f t="shared" ref="F54:F59" si="46">F5*F$52/1000</f>
        <v>2.1549445393609501</v>
      </c>
      <c r="G54" s="147"/>
      <c r="H54" s="147"/>
      <c r="I54" s="147"/>
      <c r="J54" s="147"/>
      <c r="K54" s="147">
        <f t="shared" ref="K54:K59" si="47">K5*K$52/1000</f>
        <v>2.5155826417795613</v>
      </c>
      <c r="L54" s="147"/>
      <c r="M54" s="147"/>
      <c r="N54" s="147"/>
      <c r="O54" s="147"/>
      <c r="P54" s="147">
        <f t="shared" ref="P54:P59" si="48">P5*P$52/1000</f>
        <v>2.2139236225669068</v>
      </c>
      <c r="Q54" s="147"/>
      <c r="R54" s="147"/>
      <c r="S54" s="147"/>
      <c r="T54" s="147"/>
      <c r="U54" s="147">
        <f t="shared" ref="U54:AA55" si="49">U5*U$52/1000</f>
        <v>1.8226045110459692</v>
      </c>
      <c r="V54" s="147">
        <f t="shared" si="49"/>
        <v>1.7806113985713135</v>
      </c>
      <c r="W54" s="147">
        <f t="shared" si="49"/>
        <v>1.8837602076568802</v>
      </c>
      <c r="X54" s="147">
        <f t="shared" si="49"/>
        <v>1.6797849710183852</v>
      </c>
      <c r="Y54" s="147">
        <f t="shared" si="49"/>
        <v>1.6622614099397148</v>
      </c>
      <c r="Z54" s="147">
        <f t="shared" si="49"/>
        <v>1.645342284710704</v>
      </c>
      <c r="AA54" s="147">
        <f t="shared" si="49"/>
        <v>1.7507464951872211</v>
      </c>
      <c r="AB54" s="147">
        <f t="shared" ref="AB54:AD55" si="50">AB5*AB$52/1000</f>
        <v>1.9507330200389412</v>
      </c>
      <c r="AC54" s="147">
        <f t="shared" si="50"/>
        <v>1.4968087042557965</v>
      </c>
      <c r="AD54" s="147">
        <f>AD5*AD$52/1000</f>
        <v>1.2971759562218494</v>
      </c>
      <c r="AE54" s="147">
        <f t="shared" ref="AE54" si="51">AE5*AE$52/1000</f>
        <v>1.336278465927075</v>
      </c>
      <c r="AF54" s="168"/>
      <c r="AG54" s="168"/>
      <c r="AH54" s="168"/>
      <c r="AI54" s="168"/>
      <c r="AJ54" s="168"/>
      <c r="AK54" t="str">
        <f>A54</f>
        <v>Agricoltura e Pesca</v>
      </c>
      <c r="AL54" s="147">
        <f>K54</f>
        <v>2.5155826417795613</v>
      </c>
      <c r="AM54" s="147">
        <f>P54</f>
        <v>2.2139236225669068</v>
      </c>
      <c r="AN54" s="147">
        <f t="shared" ref="AN54:AN55" si="52">U54</f>
        <v>1.8226045110459692</v>
      </c>
      <c r="AO54" s="147">
        <f>Z54</f>
        <v>1.645342284710704</v>
      </c>
      <c r="AP54" s="147">
        <f>AD54</f>
        <v>1.2971759562218494</v>
      </c>
      <c r="AQ54" s="147"/>
      <c r="AR54" s="147"/>
      <c r="AU54" s="56">
        <f t="shared" ref="AU54:AW58" si="53">AL54/AL$59</f>
        <v>1.7314754175614164E-2</v>
      </c>
      <c r="AV54" s="56">
        <f t="shared" si="53"/>
        <v>1.8104481474716719E-2</v>
      </c>
      <c r="AW54" s="56">
        <f t="shared" si="53"/>
        <v>1.9146308634497608E-2</v>
      </c>
      <c r="AX54" s="56">
        <f t="shared" ref="AX54:AX58" si="54">AO54/AO$59</f>
        <v>2.2234601204167235E-2</v>
      </c>
      <c r="AY54" s="56">
        <f t="shared" ref="AY54:AY58" si="55">AP54/AP$59</f>
        <v>2.2838793890851528E-2</v>
      </c>
      <c r="AZ54" s="56"/>
      <c r="BA54" s="56"/>
      <c r="BB54" s="56"/>
      <c r="BD54" t="str">
        <f t="shared" si="42"/>
        <v>Industria</v>
      </c>
      <c r="BE54" s="147">
        <f t="shared" si="43"/>
        <v>72.088671548787971</v>
      </c>
      <c r="BF54" s="147">
        <f t="shared" si="44"/>
        <v>54.630596681394351</v>
      </c>
      <c r="BG54" s="147">
        <f t="shared" si="45"/>
        <v>39.195430492971795</v>
      </c>
      <c r="BH54" s="147">
        <f t="shared" si="45"/>
        <v>39.254365844247125</v>
      </c>
      <c r="BI54" s="147">
        <f t="shared" si="45"/>
        <v>39.472864343290404</v>
      </c>
      <c r="BJ54" s="147">
        <f t="shared" si="45"/>
        <v>36.345656299658842</v>
      </c>
      <c r="BK54" s="147">
        <f t="shared" si="45"/>
        <v>35.412723807913018</v>
      </c>
      <c r="BL54" s="147">
        <f t="shared" si="45"/>
        <v>32.700216463466397</v>
      </c>
    </row>
    <row r="55" spans="1:64">
      <c r="A55" t="str">
        <f>A6</f>
        <v>Industria</v>
      </c>
      <c r="F55" s="147">
        <f t="shared" si="46"/>
        <v>65.085069733582031</v>
      </c>
      <c r="G55" s="147"/>
      <c r="H55" s="147"/>
      <c r="I55" s="147"/>
      <c r="J55" s="147"/>
      <c r="K55" s="147">
        <f t="shared" si="47"/>
        <v>72.088671548787971</v>
      </c>
      <c r="L55" s="147"/>
      <c r="M55" s="147"/>
      <c r="N55" s="147"/>
      <c r="O55" s="147"/>
      <c r="P55" s="147">
        <f t="shared" si="48"/>
        <v>54.630596681394351</v>
      </c>
      <c r="Q55" s="147"/>
      <c r="R55" s="147"/>
      <c r="S55" s="147"/>
      <c r="T55" s="147"/>
      <c r="U55" s="147">
        <f t="shared" si="49"/>
        <v>39.195430492971795</v>
      </c>
      <c r="V55" s="147">
        <f t="shared" si="49"/>
        <v>39.254365844247125</v>
      </c>
      <c r="W55" s="147">
        <f t="shared" si="49"/>
        <v>39.472864343290404</v>
      </c>
      <c r="X55" s="147">
        <f t="shared" si="49"/>
        <v>36.345656299658842</v>
      </c>
      <c r="Y55" s="147">
        <f t="shared" si="49"/>
        <v>35.412723807913018</v>
      </c>
      <c r="Z55" s="147">
        <f t="shared" si="49"/>
        <v>32.700216463466397</v>
      </c>
      <c r="AA55" s="147">
        <f t="shared" si="49"/>
        <v>35.398298481881916</v>
      </c>
      <c r="AB55" s="147">
        <f t="shared" si="50"/>
        <v>38.326938057459216</v>
      </c>
      <c r="AC55" s="147">
        <f t="shared" si="50"/>
        <v>29.420418624336982</v>
      </c>
      <c r="AD55" s="147">
        <f t="shared" si="50"/>
        <v>24.220389329494186</v>
      </c>
      <c r="AE55" s="147">
        <f t="shared" ref="AE55" si="56">AE6*AE$52/1000</f>
        <v>25.012839638039988</v>
      </c>
      <c r="AF55" s="168"/>
      <c r="AG55" s="168"/>
      <c r="AH55" s="168"/>
      <c r="AI55" s="168"/>
      <c r="AJ55" s="168"/>
      <c r="AK55" t="str">
        <f>A55</f>
        <v>Industria</v>
      </c>
      <c r="AL55" s="147">
        <f>K55</f>
        <v>72.088671548787971</v>
      </c>
      <c r="AM55" s="147">
        <f>P55</f>
        <v>54.630596681394351</v>
      </c>
      <c r="AN55" s="147">
        <f t="shared" si="52"/>
        <v>39.195430492971795</v>
      </c>
      <c r="AO55" s="147">
        <f>Z55</f>
        <v>32.700216463466397</v>
      </c>
      <c r="AP55" s="147">
        <f>AD55</f>
        <v>24.220389329494186</v>
      </c>
      <c r="AQ55" s="147"/>
      <c r="AR55" s="147"/>
      <c r="AU55" s="56">
        <f t="shared" si="53"/>
        <v>0.49618629337927878</v>
      </c>
      <c r="AV55" s="56">
        <f t="shared" si="53"/>
        <v>0.4467446914109317</v>
      </c>
      <c r="AW55" s="56">
        <f t="shared" si="53"/>
        <v>0.41174473383134796</v>
      </c>
      <c r="AX55" s="56">
        <f t="shared" si="54"/>
        <v>0.4418997062869256</v>
      </c>
      <c r="AY55" s="56">
        <f t="shared" si="55"/>
        <v>0.42643750618354231</v>
      </c>
      <c r="AZ55" s="56"/>
      <c r="BA55" s="56"/>
      <c r="BB55" s="56"/>
      <c r="BD55" t="str">
        <f>A56</f>
        <v>Servizi</v>
      </c>
      <c r="BE55" s="147">
        <f>K56</f>
        <v>39.29390356845775</v>
      </c>
      <c r="BF55" s="147">
        <f>P56</f>
        <v>37.99556691033338</v>
      </c>
      <c r="BG55" s="147">
        <f t="shared" ref="BG55:BL57" si="57">U56</f>
        <v>32.974185779948257</v>
      </c>
      <c r="BH55" s="147">
        <f t="shared" si="57"/>
        <v>32.909248674609842</v>
      </c>
      <c r="BI55" s="147">
        <f t="shared" si="57"/>
        <v>32.979262657914958</v>
      </c>
      <c r="BJ55" s="147">
        <f t="shared" si="57"/>
        <v>30.480595642887611</v>
      </c>
      <c r="BK55" s="147">
        <f t="shared" si="57"/>
        <v>27.800500892685836</v>
      </c>
      <c r="BL55" s="147">
        <f t="shared" si="57"/>
        <v>22.390213078373307</v>
      </c>
    </row>
    <row r="56" spans="1:64">
      <c r="A56" t="s">
        <v>334</v>
      </c>
      <c r="F56" s="147">
        <f t="shared" si="46"/>
        <v>28.595331395333677</v>
      </c>
      <c r="G56" s="147"/>
      <c r="H56" s="147"/>
      <c r="I56" s="147"/>
      <c r="J56" s="147"/>
      <c r="K56" s="147">
        <f t="shared" si="47"/>
        <v>39.29390356845775</v>
      </c>
      <c r="L56" s="147"/>
      <c r="M56" s="147"/>
      <c r="N56" s="147"/>
      <c r="O56" s="147"/>
      <c r="P56" s="147">
        <f t="shared" si="48"/>
        <v>37.99556691033338</v>
      </c>
      <c r="Q56" s="147"/>
      <c r="R56" s="147"/>
      <c r="S56" s="147"/>
      <c r="T56" s="147"/>
      <c r="U56" s="147">
        <f t="shared" ref="U56:AE56" si="58">U7*U$52/1000</f>
        <v>32.974185779948257</v>
      </c>
      <c r="V56" s="147">
        <f t="shared" si="58"/>
        <v>32.909248674609842</v>
      </c>
      <c r="W56" s="147">
        <f t="shared" si="58"/>
        <v>32.979262657914958</v>
      </c>
      <c r="X56" s="147">
        <f t="shared" si="58"/>
        <v>30.480595642887611</v>
      </c>
      <c r="Y56" s="147">
        <f t="shared" si="58"/>
        <v>27.800500892685836</v>
      </c>
      <c r="Z56" s="147">
        <f t="shared" si="58"/>
        <v>22.390213078373307</v>
      </c>
      <c r="AA56" s="147">
        <f t="shared" si="58"/>
        <v>23.827681182502133</v>
      </c>
      <c r="AB56" s="147">
        <f t="shared" si="58"/>
        <v>27.916250345966549</v>
      </c>
      <c r="AC56" s="147">
        <f t="shared" si="58"/>
        <v>22.057426263306812</v>
      </c>
      <c r="AD56" s="147">
        <f t="shared" si="58"/>
        <v>18.583774442286529</v>
      </c>
      <c r="AE56" s="147">
        <f t="shared" si="58"/>
        <v>19.87781013983339</v>
      </c>
      <c r="AF56" s="168"/>
      <c r="AG56" s="168"/>
      <c r="AH56" s="168"/>
      <c r="AI56" s="168"/>
      <c r="AJ56" s="168"/>
      <c r="AK56" t="str">
        <f>A56</f>
        <v>Servizi</v>
      </c>
      <c r="AL56" s="147">
        <f>K56-K57</f>
        <v>34.642954973802304</v>
      </c>
      <c r="AM56" s="147">
        <f>P56-P57</f>
        <v>33.786614097482662</v>
      </c>
      <c r="AN56" s="147">
        <f>U56-U57</f>
        <v>29.496889952234127</v>
      </c>
      <c r="AO56" s="147">
        <f>Z56-Z57</f>
        <v>19.734747177558297</v>
      </c>
      <c r="AP56" s="147">
        <f>AD56-AD57</f>
        <v>16.213166560704945</v>
      </c>
      <c r="AQ56" s="147"/>
      <c r="AR56" s="147"/>
      <c r="AU56" s="56">
        <f t="shared" si="53"/>
        <v>0.23844744327855796</v>
      </c>
      <c r="AV56" s="56">
        <f t="shared" si="53"/>
        <v>0.27629188414009609</v>
      </c>
      <c r="AW56" s="56">
        <f t="shared" si="53"/>
        <v>0.30986237297260916</v>
      </c>
      <c r="AX56" s="56">
        <f t="shared" si="54"/>
        <v>0.26668872333468635</v>
      </c>
      <c r="AY56" s="56">
        <f t="shared" si="55"/>
        <v>0.28545793469414082</v>
      </c>
      <c r="AZ56" s="56"/>
      <c r="BA56" s="56"/>
      <c r="BB56" s="56"/>
      <c r="BD56" s="304" t="str">
        <f>A57</f>
        <v>di cui trasporti (+ magazzinaggio)</v>
      </c>
      <c r="BE56" s="147">
        <f>K57</f>
        <v>4.6509485946554481</v>
      </c>
      <c r="BF56" s="147">
        <f>P57</f>
        <v>4.2089528128507157</v>
      </c>
      <c r="BG56" s="147">
        <f t="shared" si="57"/>
        <v>3.4772958277141295</v>
      </c>
      <c r="BH56" s="147">
        <f t="shared" si="57"/>
        <v>3.5700179140641737</v>
      </c>
      <c r="BI56" s="147">
        <f t="shared" si="57"/>
        <v>3.5795028825683599</v>
      </c>
      <c r="BJ56" s="147">
        <f t="shared" si="57"/>
        <v>3.3174265510160637</v>
      </c>
      <c r="BK56" s="147">
        <f t="shared" si="57"/>
        <v>3.2202401126303872</v>
      </c>
      <c r="BL56" s="147">
        <f t="shared" si="57"/>
        <v>2.6554659008150079</v>
      </c>
    </row>
    <row r="57" spans="1:64">
      <c r="A57" s="304" t="str">
        <f>A8</f>
        <v>di cui trasporti (+ magazzinaggio)</v>
      </c>
      <c r="F57" s="305">
        <f t="shared" si="46"/>
        <v>3.7392016506768955</v>
      </c>
      <c r="G57" s="305"/>
      <c r="H57" s="305"/>
      <c r="I57" s="305"/>
      <c r="J57" s="305"/>
      <c r="K57" s="305">
        <f t="shared" si="47"/>
        <v>4.6509485946554481</v>
      </c>
      <c r="L57" s="305"/>
      <c r="M57" s="305"/>
      <c r="N57" s="305"/>
      <c r="O57" s="305"/>
      <c r="P57" s="305">
        <f t="shared" si="48"/>
        <v>4.2089528128507157</v>
      </c>
      <c r="Q57" s="305"/>
      <c r="R57" s="305"/>
      <c r="S57" s="305"/>
      <c r="T57" s="305"/>
      <c r="U57" s="305">
        <f t="shared" ref="U57:AE57" si="59">U8*U$52/1000</f>
        <v>3.4772958277141295</v>
      </c>
      <c r="V57" s="305">
        <f t="shared" si="59"/>
        <v>3.5700179140641737</v>
      </c>
      <c r="W57" s="305">
        <f t="shared" si="59"/>
        <v>3.5795028825683599</v>
      </c>
      <c r="X57" s="305">
        <f t="shared" si="59"/>
        <v>3.3174265510160637</v>
      </c>
      <c r="Y57" s="305">
        <f t="shared" si="59"/>
        <v>3.2202401126303872</v>
      </c>
      <c r="Z57" s="305">
        <f t="shared" si="59"/>
        <v>2.6554659008150079</v>
      </c>
      <c r="AA57" s="305">
        <f t="shared" si="59"/>
        <v>2.8512671293494884</v>
      </c>
      <c r="AB57" s="305">
        <f t="shared" si="59"/>
        <v>3.4213191654131965</v>
      </c>
      <c r="AC57" s="305">
        <f t="shared" si="59"/>
        <v>2.7801589783344633</v>
      </c>
      <c r="AD57" s="305">
        <f t="shared" si="59"/>
        <v>2.370607881581583</v>
      </c>
      <c r="AE57" s="305">
        <f t="shared" si="59"/>
        <v>2.5803780192667771</v>
      </c>
      <c r="AF57" s="168"/>
      <c r="AG57" s="168"/>
      <c r="AH57" s="168"/>
      <c r="AI57" s="168"/>
      <c r="AJ57" s="168"/>
      <c r="AK57" t="s">
        <v>336</v>
      </c>
      <c r="AL57" s="147">
        <f>K57</f>
        <v>4.6509485946554481</v>
      </c>
      <c r="AM57" s="147">
        <f>P57</f>
        <v>4.2089528128507157</v>
      </c>
      <c r="AN57" s="147">
        <f>U57</f>
        <v>3.4772958277141295</v>
      </c>
      <c r="AO57" s="147">
        <f>Z57</f>
        <v>2.6554659008150079</v>
      </c>
      <c r="AP57" s="147">
        <f>AD57</f>
        <v>2.370607881581583</v>
      </c>
      <c r="AQ57" s="147"/>
      <c r="AR57" s="147"/>
      <c r="AU57" s="56">
        <f t="shared" si="53"/>
        <v>3.2012477054981218E-2</v>
      </c>
      <c r="AV57" s="56">
        <f t="shared" si="53"/>
        <v>3.4418941760900677E-2</v>
      </c>
      <c r="AW57" s="56">
        <f t="shared" si="53"/>
        <v>3.6528703142876373E-2</v>
      </c>
      <c r="AX57" s="56">
        <f t="shared" si="54"/>
        <v>3.5885071370585858E-2</v>
      </c>
      <c r="AY57" s="56">
        <f t="shared" si="55"/>
        <v>4.1738227218736955E-2</v>
      </c>
      <c r="AZ57" s="56"/>
      <c r="BA57" s="56"/>
      <c r="BB57" s="56"/>
      <c r="BD57" t="str">
        <f>A58</f>
        <v>Residenziale</v>
      </c>
      <c r="BE57" s="147">
        <f>K58</f>
        <v>31.387337851560375</v>
      </c>
      <c r="BF57" s="147">
        <f>P58</f>
        <v>27.445857603219018</v>
      </c>
      <c r="BG57" s="147">
        <f t="shared" si="57"/>
        <v>21.201299065704653</v>
      </c>
      <c r="BH57" s="147">
        <f t="shared" si="57"/>
        <v>20.565925728964427</v>
      </c>
      <c r="BI57" s="147">
        <f t="shared" si="57"/>
        <v>20.594413500199398</v>
      </c>
      <c r="BJ57" s="147">
        <f t="shared" si="57"/>
        <v>18.725291784642476</v>
      </c>
      <c r="BK57" s="147">
        <f t="shared" si="57"/>
        <v>18.013416389387025</v>
      </c>
      <c r="BL57" s="147">
        <f t="shared" si="57"/>
        <v>17.263409431637946</v>
      </c>
    </row>
    <row r="58" spans="1:64">
      <c r="A58" t="s">
        <v>335</v>
      </c>
      <c r="F58" s="147">
        <f t="shared" si="46"/>
        <v>26.83983292016153</v>
      </c>
      <c r="G58" s="147"/>
      <c r="H58" s="147"/>
      <c r="I58" s="147"/>
      <c r="J58" s="147"/>
      <c r="K58" s="147">
        <f t="shared" si="47"/>
        <v>31.387337851560375</v>
      </c>
      <c r="L58" s="147"/>
      <c r="M58" s="147"/>
      <c r="N58" s="147"/>
      <c r="O58" s="147"/>
      <c r="P58" s="147">
        <f t="shared" si="48"/>
        <v>27.445857603219018</v>
      </c>
      <c r="Q58" s="147"/>
      <c r="R58" s="147"/>
      <c r="S58" s="147"/>
      <c r="T58" s="147"/>
      <c r="U58" s="147">
        <f t="shared" ref="U58:AE58" si="60">U9*U$52/1000</f>
        <v>21.201299065704653</v>
      </c>
      <c r="V58" s="147">
        <f t="shared" si="60"/>
        <v>20.565925728964427</v>
      </c>
      <c r="W58" s="147">
        <f t="shared" si="60"/>
        <v>20.594413500199398</v>
      </c>
      <c r="X58" s="147">
        <f t="shared" si="60"/>
        <v>18.725291784642476</v>
      </c>
      <c r="Y58" s="147">
        <f t="shared" si="60"/>
        <v>18.013416389387025</v>
      </c>
      <c r="Z58" s="147">
        <f t="shared" si="60"/>
        <v>17.263409431637946</v>
      </c>
      <c r="AA58" s="147">
        <f t="shared" si="60"/>
        <v>17.485114497270867</v>
      </c>
      <c r="AB58" s="147">
        <f t="shared" si="60"/>
        <v>19.021552781441898</v>
      </c>
      <c r="AC58" s="147">
        <f t="shared" si="60"/>
        <v>14.941641074514543</v>
      </c>
      <c r="AD58" s="147">
        <f t="shared" si="60"/>
        <v>12.69570316406783</v>
      </c>
      <c r="AE58" s="147">
        <f t="shared" si="60"/>
        <v>12.799270183212297</v>
      </c>
      <c r="AF58" s="168"/>
      <c r="AG58" s="168"/>
      <c r="AH58" s="168"/>
      <c r="AI58" s="168"/>
      <c r="AJ58" s="168"/>
      <c r="AK58" t="s">
        <v>335</v>
      </c>
      <c r="AL58" s="147">
        <f>K58</f>
        <v>31.387337851560375</v>
      </c>
      <c r="AM58" s="147">
        <f>P58</f>
        <v>27.445857603219018</v>
      </c>
      <c r="AN58" s="147">
        <f>U58</f>
        <v>21.201299065704653</v>
      </c>
      <c r="AO58" s="147">
        <f>Z58</f>
        <v>17.263409431637946</v>
      </c>
      <c r="AP58" s="147">
        <f>AD58</f>
        <v>12.69570316406783</v>
      </c>
      <c r="AQ58" s="147"/>
      <c r="AR58" s="147"/>
      <c r="AU58" s="56">
        <f t="shared" si="53"/>
        <v>0.21603903211156791</v>
      </c>
      <c r="AV58" s="56">
        <f t="shared" si="53"/>
        <v>0.22444000121335494</v>
      </c>
      <c r="AW58" s="56">
        <f t="shared" si="53"/>
        <v>0.22271788141866886</v>
      </c>
      <c r="AX58" s="56">
        <f t="shared" si="54"/>
        <v>0.23329189780363513</v>
      </c>
      <c r="AY58" s="56">
        <f t="shared" si="55"/>
        <v>0.22352753801272837</v>
      </c>
      <c r="AZ58" s="56"/>
      <c r="BA58" s="56"/>
      <c r="BB58" s="56"/>
      <c r="BC58" s="68" t="str">
        <f>A59</f>
        <v>Totale</v>
      </c>
      <c r="BD58" s="179">
        <f>K59</f>
        <v>145.28549561058563</v>
      </c>
      <c r="BE58" s="179">
        <f>P59</f>
        <v>122.28594481751367</v>
      </c>
      <c r="BF58" s="179">
        <f t="shared" ref="BF58:BL58" si="61">U59</f>
        <v>95.193519849670693</v>
      </c>
      <c r="BG58" s="179">
        <f t="shared" si="61"/>
        <v>94.510151646392714</v>
      </c>
      <c r="BH58" s="179">
        <f t="shared" si="61"/>
        <v>94.930300709061626</v>
      </c>
      <c r="BI58" s="179">
        <f t="shared" si="61"/>
        <v>87.231328698207321</v>
      </c>
      <c r="BJ58" s="179">
        <f t="shared" si="61"/>
        <v>82.888902499925592</v>
      </c>
      <c r="BK58" s="179">
        <f t="shared" si="61"/>
        <v>73.999181258188344</v>
      </c>
      <c r="BL58" s="179">
        <f t="shared" si="61"/>
        <v>78.461840656842128</v>
      </c>
    </row>
    <row r="59" spans="1:64">
      <c r="A59" s="68" t="str">
        <f>A10</f>
        <v>Totale</v>
      </c>
      <c r="B59" s="68"/>
      <c r="C59" s="68"/>
      <c r="D59" s="68"/>
      <c r="E59" s="68"/>
      <c r="F59" s="179">
        <f t="shared" si="46"/>
        <v>122.6751785884382</v>
      </c>
      <c r="G59" s="179"/>
      <c r="H59" s="179"/>
      <c r="I59" s="179"/>
      <c r="J59" s="179"/>
      <c r="K59" s="179">
        <f t="shared" si="47"/>
        <v>145.28549561058563</v>
      </c>
      <c r="L59" s="179"/>
      <c r="M59" s="179"/>
      <c r="N59" s="179"/>
      <c r="O59" s="179"/>
      <c r="P59" s="179">
        <f t="shared" si="48"/>
        <v>122.28594481751367</v>
      </c>
      <c r="Q59" s="179"/>
      <c r="R59" s="179"/>
      <c r="S59" s="179"/>
      <c r="T59" s="179"/>
      <c r="U59" s="179">
        <f t="shared" ref="U59:AE59" si="62">U10*U$52/1000</f>
        <v>95.193519849670693</v>
      </c>
      <c r="V59" s="179">
        <f t="shared" si="62"/>
        <v>94.510151646392714</v>
      </c>
      <c r="W59" s="179">
        <f t="shared" si="62"/>
        <v>94.930300709061626</v>
      </c>
      <c r="X59" s="179">
        <f t="shared" si="62"/>
        <v>87.231328698207321</v>
      </c>
      <c r="Y59" s="179">
        <f t="shared" si="62"/>
        <v>82.888902499925592</v>
      </c>
      <c r="Z59" s="179">
        <f t="shared" si="62"/>
        <v>73.999181258188344</v>
      </c>
      <c r="AA59" s="179">
        <f t="shared" si="62"/>
        <v>78.461840656842128</v>
      </c>
      <c r="AB59" s="179">
        <f t="shared" si="62"/>
        <v>87.215474204906613</v>
      </c>
      <c r="AC59" s="179">
        <f t="shared" si="62"/>
        <v>67.916294666414132</v>
      </c>
      <c r="AD59" s="179">
        <f t="shared" si="62"/>
        <v>56.797042892070394</v>
      </c>
      <c r="AE59" s="179">
        <f t="shared" si="62"/>
        <v>59.026198427012751</v>
      </c>
      <c r="AK59" s="68" t="s">
        <v>49</v>
      </c>
      <c r="AL59" s="179">
        <f t="shared" ref="AL59:AN59" si="63">SUM(AL54:AL58)</f>
        <v>145.28549561058566</v>
      </c>
      <c r="AM59" s="179">
        <f t="shared" si="63"/>
        <v>122.28594481751364</v>
      </c>
      <c r="AN59" s="179">
        <f t="shared" si="63"/>
        <v>95.193519849670679</v>
      </c>
      <c r="AO59" s="179">
        <f>SUM(AO54:AO58)</f>
        <v>73.999181258188344</v>
      </c>
      <c r="AP59" s="179">
        <f t="shared" ref="AP59" si="64">SUM(AP54:AP58)</f>
        <v>56.797042892070394</v>
      </c>
      <c r="AQ59" s="179"/>
      <c r="AR59" s="179"/>
    </row>
    <row r="61" spans="1:64">
      <c r="A61" t="s">
        <v>815</v>
      </c>
      <c r="F61" s="147">
        <v>559.39257928537188</v>
      </c>
      <c r="K61" s="147">
        <v>593.76898864567613</v>
      </c>
      <c r="L61" s="147">
        <v>583.18869367282571</v>
      </c>
      <c r="M61" s="147">
        <v>577.5700866786824</v>
      </c>
      <c r="N61" s="147">
        <v>564.60744132789728</v>
      </c>
      <c r="O61" s="147">
        <v>509.32386018488705</v>
      </c>
      <c r="P61" s="147">
        <v>519.5807283697452</v>
      </c>
      <c r="Q61" s="147">
        <v>506.58081521190019</v>
      </c>
      <c r="R61" s="147">
        <v>486.92293814300996</v>
      </c>
      <c r="S61" s="147">
        <v>450.51076023467505</v>
      </c>
      <c r="T61" s="147">
        <v>428.77395303675797</v>
      </c>
      <c r="U61" s="147">
        <v>438.51532657316153</v>
      </c>
      <c r="V61" s="147">
        <v>434.6661311037509</v>
      </c>
      <c r="W61" s="147">
        <v>427.96065232267608</v>
      </c>
      <c r="X61" s="147">
        <v>423.71628480851638</v>
      </c>
      <c r="Y61" s="147">
        <v>411.74905678985942</v>
      </c>
      <c r="Z61" s="147">
        <v>374.13412139415692</v>
      </c>
      <c r="AA61" s="147">
        <v>406.26991988541124</v>
      </c>
      <c r="AB61" s="147">
        <v>405.45073130180549</v>
      </c>
      <c r="AC61" s="147">
        <v>377.13923690303642</v>
      </c>
      <c r="AD61" s="147">
        <v>363.48979848426382</v>
      </c>
      <c r="AE61" s="147">
        <v>364.16773192432578</v>
      </c>
    </row>
    <row r="62" spans="1:64">
      <c r="F62" s="56">
        <f>F59/F61</f>
        <v>0.21930068994686458</v>
      </c>
      <c r="K62" s="56">
        <f>K59/K61</f>
        <v>0.24468353583430885</v>
      </c>
      <c r="L62" s="56">
        <f t="shared" ref="L62:W62" si="65">L59/L61</f>
        <v>0</v>
      </c>
      <c r="M62" s="56">
        <f t="shared" si="65"/>
        <v>0</v>
      </c>
      <c r="N62" s="56">
        <f t="shared" si="65"/>
        <v>0</v>
      </c>
      <c r="O62" s="56">
        <f t="shared" si="65"/>
        <v>0</v>
      </c>
      <c r="P62" s="56">
        <f t="shared" si="65"/>
        <v>0.23535504328885012</v>
      </c>
      <c r="Q62" s="56">
        <f t="shared" si="65"/>
        <v>0</v>
      </c>
      <c r="R62" s="56">
        <f t="shared" si="65"/>
        <v>0</v>
      </c>
      <c r="S62" s="56">
        <f t="shared" si="65"/>
        <v>0</v>
      </c>
      <c r="T62" s="56">
        <f t="shared" si="65"/>
        <v>0</v>
      </c>
      <c r="U62" s="56">
        <f t="shared" si="65"/>
        <v>0.21708139734493109</v>
      </c>
      <c r="V62" s="56">
        <f t="shared" si="65"/>
        <v>0.2174315983773624</v>
      </c>
      <c r="W62" s="56">
        <f t="shared" si="65"/>
        <v>0.2218201607877856</v>
      </c>
      <c r="X62" s="56">
        <f t="shared" ref="X62:AC62" si="66">X59/X61</f>
        <v>0.20587202292125364</v>
      </c>
      <c r="Y62" s="56">
        <f t="shared" si="66"/>
        <v>0.20130927110351302</v>
      </c>
      <c r="Z62" s="56">
        <f t="shared" si="66"/>
        <v>0.19778784405560512</v>
      </c>
      <c r="AA62" s="56">
        <f t="shared" si="66"/>
        <v>0.19312736881670284</v>
      </c>
      <c r="AB62" s="56">
        <f t="shared" si="66"/>
        <v>0.21510745319136199</v>
      </c>
      <c r="AC62" s="56">
        <f t="shared" si="66"/>
        <v>0.18008281297942916</v>
      </c>
      <c r="AD62" s="56">
        <f>AD59/AD61</f>
        <v>0.15625484712063864</v>
      </c>
      <c r="AE62" s="56">
        <f>AE59/AE61</f>
        <v>0.16208519660736559</v>
      </c>
    </row>
    <row r="66" spans="1:36">
      <c r="F66" s="295"/>
    </row>
    <row r="67" spans="1:36" ht="15.5">
      <c r="A67" t="s">
        <v>379</v>
      </c>
      <c r="F67" s="105">
        <v>2000</v>
      </c>
      <c r="G67" s="105">
        <v>2001</v>
      </c>
      <c r="H67" s="105">
        <v>2002</v>
      </c>
      <c r="I67" s="105">
        <v>2003</v>
      </c>
      <c r="J67" s="105">
        <v>2004</v>
      </c>
      <c r="K67" s="105">
        <v>2005</v>
      </c>
      <c r="L67" s="105">
        <v>2006</v>
      </c>
      <c r="M67" s="105">
        <v>2007</v>
      </c>
      <c r="N67" s="105">
        <v>2008</v>
      </c>
      <c r="O67" s="105">
        <v>2009</v>
      </c>
      <c r="P67" s="443">
        <v>2010</v>
      </c>
      <c r="Q67" s="105">
        <v>2011</v>
      </c>
      <c r="R67" s="105">
        <v>2012</v>
      </c>
      <c r="S67" s="443">
        <v>2013</v>
      </c>
      <c r="T67" s="105">
        <v>2014</v>
      </c>
      <c r="U67" s="443">
        <v>2015</v>
      </c>
      <c r="V67" s="105">
        <v>2016</v>
      </c>
      <c r="W67" s="3">
        <v>2017</v>
      </c>
      <c r="X67" s="444">
        <v>2018</v>
      </c>
      <c r="Y67" s="3">
        <v>2019</v>
      </c>
      <c r="Z67" s="3">
        <v>2020</v>
      </c>
      <c r="AA67" s="569">
        <v>2021</v>
      </c>
      <c r="AB67" s="3">
        <f>AA67+1</f>
        <v>2022</v>
      </c>
      <c r="AC67" s="3">
        <f>AB67+1</f>
        <v>2023</v>
      </c>
      <c r="AD67" s="3">
        <f>AC67+1</f>
        <v>2024</v>
      </c>
      <c r="AE67" s="580"/>
      <c r="AF67" s="580"/>
      <c r="AG67" s="580"/>
      <c r="AH67" s="580"/>
      <c r="AI67" s="580"/>
      <c r="AJ67" s="580"/>
    </row>
    <row r="68" spans="1:36">
      <c r="A68" t="s">
        <v>110</v>
      </c>
      <c r="F68" s="570">
        <v>16625.150000000001</v>
      </c>
      <c r="G68" s="570">
        <v>16652.773000000001</v>
      </c>
      <c r="H68" s="570">
        <v>16588.951000000001</v>
      </c>
      <c r="I68" s="570">
        <v>16963.392</v>
      </c>
      <c r="J68" s="570">
        <v>14338.607</v>
      </c>
      <c r="K68" s="570">
        <v>13861.843999999999</v>
      </c>
      <c r="L68" s="570">
        <v>13294.023999999999</v>
      </c>
      <c r="M68" s="570">
        <v>12572.915000000001</v>
      </c>
      <c r="N68" s="570">
        <v>11301.268</v>
      </c>
      <c r="O68" s="570">
        <v>9897.0550000000003</v>
      </c>
      <c r="P68" s="570">
        <v>10350.407999999999</v>
      </c>
      <c r="Q68" s="570">
        <v>9307.8250000000007</v>
      </c>
      <c r="R68" s="570">
        <v>9043.0349999999999</v>
      </c>
      <c r="S68" s="570">
        <v>8731.0190000000002</v>
      </c>
      <c r="T68" s="570">
        <v>8546.4750000000004</v>
      </c>
      <c r="U68" s="570">
        <v>8273.2800000000007</v>
      </c>
      <c r="V68" s="570">
        <v>8361.93</v>
      </c>
      <c r="W68" s="570">
        <v>8870.5920000000006</v>
      </c>
      <c r="X68" s="570">
        <v>8649.1219999999994</v>
      </c>
      <c r="Y68" s="570">
        <v>8540.5769999999993</v>
      </c>
      <c r="Z68" s="576">
        <v>8081.3389999999999</v>
      </c>
      <c r="AA68" s="576">
        <v>11665.358</v>
      </c>
      <c r="AB68" s="576">
        <v>10161.755999999999</v>
      </c>
      <c r="AC68" s="576">
        <v>9678.3940000000002</v>
      </c>
      <c r="AD68" s="576">
        <v>9598.3330000000005</v>
      </c>
    </row>
    <row r="69" spans="1:36">
      <c r="A69" t="s">
        <v>336</v>
      </c>
      <c r="F69" s="570">
        <v>326.78399999999999</v>
      </c>
      <c r="G69" s="570">
        <v>367.73399999999998</v>
      </c>
      <c r="H69" s="570">
        <v>362.05900000000003</v>
      </c>
      <c r="I69" s="570">
        <v>364.42399999999998</v>
      </c>
      <c r="J69" s="570">
        <v>355.589</v>
      </c>
      <c r="K69" s="570">
        <v>379.536</v>
      </c>
      <c r="L69" s="570">
        <v>435.70499999999998</v>
      </c>
      <c r="M69" s="570">
        <v>484.05</v>
      </c>
      <c r="N69" s="570">
        <v>549.57000000000005</v>
      </c>
      <c r="O69" s="570">
        <v>601.096</v>
      </c>
      <c r="P69" s="570">
        <v>695.29200000000003</v>
      </c>
      <c r="Q69" s="570">
        <v>852.40800000000002</v>
      </c>
      <c r="R69" s="570">
        <v>885.77</v>
      </c>
      <c r="S69" s="570">
        <v>1030.8900000000001</v>
      </c>
      <c r="T69" s="570">
        <v>1072.077</v>
      </c>
      <c r="U69" s="570">
        <v>1087.425</v>
      </c>
      <c r="V69" s="570">
        <v>1105.7180000000001</v>
      </c>
      <c r="W69" s="570">
        <v>1064.1089999999999</v>
      </c>
      <c r="X69" s="570">
        <v>1093.114</v>
      </c>
      <c r="Y69" s="570">
        <v>1147.309</v>
      </c>
      <c r="Z69" s="575">
        <v>967.16800000000001</v>
      </c>
      <c r="AA69" s="575">
        <v>1277.32</v>
      </c>
      <c r="AB69" s="575">
        <v>1048.78</v>
      </c>
      <c r="AC69" s="575">
        <v>977.84100000000001</v>
      </c>
      <c r="AD69" s="575">
        <v>978.27700000000004</v>
      </c>
      <c r="AE69" s="548"/>
      <c r="AF69" s="548"/>
      <c r="AG69" s="548"/>
      <c r="AH69" s="548"/>
      <c r="AI69" s="548"/>
      <c r="AJ69" s="548"/>
    </row>
    <row r="70" spans="1:36">
      <c r="A70" t="s">
        <v>378</v>
      </c>
      <c r="F70" s="570">
        <v>20659.415000000001</v>
      </c>
      <c r="G70" s="570">
        <v>21728.934000000001</v>
      </c>
      <c r="H70" s="570">
        <v>20888.736000000001</v>
      </c>
      <c r="I70" s="570">
        <v>23635.641</v>
      </c>
      <c r="J70" s="570">
        <v>24280.933000000001</v>
      </c>
      <c r="K70" s="570">
        <v>26348.968000000001</v>
      </c>
      <c r="L70" s="570">
        <v>24728.074000000001</v>
      </c>
      <c r="M70" s="570">
        <v>23169.367999999999</v>
      </c>
      <c r="N70" s="570">
        <v>24774.936000000002</v>
      </c>
      <c r="O70" s="570">
        <v>25572.656999999999</v>
      </c>
      <c r="P70" s="570">
        <v>27453.675999999999</v>
      </c>
      <c r="Q70" s="570">
        <v>25374.312000000002</v>
      </c>
      <c r="R70" s="570">
        <v>25521.581999999999</v>
      </c>
      <c r="S70" s="570">
        <v>25460.361000000001</v>
      </c>
      <c r="T70" s="570">
        <v>21284.156999999999</v>
      </c>
      <c r="U70" s="577">
        <v>23623.13</v>
      </c>
      <c r="V70" s="577">
        <v>23769.367999999999</v>
      </c>
      <c r="W70" s="577">
        <v>23986.757000000001</v>
      </c>
      <c r="X70" s="577">
        <v>23886.333999999999</v>
      </c>
      <c r="Y70" s="577">
        <v>23354.699000000001</v>
      </c>
      <c r="Z70" s="577">
        <v>22758.728999999999</v>
      </c>
      <c r="AA70" s="577">
        <v>23642.427</v>
      </c>
      <c r="AB70" s="577">
        <v>20361.662</v>
      </c>
      <c r="AC70" s="577">
        <v>18812.444</v>
      </c>
      <c r="AD70" s="577">
        <v>19322.857</v>
      </c>
      <c r="AE70" s="548"/>
      <c r="AF70" s="548"/>
      <c r="AG70" s="548"/>
      <c r="AH70" s="548"/>
      <c r="AI70" s="548"/>
      <c r="AJ70" s="548"/>
    </row>
    <row r="71" spans="1:36">
      <c r="U71" s="578">
        <f t="shared" ref="U71:AA71" si="67">SUM(U68:U70)</f>
        <v>32983.834999999999</v>
      </c>
      <c r="V71" s="578">
        <f t="shared" si="67"/>
        <v>33237.016000000003</v>
      </c>
      <c r="W71" s="578">
        <f t="shared" si="67"/>
        <v>33921.457999999999</v>
      </c>
      <c r="X71" s="578">
        <f t="shared" si="67"/>
        <v>33628.57</v>
      </c>
      <c r="Y71" s="578">
        <f t="shared" si="67"/>
        <v>33042.584999999999</v>
      </c>
      <c r="Z71" s="578">
        <f t="shared" si="67"/>
        <v>31807.235999999997</v>
      </c>
      <c r="AA71" s="578">
        <f t="shared" si="67"/>
        <v>36585.104999999996</v>
      </c>
      <c r="AB71" s="578">
        <f>SUM(AB68:AB70)</f>
        <v>31572.198</v>
      </c>
      <c r="AC71" s="578">
        <f>SUM(AC68:AC70)</f>
        <v>29468.679</v>
      </c>
      <c r="AD71" s="578">
        <f>SUM(AD68:AD70)</f>
        <v>29899.467000000001</v>
      </c>
      <c r="AE71" s="581"/>
      <c r="AF71" s="581"/>
      <c r="AG71" s="581"/>
      <c r="AH71" s="581"/>
      <c r="AI71" s="581"/>
      <c r="AJ71" s="581"/>
    </row>
    <row r="72" spans="1:36">
      <c r="A72" t="s">
        <v>380</v>
      </c>
    </row>
    <row r="73" spans="1:36">
      <c r="A73" t="s">
        <v>110</v>
      </c>
      <c r="F73" s="471">
        <v>37585.368000000002</v>
      </c>
      <c r="G73" s="471">
        <v>36376.508999999998</v>
      </c>
      <c r="H73" s="471">
        <v>36622.733</v>
      </c>
      <c r="I73" s="471">
        <v>38225.618999999999</v>
      </c>
      <c r="J73" s="471">
        <v>37509.213000000003</v>
      </c>
      <c r="K73" s="471">
        <v>37211.521000000001</v>
      </c>
      <c r="L73" s="471">
        <v>36144.576999999997</v>
      </c>
      <c r="M73" s="471">
        <v>35907.652000000002</v>
      </c>
      <c r="N73" s="471">
        <v>34528.294999999998</v>
      </c>
      <c r="O73" s="471">
        <v>28552.886999999999</v>
      </c>
      <c r="P73" s="471">
        <v>29014.718000000001</v>
      </c>
      <c r="Q73" s="471">
        <v>27744.858</v>
      </c>
      <c r="R73" s="471">
        <v>26948.704000000002</v>
      </c>
      <c r="S73" s="471">
        <v>25353.587</v>
      </c>
      <c r="T73" s="471">
        <v>24739.084999999999</v>
      </c>
      <c r="U73" s="471">
        <v>24853.371999999999</v>
      </c>
      <c r="V73" s="471">
        <v>25088.949000000001</v>
      </c>
      <c r="W73" s="471">
        <v>24925.749</v>
      </c>
      <c r="X73" s="471">
        <v>24663.853999999999</v>
      </c>
      <c r="Y73" s="471">
        <v>24928.486000000001</v>
      </c>
      <c r="Z73" s="471">
        <v>23861.102999999999</v>
      </c>
      <c r="AA73" s="471">
        <v>25777.808000000001</v>
      </c>
      <c r="AB73" s="471">
        <v>23871.595000000001</v>
      </c>
      <c r="AC73" s="471">
        <v>22746.576000000001</v>
      </c>
      <c r="AD73" s="471">
        <v>22900.505000000001</v>
      </c>
      <c r="AE73" s="474"/>
      <c r="AF73" s="474"/>
      <c r="AG73" s="474"/>
      <c r="AH73" s="474"/>
      <c r="AI73" s="474"/>
      <c r="AJ73" s="474"/>
    </row>
    <row r="74" spans="1:36">
      <c r="A74" t="s">
        <v>336</v>
      </c>
      <c r="F74" s="473">
        <v>39691.974999999999</v>
      </c>
      <c r="G74" s="473">
        <v>40361.042000000001</v>
      </c>
      <c r="H74" s="473">
        <v>41082.495000000003</v>
      </c>
      <c r="I74" s="473">
        <v>41411.447999999997</v>
      </c>
      <c r="J74" s="473">
        <v>42309.925999999999</v>
      </c>
      <c r="K74" s="473">
        <v>41838.889000000003</v>
      </c>
      <c r="L74" s="473">
        <v>42216.673999999999</v>
      </c>
      <c r="M74" s="473">
        <v>42314.794000000002</v>
      </c>
      <c r="N74" s="473">
        <v>40707.409</v>
      </c>
      <c r="O74" s="473">
        <v>39131.362999999998</v>
      </c>
      <c r="P74" s="473">
        <v>38566.288</v>
      </c>
      <c r="Q74" s="473">
        <v>38572.097000000002</v>
      </c>
      <c r="R74" s="473">
        <v>36348.733999999997</v>
      </c>
      <c r="S74" s="473">
        <v>35701.271999999997</v>
      </c>
      <c r="T74" s="473">
        <v>37009.372000000003</v>
      </c>
      <c r="U74" s="473">
        <v>36374.374000000003</v>
      </c>
      <c r="V74" s="473">
        <v>35814.500999999997</v>
      </c>
      <c r="W74" s="473">
        <v>34525.408000000003</v>
      </c>
      <c r="X74" s="473">
        <v>35579.483999999997</v>
      </c>
      <c r="Y74" s="473">
        <v>35861.201999999997</v>
      </c>
      <c r="Z74" s="473">
        <v>28976.457999999999</v>
      </c>
      <c r="AA74" s="473">
        <v>34801.760999999999</v>
      </c>
      <c r="AB74" s="473">
        <v>36684.754000000001</v>
      </c>
      <c r="AC74" s="473">
        <v>37105.49</v>
      </c>
      <c r="AD74" s="473">
        <v>38137.661999999997</v>
      </c>
      <c r="AE74" s="474"/>
      <c r="AF74" s="474"/>
      <c r="AG74" s="474"/>
      <c r="AH74" s="474"/>
      <c r="AI74" s="474"/>
      <c r="AJ74" s="474"/>
    </row>
    <row r="75" spans="1:36">
      <c r="A75" t="s">
        <v>378</v>
      </c>
      <c r="F75" s="472">
        <v>42464.845999999998</v>
      </c>
      <c r="G75" s="472">
        <v>44263.582999999999</v>
      </c>
      <c r="H75" s="472">
        <v>44021.516000000003</v>
      </c>
      <c r="I75" s="472">
        <v>48216.720999999998</v>
      </c>
      <c r="J75" s="472">
        <v>48309.338000000003</v>
      </c>
      <c r="K75" s="472">
        <v>52458.648000000001</v>
      </c>
      <c r="L75" s="472">
        <v>51416.686999999998</v>
      </c>
      <c r="M75" s="472">
        <v>50813.917999999998</v>
      </c>
      <c r="N75" s="472">
        <v>53841.440999999999</v>
      </c>
      <c r="O75" s="472">
        <v>54223.599000000002</v>
      </c>
      <c r="P75" s="472">
        <v>55471.722999999998</v>
      </c>
      <c r="Q75" s="472">
        <v>51201.071000000004</v>
      </c>
      <c r="R75" s="472">
        <v>53261.606</v>
      </c>
      <c r="S75" s="472">
        <v>52998.815000000002</v>
      </c>
      <c r="T75" s="472">
        <v>47099.892999999996</v>
      </c>
      <c r="U75" s="472">
        <v>50880.423999999999</v>
      </c>
      <c r="V75" s="472">
        <v>50651.154000000002</v>
      </c>
      <c r="W75" s="472">
        <v>54160.057000000001</v>
      </c>
      <c r="X75" s="472">
        <v>54053.599000000002</v>
      </c>
      <c r="Y75" s="472">
        <v>52329.786</v>
      </c>
      <c r="Z75" s="472">
        <v>50219.586000000003</v>
      </c>
      <c r="AA75" s="472">
        <v>53339.256999999998</v>
      </c>
      <c r="AB75" s="472">
        <v>48850.129000000001</v>
      </c>
      <c r="AC75" s="472">
        <v>46301.114999999998</v>
      </c>
      <c r="AD75" s="472">
        <v>46639.618000000002</v>
      </c>
      <c r="AE75" s="474"/>
      <c r="AF75" s="474"/>
      <c r="AG75" s="474"/>
      <c r="AH75" s="474"/>
      <c r="AI75" s="474"/>
      <c r="AJ75" s="474"/>
    </row>
    <row r="76" spans="1:36">
      <c r="U76" s="578">
        <f t="shared" ref="U76:AA76" si="68">SUM(U73:U75)</f>
        <v>112108.17</v>
      </c>
      <c r="V76" s="578">
        <f t="shared" si="68"/>
        <v>111554.60399999999</v>
      </c>
      <c r="W76" s="578">
        <f t="shared" si="68"/>
        <v>113611.21400000001</v>
      </c>
      <c r="X76" s="578">
        <f t="shared" si="68"/>
        <v>114296.93700000001</v>
      </c>
      <c r="Y76" s="578">
        <f t="shared" si="68"/>
        <v>113119.47399999999</v>
      </c>
      <c r="Z76" s="578">
        <f t="shared" si="68"/>
        <v>103057.147</v>
      </c>
      <c r="AA76" s="578">
        <f t="shared" si="68"/>
        <v>113918.826</v>
      </c>
      <c r="AB76" s="578">
        <f>SUM(AB73:AB75)</f>
        <v>109406.478</v>
      </c>
      <c r="AC76" s="578">
        <f>SUM(AC73:AC75)</f>
        <v>106153.181</v>
      </c>
      <c r="AD76" s="578">
        <f>SUM(AD73:AD75)</f>
        <v>107677.785</v>
      </c>
      <c r="AE76" s="582"/>
      <c r="AF76" s="582"/>
      <c r="AG76" s="582"/>
      <c r="AH76" s="582"/>
      <c r="AI76" s="582"/>
      <c r="AJ76" s="582"/>
    </row>
    <row r="77" spans="1:36">
      <c r="A77" t="s">
        <v>382</v>
      </c>
    </row>
    <row r="78" spans="1:36">
      <c r="A78" t="s">
        <v>110</v>
      </c>
      <c r="F78" s="56">
        <f>F68/F73</f>
        <v>0.44233037707652617</v>
      </c>
      <c r="G78" s="56">
        <f t="shared" ref="G78:X80" si="69">G68/G73</f>
        <v>0.45778920126722444</v>
      </c>
      <c r="H78" s="56">
        <f t="shared" si="69"/>
        <v>0.45296867931729728</v>
      </c>
      <c r="I78" s="56">
        <f t="shared" si="69"/>
        <v>0.44377023691885803</v>
      </c>
      <c r="J78" s="56">
        <f t="shared" si="69"/>
        <v>0.38226893750076812</v>
      </c>
      <c r="K78" s="56">
        <f t="shared" si="69"/>
        <v>0.3725148456038655</v>
      </c>
      <c r="L78" s="56">
        <f t="shared" si="69"/>
        <v>0.3678013440301155</v>
      </c>
      <c r="M78" s="56">
        <f t="shared" si="69"/>
        <v>0.35014584078067817</v>
      </c>
      <c r="N78" s="56">
        <f t="shared" si="69"/>
        <v>0.32730454834216405</v>
      </c>
      <c r="O78" s="56">
        <f t="shared" si="69"/>
        <v>0.3466218669936949</v>
      </c>
      <c r="P78" s="56">
        <f t="shared" si="69"/>
        <v>0.35672957428019803</v>
      </c>
      <c r="Q78" s="56">
        <f t="shared" si="69"/>
        <v>0.33547928052109693</v>
      </c>
      <c r="R78" s="56">
        <f t="shared" si="69"/>
        <v>0.33556474552542487</v>
      </c>
      <c r="S78" s="56">
        <f t="shared" si="69"/>
        <v>0.34437016742443588</v>
      </c>
      <c r="T78" s="56">
        <f t="shared" si="69"/>
        <v>0.34546447453493129</v>
      </c>
      <c r="U78" s="56">
        <f t="shared" si="69"/>
        <v>0.33288360227336561</v>
      </c>
      <c r="V78" s="56">
        <f t="shared" si="69"/>
        <v>0.33329136266329851</v>
      </c>
      <c r="W78" s="56">
        <f t="shared" si="69"/>
        <v>0.35588065979481703</v>
      </c>
      <c r="X78" s="56">
        <f t="shared" si="69"/>
        <v>0.35068006808668262</v>
      </c>
      <c r="Y78" s="56">
        <f t="shared" ref="Y78:Z80" si="70">Y68/Y73</f>
        <v>0.34260311677171246</v>
      </c>
      <c r="Z78" s="56">
        <f t="shared" si="70"/>
        <v>0.33868254120524105</v>
      </c>
      <c r="AA78" s="56">
        <f t="shared" ref="AA78:AB80" si="71">AA68/AA73</f>
        <v>0.45253490909700311</v>
      </c>
      <c r="AB78" s="56">
        <f t="shared" si="71"/>
        <v>0.42568399807386137</v>
      </c>
      <c r="AC78" s="56">
        <f t="shared" ref="AC78:AD80" si="72">AC68/AC73</f>
        <v>0.42548795036228748</v>
      </c>
      <c r="AD78" s="56">
        <f t="shared" si="72"/>
        <v>0.41913193617345995</v>
      </c>
    </row>
    <row r="79" spans="1:36">
      <c r="A79" t="s">
        <v>336</v>
      </c>
      <c r="F79" s="56">
        <f t="shared" ref="F79:U79" si="73">F69/F74</f>
        <v>8.2329992397707601E-3</v>
      </c>
      <c r="G79" s="56">
        <f t="shared" si="73"/>
        <v>9.1111126417400216E-3</v>
      </c>
      <c r="H79" s="56">
        <f t="shared" si="73"/>
        <v>8.8129749665885673E-3</v>
      </c>
      <c r="I79" s="56">
        <f t="shared" si="73"/>
        <v>8.8000786642379661E-3</v>
      </c>
      <c r="J79" s="56">
        <f t="shared" si="73"/>
        <v>8.4043871880087901E-3</v>
      </c>
      <c r="K79" s="56">
        <f t="shared" si="73"/>
        <v>9.0713689840091118E-3</v>
      </c>
      <c r="L79" s="56">
        <f t="shared" si="73"/>
        <v>1.0320685139715175E-2</v>
      </c>
      <c r="M79" s="56">
        <f t="shared" si="73"/>
        <v>1.1439261644520827E-2</v>
      </c>
      <c r="N79" s="56">
        <f t="shared" si="73"/>
        <v>1.3500490782894094E-2</v>
      </c>
      <c r="O79" s="56">
        <f t="shared" si="73"/>
        <v>1.536097784276004E-2</v>
      </c>
      <c r="P79" s="56">
        <f t="shared" si="73"/>
        <v>1.8028491619416418E-2</v>
      </c>
      <c r="Q79" s="56">
        <f t="shared" si="73"/>
        <v>2.2099083697731031E-2</v>
      </c>
      <c r="R79" s="56">
        <f t="shared" si="73"/>
        <v>2.4368661643071256E-2</v>
      </c>
      <c r="S79" s="56">
        <f t="shared" si="73"/>
        <v>2.8875441748966259E-2</v>
      </c>
      <c r="T79" s="56">
        <f t="shared" si="73"/>
        <v>2.8967716609727932E-2</v>
      </c>
      <c r="U79" s="56">
        <f t="shared" si="73"/>
        <v>2.9895359848667081E-2</v>
      </c>
      <c r="V79" s="56">
        <f t="shared" si="69"/>
        <v>3.0873472172626395E-2</v>
      </c>
      <c r="W79" s="56">
        <f t="shared" si="69"/>
        <v>3.0821040550773501E-2</v>
      </c>
      <c r="X79" s="56">
        <f t="shared" si="69"/>
        <v>3.0723154950757579E-2</v>
      </c>
      <c r="Y79" s="56">
        <f t="shared" si="70"/>
        <v>3.199304362413731E-2</v>
      </c>
      <c r="Z79" s="56">
        <f t="shared" si="70"/>
        <v>3.3377716489710371E-2</v>
      </c>
      <c r="AA79" s="56">
        <f t="shared" si="71"/>
        <v>3.6702740415923203E-2</v>
      </c>
      <c r="AB79" s="56">
        <f t="shared" si="71"/>
        <v>2.8588988221101331E-2</v>
      </c>
      <c r="AC79" s="56">
        <f t="shared" si="72"/>
        <v>2.6353000593712685E-2</v>
      </c>
      <c r="AD79" s="56">
        <f t="shared" si="72"/>
        <v>2.5651205362300398E-2</v>
      </c>
    </row>
    <row r="80" spans="1:36">
      <c r="A80" t="s">
        <v>378</v>
      </c>
      <c r="F80" s="56">
        <f>F70/F75</f>
        <v>0.48650629746779256</v>
      </c>
      <c r="G80" s="56">
        <f t="shared" si="69"/>
        <v>0.49089866945475247</v>
      </c>
      <c r="H80" s="56">
        <f t="shared" si="69"/>
        <v>0.47451196364977527</v>
      </c>
      <c r="I80" s="56">
        <f t="shared" si="69"/>
        <v>0.49019594260671523</v>
      </c>
      <c r="J80" s="56">
        <f t="shared" si="69"/>
        <v>0.50261365618382103</v>
      </c>
      <c r="K80" s="56">
        <f t="shared" si="69"/>
        <v>0.50228072976642479</v>
      </c>
      <c r="L80" s="56">
        <f t="shared" si="69"/>
        <v>0.48093479846338605</v>
      </c>
      <c r="M80" s="56">
        <f t="shared" si="69"/>
        <v>0.45596499762132098</v>
      </c>
      <c r="N80" s="56">
        <f t="shared" si="69"/>
        <v>0.46014622825566653</v>
      </c>
      <c r="O80" s="56">
        <f t="shared" si="69"/>
        <v>0.47161489594226302</v>
      </c>
      <c r="P80" s="56">
        <f t="shared" si="69"/>
        <v>0.49491298476522894</v>
      </c>
      <c r="Q80" s="56">
        <f t="shared" si="69"/>
        <v>0.49558166468822495</v>
      </c>
      <c r="R80" s="56">
        <f t="shared" si="69"/>
        <v>0.47917409775439362</v>
      </c>
      <c r="S80" s="56">
        <f t="shared" si="69"/>
        <v>0.48039491071639995</v>
      </c>
      <c r="T80" s="56">
        <f t="shared" si="69"/>
        <v>0.45189395653191827</v>
      </c>
      <c r="U80" s="56">
        <f t="shared" si="69"/>
        <v>0.46428720798395867</v>
      </c>
      <c r="V80" s="56">
        <f t="shared" si="69"/>
        <v>0.46927594186699079</v>
      </c>
      <c r="W80" s="56">
        <f t="shared" si="69"/>
        <v>0.44288647997545499</v>
      </c>
      <c r="X80" s="56">
        <f t="shared" si="69"/>
        <v>0.44190089914271941</v>
      </c>
      <c r="Y80" s="56">
        <f t="shared" si="70"/>
        <v>0.44629838539756306</v>
      </c>
      <c r="Z80" s="56">
        <f>Z70/Z75</f>
        <v>0.45318432135223097</v>
      </c>
      <c r="AA80" s="56">
        <f t="shared" si="71"/>
        <v>0.4432462754402447</v>
      </c>
      <c r="AB80" s="56">
        <f t="shared" si="71"/>
        <v>0.41681900164480629</v>
      </c>
      <c r="AC80" s="56">
        <f t="shared" si="72"/>
        <v>0.40630650039421295</v>
      </c>
      <c r="AD80" s="56">
        <f t="shared" si="72"/>
        <v>0.41430135641333937</v>
      </c>
    </row>
    <row r="83" spans="1:36">
      <c r="A83" t="s">
        <v>381</v>
      </c>
      <c r="F83" s="68">
        <f t="shared" ref="F83:X83" si="74">F67</f>
        <v>2000</v>
      </c>
      <c r="G83" s="68">
        <f t="shared" si="74"/>
        <v>2001</v>
      </c>
      <c r="H83" s="68">
        <f t="shared" si="74"/>
        <v>2002</v>
      </c>
      <c r="I83" s="68">
        <f t="shared" si="74"/>
        <v>2003</v>
      </c>
      <c r="J83" s="68">
        <f t="shared" si="74"/>
        <v>2004</v>
      </c>
      <c r="K83" s="68">
        <f t="shared" si="74"/>
        <v>2005</v>
      </c>
      <c r="L83" s="68">
        <f t="shared" si="74"/>
        <v>2006</v>
      </c>
      <c r="M83" s="68">
        <f t="shared" si="74"/>
        <v>2007</v>
      </c>
      <c r="N83" s="68">
        <f t="shared" si="74"/>
        <v>2008</v>
      </c>
      <c r="O83" s="68">
        <f t="shared" si="74"/>
        <v>2009</v>
      </c>
      <c r="P83" s="68">
        <f t="shared" si="74"/>
        <v>2010</v>
      </c>
      <c r="Q83" s="68">
        <f t="shared" si="74"/>
        <v>2011</v>
      </c>
      <c r="R83" s="68">
        <f t="shared" si="74"/>
        <v>2012</v>
      </c>
      <c r="S83" s="68">
        <f t="shared" si="74"/>
        <v>2013</v>
      </c>
      <c r="T83" s="68">
        <f t="shared" si="74"/>
        <v>2014</v>
      </c>
      <c r="U83" s="68">
        <f t="shared" si="74"/>
        <v>2015</v>
      </c>
      <c r="V83" s="68">
        <f t="shared" si="74"/>
        <v>2016</v>
      </c>
      <c r="W83" s="68">
        <f t="shared" si="74"/>
        <v>2017</v>
      </c>
      <c r="X83" s="68">
        <f t="shared" si="74"/>
        <v>2018</v>
      </c>
      <c r="Y83" s="68">
        <f>Y67</f>
        <v>2019</v>
      </c>
      <c r="Z83" s="68">
        <f>Z67</f>
        <v>2020</v>
      </c>
      <c r="AA83" s="68">
        <f>AA67</f>
        <v>2021</v>
      </c>
      <c r="AB83" s="68">
        <f>AA83+1</f>
        <v>2022</v>
      </c>
      <c r="AC83" s="68">
        <f>AB83+1</f>
        <v>2023</v>
      </c>
      <c r="AD83" s="68">
        <f>AC83+1</f>
        <v>2024</v>
      </c>
      <c r="AE83" s="68"/>
      <c r="AF83" s="68"/>
      <c r="AG83" s="68"/>
      <c r="AH83" s="68"/>
      <c r="AI83" s="68"/>
      <c r="AJ83" s="68"/>
    </row>
    <row r="84" spans="1:36">
      <c r="A84" t="s">
        <v>110</v>
      </c>
      <c r="F84" s="56">
        <f t="shared" ref="F84:X84" si="75">(F6*1000)/(F73*11.63)</f>
        <v>0.33902163188869106</v>
      </c>
      <c r="G84" s="56">
        <f t="shared" si="75"/>
        <v>0.35686150510937087</v>
      </c>
      <c r="H84" s="56">
        <f t="shared" si="75"/>
        <v>0.3552621449436264</v>
      </c>
      <c r="I84" s="56">
        <f t="shared" si="75"/>
        <v>0.34352965496603027</v>
      </c>
      <c r="J84" s="56">
        <f t="shared" si="75"/>
        <v>0.35108668855918473</v>
      </c>
      <c r="K84" s="56">
        <f t="shared" si="75"/>
        <v>0.35521594340105755</v>
      </c>
      <c r="L84" s="56">
        <f t="shared" si="75"/>
        <v>0.37146747695322951</v>
      </c>
      <c r="M84" s="56">
        <f t="shared" si="75"/>
        <v>0.37308923411341316</v>
      </c>
      <c r="N84" s="56">
        <f t="shared" si="75"/>
        <v>0.37694258771607431</v>
      </c>
      <c r="O84" s="56">
        <f t="shared" si="75"/>
        <v>0.39300710755603085</v>
      </c>
      <c r="P84" s="56">
        <f t="shared" si="75"/>
        <v>0.41026203133574629</v>
      </c>
      <c r="Q84" s="56">
        <f t="shared" si="75"/>
        <v>0.43399891169484872</v>
      </c>
      <c r="R84" s="56">
        <f t="shared" si="75"/>
        <v>0.41734299974002587</v>
      </c>
      <c r="S84" s="56">
        <f t="shared" si="75"/>
        <v>0.42348864276653947</v>
      </c>
      <c r="T84" s="56">
        <f t="shared" si="75"/>
        <v>0.42578510740742836</v>
      </c>
      <c r="U84" s="56">
        <f t="shared" si="75"/>
        <v>0.42333346044492282</v>
      </c>
      <c r="V84" s="56">
        <f t="shared" si="75"/>
        <v>0.42064609233713274</v>
      </c>
      <c r="W84" s="56">
        <f t="shared" si="75"/>
        <v>0.433012979023852</v>
      </c>
      <c r="X84" s="56">
        <f t="shared" si="75"/>
        <v>0.44077438930942114</v>
      </c>
      <c r="Y84" s="56">
        <f t="shared" ref="Y84:AD84" si="76">(Y6*1000)/(Y73*11.63)</f>
        <v>0.44474596283819751</v>
      </c>
      <c r="Z84" s="56">
        <f t="shared" si="76"/>
        <v>0.45194741779122405</v>
      </c>
      <c r="AA84" s="56">
        <f t="shared" si="76"/>
        <v>0.45279520771405385</v>
      </c>
      <c r="AB84" s="56">
        <f t="shared" si="76"/>
        <v>0.46830194460886687</v>
      </c>
      <c r="AC84" s="56">
        <f t="shared" si="76"/>
        <v>0.47056943902979198</v>
      </c>
      <c r="AD84" s="56">
        <f t="shared" si="76"/>
        <v>0.46867507763376515</v>
      </c>
      <c r="AE84" s="519">
        <f>AVERAGE(AC84:AD84)</f>
        <v>0.46962225833177856</v>
      </c>
    </row>
    <row r="85" spans="1:36">
      <c r="A85" t="s">
        <v>336</v>
      </c>
      <c r="F85" s="56">
        <f t="shared" ref="F85:X85" si="77">(F8*1000)/(F74*11.63)</f>
        <v>1.8443401470815773E-2</v>
      </c>
      <c r="G85" s="56">
        <f t="shared" si="77"/>
        <v>1.8251426799420836E-2</v>
      </c>
      <c r="H85" s="56">
        <f t="shared" si="77"/>
        <v>1.8767263743757406E-2</v>
      </c>
      <c r="I85" s="56">
        <f t="shared" si="77"/>
        <v>1.9648883951788286E-2</v>
      </c>
      <c r="J85" s="56">
        <f t="shared" si="77"/>
        <v>1.9514923720355105E-2</v>
      </c>
      <c r="K85" s="56">
        <f t="shared" si="77"/>
        <v>2.0382818888678943E-2</v>
      </c>
      <c r="L85" s="56">
        <f t="shared" si="77"/>
        <v>2.0814089563425411E-2</v>
      </c>
      <c r="M85" s="56">
        <f t="shared" si="77"/>
        <v>2.1140936586202207E-2</v>
      </c>
      <c r="N85" s="56">
        <f t="shared" si="77"/>
        <v>2.2894968356463877E-2</v>
      </c>
      <c r="O85" s="56">
        <f t="shared" si="77"/>
        <v>2.3148653142931987E-2</v>
      </c>
      <c r="P85" s="56">
        <f t="shared" si="77"/>
        <v>2.377989609946685E-2</v>
      </c>
      <c r="Q85" s="56">
        <f t="shared" si="77"/>
        <v>2.3897359823848559E-2</v>
      </c>
      <c r="R85" s="475">
        <f t="shared" si="77"/>
        <v>2.5450885872764711E-2</v>
      </c>
      <c r="S85" s="475">
        <f t="shared" si="77"/>
        <v>2.5949300737859046E-2</v>
      </c>
      <c r="T85" s="475">
        <f t="shared" si="77"/>
        <v>2.430678034305335E-2</v>
      </c>
      <c r="U85" s="475">
        <f t="shared" si="77"/>
        <v>2.5661296206901048E-2</v>
      </c>
      <c r="V85" s="475">
        <f t="shared" si="77"/>
        <v>2.6799263114055182E-2</v>
      </c>
      <c r="W85" s="475">
        <f t="shared" si="77"/>
        <v>2.834878082887838E-2</v>
      </c>
      <c r="X85" s="475">
        <f t="shared" si="77"/>
        <v>2.7888583008940464E-2</v>
      </c>
      <c r="Y85" s="475">
        <f t="shared" ref="Y85:AD85" si="78">(Y8*1000)/(Y74*11.63)</f>
        <v>2.8113311096402711E-2</v>
      </c>
      <c r="Z85" s="475">
        <f t="shared" si="78"/>
        <v>3.022200191678158E-2</v>
      </c>
      <c r="AA85" s="475">
        <f t="shared" si="78"/>
        <v>2.7014821767016136E-2</v>
      </c>
      <c r="AB85" s="475">
        <f t="shared" si="78"/>
        <v>2.7202652467820627E-2</v>
      </c>
      <c r="AC85" s="475">
        <f t="shared" si="78"/>
        <v>2.7259781025508516E-2</v>
      </c>
      <c r="AD85" s="475">
        <f t="shared" si="78"/>
        <v>2.7544916367242388E-2</v>
      </c>
      <c r="AE85" s="519">
        <f>AVERAGE(AC85:AD85)</f>
        <v>2.740234869637545E-2</v>
      </c>
      <c r="AF85" s="68"/>
      <c r="AG85" s="68"/>
      <c r="AH85" s="68"/>
      <c r="AI85" s="68"/>
      <c r="AJ85" s="68"/>
    </row>
    <row r="86" spans="1:36">
      <c r="A86" t="s">
        <v>378</v>
      </c>
      <c r="F86" s="56">
        <f t="shared" ref="F86:W86" si="79">((F7-F8+F9+F5)*1000)/(F75*11.63)</f>
        <v>0.24827232595413656</v>
      </c>
      <c r="G86" s="56">
        <f t="shared" si="79"/>
        <v>0.24466755040511615</v>
      </c>
      <c r="H86" s="56">
        <f t="shared" si="79"/>
        <v>0.25524667659745287</v>
      </c>
      <c r="I86" s="56">
        <f t="shared" si="79"/>
        <v>0.24538908951714439</v>
      </c>
      <c r="J86" s="56">
        <f t="shared" si="79"/>
        <v>0.25226471094649261</v>
      </c>
      <c r="K86" s="56">
        <f t="shared" si="79"/>
        <v>0.239589115339154</v>
      </c>
      <c r="L86" s="56">
        <f t="shared" si="79"/>
        <v>0.25279155409685611</v>
      </c>
      <c r="M86" s="56">
        <f t="shared" si="79"/>
        <v>0.25846535087717187</v>
      </c>
      <c r="N86" s="56">
        <f t="shared" si="79"/>
        <v>0.25045915255679441</v>
      </c>
      <c r="O86" s="56">
        <f t="shared" si="79"/>
        <v>0.25193331170149141</v>
      </c>
      <c r="P86" s="56">
        <f t="shared" si="79"/>
        <v>0.24921778584023965</v>
      </c>
      <c r="Q86" s="56">
        <f t="shared" si="79"/>
        <v>0.27378830638498647</v>
      </c>
      <c r="R86" s="56">
        <f t="shared" si="79"/>
        <v>0.26743770458034694</v>
      </c>
      <c r="S86" s="56">
        <f t="shared" si="79"/>
        <v>0.26224649031152114</v>
      </c>
      <c r="T86" s="56">
        <f t="shared" si="79"/>
        <v>0.28865380222040515</v>
      </c>
      <c r="U86" s="56">
        <f t="shared" si="79"/>
        <v>0.27708501256738299</v>
      </c>
      <c r="V86" s="56">
        <f t="shared" si="79"/>
        <v>0.27434243577207845</v>
      </c>
      <c r="W86" s="56">
        <f t="shared" si="79"/>
        <v>0.26191118442800082</v>
      </c>
      <c r="X86" s="56">
        <f t="shared" ref="X86:AC86" si="80">((X7-X8+X9+X5)*1000)/(X75*11.63)</f>
        <v>0.26321903878136099</v>
      </c>
      <c r="Y86" s="56">
        <f t="shared" si="80"/>
        <v>0.26477146728328049</v>
      </c>
      <c r="Z86" s="56">
        <f t="shared" si="80"/>
        <v>0.2537646425051801</v>
      </c>
      <c r="AA86" s="56">
        <f t="shared" si="80"/>
        <v>0.24858624946627111</v>
      </c>
      <c r="AB86" s="56">
        <f t="shared" si="80"/>
        <v>0.27147880654624884</v>
      </c>
      <c r="AC86" s="56">
        <f t="shared" si="80"/>
        <v>0.28064598098920063</v>
      </c>
      <c r="AD86" s="56">
        <f>((AD7-AD8+AD9+AD5)*1000)/(AD75*11.63)</f>
        <v>0.28699523733914978</v>
      </c>
      <c r="AE86" s="519">
        <f>AVERAGE(AC86:AD86)</f>
        <v>0.28382060916417517</v>
      </c>
    </row>
    <row r="87" spans="1:36">
      <c r="AF87" s="68"/>
      <c r="AG87" s="68"/>
      <c r="AH87" s="68"/>
      <c r="AI87" s="68"/>
      <c r="AJ87" s="68"/>
    </row>
    <row r="89" spans="1:36">
      <c r="AF89" s="68"/>
      <c r="AG89" s="68"/>
      <c r="AH89" s="68"/>
      <c r="AI89" s="68"/>
      <c r="AJ89" s="68"/>
    </row>
    <row r="90" spans="1:36">
      <c r="K90" s="68">
        <v>2005</v>
      </c>
      <c r="P90" s="68">
        <v>2010</v>
      </c>
      <c r="Q90" s="68"/>
      <c r="R90" s="68"/>
      <c r="S90" s="68"/>
      <c r="T90" s="68"/>
      <c r="U90" s="68">
        <v>2015</v>
      </c>
      <c r="V90" s="68">
        <v>2016</v>
      </c>
      <c r="W90" s="68">
        <v>2017</v>
      </c>
      <c r="X90" s="68">
        <v>2018</v>
      </c>
      <c r="Y90" s="68">
        <v>2019</v>
      </c>
      <c r="Z90" s="68">
        <v>2020</v>
      </c>
      <c r="AA90" s="68">
        <v>2021</v>
      </c>
      <c r="AB90" s="68">
        <v>2022</v>
      </c>
      <c r="AC90" s="68">
        <v>2023</v>
      </c>
      <c r="AD90" s="68">
        <v>2024</v>
      </c>
    </row>
    <row r="91" spans="1:36">
      <c r="A91" t="s">
        <v>110</v>
      </c>
      <c r="K91" s="147">
        <v>143.05401253000002</v>
      </c>
      <c r="P91" s="147">
        <v>126.11597585999999</v>
      </c>
      <c r="Q91" s="147"/>
      <c r="R91" s="147"/>
      <c r="S91" s="147"/>
      <c r="T91" s="147"/>
      <c r="U91" s="147">
        <v>111.30999731000001</v>
      </c>
      <c r="V91" s="147">
        <v>111.90399956</v>
      </c>
      <c r="W91" s="147">
        <v>114.22342861000001</v>
      </c>
      <c r="X91" s="147">
        <v>114.65065666000002</v>
      </c>
      <c r="Y91" s="147">
        <v>117.70803247000001</v>
      </c>
      <c r="Z91" s="147">
        <v>115.47293255000001</v>
      </c>
      <c r="AA91" s="147">
        <v>115.32538274000002</v>
      </c>
      <c r="AB91" s="147">
        <v>109.40330533000001</v>
      </c>
      <c r="AC91" s="147">
        <v>104.49295651000001</v>
      </c>
      <c r="AD91" s="147">
        <v>104.20937059000002</v>
      </c>
      <c r="AE91" s="147">
        <f>(AD91-AD124)*'9'!$E$40/1000</f>
        <v>15.549624107344561</v>
      </c>
      <c r="AI91" s="68"/>
      <c r="AJ91" s="68"/>
    </row>
    <row r="92" spans="1:36">
      <c r="A92" t="s">
        <v>843</v>
      </c>
      <c r="K92" s="147">
        <v>8.9649971300000004</v>
      </c>
      <c r="P92" s="147">
        <v>10.569995280000001</v>
      </c>
      <c r="Q92" s="147"/>
      <c r="R92" s="147"/>
      <c r="S92" s="147"/>
      <c r="T92" s="147"/>
      <c r="U92" s="147">
        <v>9.6970009600000004</v>
      </c>
      <c r="V92" s="147">
        <v>9.4819855200000003</v>
      </c>
      <c r="W92" s="147">
        <v>9.9151797600000009</v>
      </c>
      <c r="X92" s="147">
        <v>10.36192295</v>
      </c>
      <c r="Y92" s="147">
        <v>9.8708694599999998</v>
      </c>
      <c r="Z92" s="147">
        <v>8.6143642600000003</v>
      </c>
      <c r="AA92" s="147">
        <v>8.6869936100000018</v>
      </c>
      <c r="AB92" s="147">
        <v>8.8521861299999998</v>
      </c>
      <c r="AC92" s="147">
        <v>8.4965058400000011</v>
      </c>
      <c r="AD92" s="147">
        <v>8.6458699299999999</v>
      </c>
      <c r="AE92" s="147">
        <f>(AD92)*'9'!$E$40/1000</f>
        <v>1.6651524134369684</v>
      </c>
    </row>
    <row r="93" spans="1:36">
      <c r="A93" t="s">
        <v>417</v>
      </c>
      <c r="K93" s="147">
        <v>1.7090052400000002</v>
      </c>
      <c r="P93" s="147">
        <v>1.7520013500000002</v>
      </c>
      <c r="Q93" s="147"/>
      <c r="R93" s="147"/>
      <c r="S93" s="147"/>
      <c r="T93" s="147"/>
      <c r="U93" s="147">
        <v>1.3549996700000002</v>
      </c>
      <c r="V93" s="147">
        <v>1.3529993100000002</v>
      </c>
      <c r="W93" s="147">
        <v>1.3859936200000003</v>
      </c>
      <c r="X93" s="147">
        <v>1.41948802</v>
      </c>
      <c r="Y93" s="147">
        <v>1.8267938799999999</v>
      </c>
      <c r="Z93" s="147">
        <v>1.8316087000000003</v>
      </c>
      <c r="AA93" s="147">
        <v>2.2254702800000001</v>
      </c>
      <c r="AB93" s="147">
        <v>2.2344370100000002</v>
      </c>
      <c r="AC93" s="147">
        <v>2.2398798500000003</v>
      </c>
      <c r="AD93" s="147">
        <v>2.42347103</v>
      </c>
      <c r="AE93" s="147">
        <f>(AD93)*'9'!$E$40/1000</f>
        <v>0.4667487097506075</v>
      </c>
      <c r="AI93" s="68"/>
      <c r="AJ93" s="68"/>
    </row>
    <row r="94" spans="1:36">
      <c r="A94" t="s">
        <v>384</v>
      </c>
      <c r="K94" s="147">
        <v>5.3640002300000003</v>
      </c>
      <c r="P94" s="147">
        <v>5.6099979900000001</v>
      </c>
      <c r="Q94" s="147"/>
      <c r="R94" s="147"/>
      <c r="S94" s="147"/>
      <c r="T94" s="147"/>
      <c r="U94" s="147">
        <v>5.6900007600000002</v>
      </c>
      <c r="V94" s="147">
        <v>5.5680020600000004</v>
      </c>
      <c r="W94" s="147">
        <v>5.9904152899999996</v>
      </c>
      <c r="X94" s="147">
        <v>5.8433423100000006</v>
      </c>
      <c r="Y94" s="147">
        <v>6.0524031900000006</v>
      </c>
      <c r="Z94" s="147">
        <v>6.3105426700000011</v>
      </c>
      <c r="AA94" s="147">
        <v>6.7137547700000004</v>
      </c>
      <c r="AB94" s="147">
        <v>6.6173304399999999</v>
      </c>
      <c r="AC94" s="147">
        <v>6.3334072499999996</v>
      </c>
      <c r="AD94" s="147">
        <v>6.685214750000001</v>
      </c>
    </row>
    <row r="95" spans="1:36">
      <c r="A95" t="s">
        <v>334</v>
      </c>
      <c r="K95" s="147">
        <v>73.875004410000003</v>
      </c>
      <c r="P95" s="147">
        <v>85.619001670000003</v>
      </c>
      <c r="Q95" s="147"/>
      <c r="R95" s="147"/>
      <c r="S95" s="147"/>
      <c r="T95" s="147"/>
      <c r="U95" s="147">
        <v>92.085002549999999</v>
      </c>
      <c r="V95" s="147">
        <v>91.735997880000014</v>
      </c>
      <c r="W95" s="147">
        <v>93.491930170000003</v>
      </c>
      <c r="X95" s="147">
        <v>94.48979580000001</v>
      </c>
      <c r="Y95" s="147">
        <v>89.215881550000006</v>
      </c>
      <c r="Z95" s="147">
        <v>75.259253529999995</v>
      </c>
      <c r="AA95" s="147">
        <v>92.225539470000015</v>
      </c>
      <c r="AB95" s="147">
        <v>95.084193470000017</v>
      </c>
      <c r="AC95" s="147">
        <v>93.539078189999998</v>
      </c>
      <c r="AD95" s="147">
        <v>95.871870110000003</v>
      </c>
    </row>
    <row r="96" spans="1:36">
      <c r="A96" t="s">
        <v>111</v>
      </c>
      <c r="K96" s="147">
        <v>66.960004120000008</v>
      </c>
      <c r="P96" s="147">
        <v>69.550005120000009</v>
      </c>
      <c r="Q96" s="147"/>
      <c r="R96" s="147"/>
      <c r="S96" s="147"/>
      <c r="T96" s="147"/>
      <c r="U96" s="147">
        <v>66.187004540000004</v>
      </c>
      <c r="V96" s="147">
        <v>64.304002870000005</v>
      </c>
      <c r="W96" s="147">
        <v>65.490693180000008</v>
      </c>
      <c r="X96" s="147">
        <v>65.13779246</v>
      </c>
      <c r="Y96" s="147">
        <v>65.588001390000002</v>
      </c>
      <c r="Z96" s="147">
        <v>66.211648510000003</v>
      </c>
      <c r="AA96" s="147">
        <v>67.119684019999994</v>
      </c>
      <c r="AB96" s="147">
        <v>64.640028460000011</v>
      </c>
      <c r="AC96" s="147">
        <v>63.412982050000004</v>
      </c>
      <c r="AD96" s="147">
        <v>65.822159810000002</v>
      </c>
    </row>
    <row r="97" spans="1:51">
      <c r="A97" t="s">
        <v>336</v>
      </c>
      <c r="K97" s="147">
        <v>9.9179942200000006</v>
      </c>
      <c r="P97" s="147">
        <v>10.666000930000001</v>
      </c>
      <c r="Q97" s="147"/>
      <c r="R97" s="147"/>
      <c r="S97" s="147"/>
      <c r="T97" s="147"/>
      <c r="U97" s="147">
        <v>10.856000240000002</v>
      </c>
      <c r="V97" s="147">
        <v>11.161997170000001</v>
      </c>
      <c r="W97" s="147">
        <v>11.382862500000002</v>
      </c>
      <c r="X97" s="147">
        <v>11.539995430000001</v>
      </c>
      <c r="Y97" s="147">
        <v>11.541600369999999</v>
      </c>
      <c r="Z97" s="147">
        <v>10.114180690000001</v>
      </c>
      <c r="AA97" s="147">
        <v>8.5902436400000006</v>
      </c>
      <c r="AB97" s="147">
        <v>9.0085049599999998</v>
      </c>
      <c r="AC97" s="147">
        <v>8.8463943900000022</v>
      </c>
      <c r="AD97" s="147">
        <v>8.9818257399999997</v>
      </c>
    </row>
    <row r="98" spans="1:51">
      <c r="A98" t="s">
        <v>49</v>
      </c>
      <c r="K98" s="179">
        <v>309.84501788000006</v>
      </c>
      <c r="P98" s="179">
        <v>309.88297820000003</v>
      </c>
      <c r="Q98" s="179"/>
      <c r="R98" s="179"/>
      <c r="S98" s="179"/>
      <c r="T98" s="179"/>
      <c r="U98" s="179">
        <v>297.18000603000002</v>
      </c>
      <c r="V98" s="179">
        <v>295.50898437000006</v>
      </c>
      <c r="W98" s="179">
        <v>301.88050312999997</v>
      </c>
      <c r="X98" s="179">
        <v>303.44299363000005</v>
      </c>
      <c r="Y98" s="179">
        <v>301.80358231000002</v>
      </c>
      <c r="Z98" s="179">
        <v>283.81453091000003</v>
      </c>
      <c r="AA98" s="179">
        <v>300.88706853000002</v>
      </c>
      <c r="AB98" s="179">
        <v>295.83998580000002</v>
      </c>
      <c r="AC98" s="179">
        <v>287.36120407999999</v>
      </c>
      <c r="AD98" s="179">
        <v>292.63978195999999</v>
      </c>
    </row>
    <row r="100" spans="1:51">
      <c r="A100" t="s">
        <v>780</v>
      </c>
      <c r="K100" s="147">
        <f>'10'!Q38</f>
        <v>468.94016885011575</v>
      </c>
      <c r="P100" s="147">
        <f>'10'!R38</f>
        <v>394.61768935117675</v>
      </c>
      <c r="U100" s="147">
        <f>'10'!S38</f>
        <v>320.32276684053664</v>
      </c>
      <c r="V100" s="147">
        <f>'10'!T38</f>
        <v>319.82243351078824</v>
      </c>
      <c r="W100" s="147">
        <f>'10'!U38</f>
        <v>314.46317569058499</v>
      </c>
      <c r="X100" s="147">
        <f>'10'!V38</f>
        <v>287.47197149185996</v>
      </c>
      <c r="Y100" s="147">
        <f>'10'!W38</f>
        <v>274.64500197272406</v>
      </c>
      <c r="Z100" s="147">
        <f>'10'!X38</f>
        <v>260.73089053334979</v>
      </c>
      <c r="AA100" s="147">
        <f>'10'!Y38</f>
        <v>260.76834209944013</v>
      </c>
      <c r="AB100" s="147">
        <f>'10'!Z38</f>
        <v>294.79289438879016</v>
      </c>
      <c r="AC100" s="147">
        <f>'10'!AA38</f>
        <v>236.33572871692877</v>
      </c>
      <c r="AD100" s="147">
        <f>'10'!AB38</f>
        <v>194.0369706548569</v>
      </c>
    </row>
    <row r="101" spans="1:51">
      <c r="AN101" s="147"/>
      <c r="AO101" s="147"/>
      <c r="AP101" s="147"/>
      <c r="AQ101" s="147"/>
      <c r="AR101" s="147"/>
      <c r="AS101" s="147"/>
      <c r="AT101" s="147"/>
      <c r="AU101" s="147"/>
      <c r="AV101" s="147"/>
      <c r="AW101" s="147"/>
      <c r="AX101" s="147"/>
      <c r="AY101" s="147"/>
    </row>
    <row r="102" spans="1:51">
      <c r="A102" s="68" t="s">
        <v>210</v>
      </c>
      <c r="AN102" s="147"/>
      <c r="AO102" s="147"/>
      <c r="AP102" s="147"/>
      <c r="AQ102" s="147"/>
      <c r="AR102" s="147"/>
      <c r="AS102" s="147"/>
      <c r="AT102" s="147"/>
      <c r="AU102" s="147"/>
      <c r="AV102" s="147"/>
      <c r="AW102" s="147"/>
      <c r="AX102" s="147"/>
      <c r="AY102" s="147"/>
    </row>
    <row r="103" spans="1:51">
      <c r="A103" t="s">
        <v>816</v>
      </c>
      <c r="K103" s="147">
        <f>(K91+K93)*K$100/1000</f>
        <v>67.885193996316133</v>
      </c>
      <c r="P103" s="147">
        <f>(P91+P93)*P$100/1000</f>
        <v>50.458965708619125</v>
      </c>
      <c r="U103" s="147">
        <f t="shared" ref="U103:AD103" si="81">(U91+U93)*U$100/1000</f>
        <v>36.089163558714311</v>
      </c>
      <c r="V103" s="147">
        <f t="shared" si="81"/>
        <v>36.222128990731996</v>
      </c>
      <c r="W103" s="147">
        <f t="shared" si="81"/>
        <v>36.35490605419951</v>
      </c>
      <c r="X103" s="147">
        <f t="shared" si="81"/>
        <v>33.366913322505035</v>
      </c>
      <c r="Y103" s="147">
        <f t="shared" si="81"/>
        <v>32.82964261870498</v>
      </c>
      <c r="Z103" s="147">
        <f t="shared" si="81"/>
        <v>30.584917503718572</v>
      </c>
      <c r="AA103" s="147">
        <f t="shared" si="81"/>
        <v>30.653541054400371</v>
      </c>
      <c r="AB103" s="147">
        <f t="shared" si="81"/>
        <v>32.910013187438594</v>
      </c>
      <c r="AC103" s="147">
        <f t="shared" si="81"/>
        <v>25.224782659165314</v>
      </c>
      <c r="AD103" s="147">
        <f t="shared" si="81"/>
        <v>20.690713560263948</v>
      </c>
      <c r="AE103" s="254">
        <f>+AD103/K103-1</f>
        <v>-0.69521021680535</v>
      </c>
      <c r="AN103" s="147"/>
      <c r="AO103" s="147"/>
      <c r="AP103" s="147"/>
      <c r="AQ103" s="147"/>
      <c r="AR103" s="147"/>
      <c r="AS103" s="147"/>
      <c r="AT103" s="147"/>
      <c r="AU103" s="147"/>
      <c r="AV103" s="147"/>
      <c r="AW103" s="147"/>
      <c r="AX103" s="147"/>
      <c r="AY103" s="147"/>
    </row>
    <row r="104" spans="1:51">
      <c r="A104" t="s">
        <v>817</v>
      </c>
      <c r="K104" s="147">
        <f>K92*K$100/1000</f>
        <v>4.2040472678830039</v>
      </c>
      <c r="P104" s="147">
        <f t="shared" ref="P104" si="82">P92*P$100/1000</f>
        <v>4.1711071138464453</v>
      </c>
      <c r="U104" s="147">
        <f t="shared" ref="U104:AD104" si="83">U92*U$100/1000</f>
        <v>3.1061701775625403</v>
      </c>
      <c r="V104" s="147">
        <f t="shared" si="83"/>
        <v>3.0325516835204569</v>
      </c>
      <c r="W104" s="147">
        <f t="shared" si="83"/>
        <v>3.1179589148726126</v>
      </c>
      <c r="X104" s="147">
        <f t="shared" si="83"/>
        <v>2.9787624188832496</v>
      </c>
      <c r="Y104" s="147">
        <f t="shared" si="83"/>
        <v>2.7109849623142019</v>
      </c>
      <c r="Z104" s="147">
        <f t="shared" si="83"/>
        <v>2.246030864888461</v>
      </c>
      <c r="AA104" s="147">
        <f t="shared" si="83"/>
        <v>2.2652929215081308</v>
      </c>
      <c r="AB104" s="147">
        <f t="shared" si="83"/>
        <v>2.6095615709310032</v>
      </c>
      <c r="AC104" s="147">
        <f t="shared" si="83"/>
        <v>2.0080278992440412</v>
      </c>
      <c r="AD104" s="147">
        <f t="shared" si="83"/>
        <v>1.6776184098931197</v>
      </c>
      <c r="AE104" s="254">
        <f t="shared" ref="AE104:AE109" si="84">+AD104/K104-1</f>
        <v>-0.60095158236936197</v>
      </c>
      <c r="AN104" s="147"/>
      <c r="AO104" s="147"/>
      <c r="AP104" s="147"/>
      <c r="AQ104" s="147"/>
      <c r="AR104" s="147"/>
      <c r="AS104" s="147"/>
      <c r="AT104" s="147"/>
      <c r="AU104" s="147"/>
      <c r="AV104" s="147"/>
      <c r="AW104" s="147"/>
      <c r="AX104" s="147"/>
      <c r="AY104" s="147"/>
    </row>
    <row r="105" spans="1:51">
      <c r="A105" t="str">
        <f>A94</f>
        <v>Agricoltura</v>
      </c>
      <c r="K105" s="147">
        <f>K94*K$100/1000</f>
        <v>2.51539517356826</v>
      </c>
      <c r="P105" s="147">
        <f>P94*P$100/1000</f>
        <v>2.213804444078546</v>
      </c>
      <c r="U105" s="147">
        <f t="shared" ref="U105:AD105" si="85">U94*U$100/1000</f>
        <v>1.8226367867679565</v>
      </c>
      <c r="V105" s="147">
        <f t="shared" si="85"/>
        <v>1.7807719686222823</v>
      </c>
      <c r="W105" s="147">
        <f t="shared" si="85"/>
        <v>1.8837650157988364</v>
      </c>
      <c r="X105" s="147">
        <f t="shared" si="85"/>
        <v>1.6797971339574993</v>
      </c>
      <c r="Y105" s="147">
        <f t="shared" si="85"/>
        <v>1.6622622860572716</v>
      </c>
      <c r="Z105" s="147">
        <f t="shared" si="85"/>
        <v>1.6453534100978031</v>
      </c>
      <c r="AA105" s="147">
        <f t="shared" si="85"/>
        <v>1.7507347006351082</v>
      </c>
      <c r="AB105" s="147">
        <f t="shared" si="85"/>
        <v>1.9507419935346464</v>
      </c>
      <c r="AC105" s="147">
        <f t="shared" si="85"/>
        <v>1.4968104176898298</v>
      </c>
      <c r="AD105" s="147">
        <f t="shared" si="85"/>
        <v>1.2971788182671666</v>
      </c>
      <c r="AE105" s="254">
        <f t="shared" si="84"/>
        <v>-0.48430416345793104</v>
      </c>
      <c r="AN105" s="147"/>
      <c r="AO105" s="147"/>
      <c r="AP105" s="147"/>
      <c r="AQ105" s="147"/>
      <c r="AR105" s="147"/>
      <c r="AS105" s="147"/>
      <c r="AT105" s="147"/>
      <c r="AU105" s="147"/>
      <c r="AV105" s="147"/>
      <c r="AW105" s="147"/>
      <c r="AX105" s="147"/>
      <c r="AY105" s="147"/>
    </row>
    <row r="106" spans="1:51">
      <c r="A106" t="str">
        <f>A95</f>
        <v>Servizi</v>
      </c>
      <c r="K106" s="147">
        <f>K95*K$100/1000</f>
        <v>34.642957041828453</v>
      </c>
      <c r="P106" s="147">
        <f>P95*P$100/1000</f>
        <v>33.786772603569943</v>
      </c>
      <c r="U106" s="147">
        <f t="shared" ref="U106:AD106" si="86">U95*U$100/1000</f>
        <v>29.496922801333874</v>
      </c>
      <c r="V106" s="147">
        <f t="shared" si="86"/>
        <v>29.339230082522118</v>
      </c>
      <c r="W106" s="147">
        <f t="shared" si="86"/>
        <v>29.399769262700616</v>
      </c>
      <c r="X106" s="147">
        <f t="shared" si="86"/>
        <v>27.163167884489269</v>
      </c>
      <c r="Y106" s="147">
        <f t="shared" si="86"/>
        <v>24.50269596429807</v>
      </c>
      <c r="Z106" s="147">
        <f t="shared" si="86"/>
        <v>19.622412193752048</v>
      </c>
      <c r="AA106" s="147">
        <f t="shared" si="86"/>
        <v>24.049501026818383</v>
      </c>
      <c r="AB106" s="147">
        <f t="shared" si="86"/>
        <v>28.030144603645006</v>
      </c>
      <c r="AC106" s="147">
        <f t="shared" si="86"/>
        <v>22.106626207543428</v>
      </c>
      <c r="AD106" s="147">
        <f t="shared" si="86"/>
        <v>18.602687247160326</v>
      </c>
      <c r="AE106" s="254">
        <f t="shared" si="84"/>
        <v>-0.46301676197273955</v>
      </c>
      <c r="AN106" s="147"/>
      <c r="AO106" s="147"/>
      <c r="AP106" s="147"/>
      <c r="AQ106" s="147"/>
      <c r="AR106" s="147"/>
      <c r="AS106" s="147"/>
      <c r="AT106" s="147"/>
      <c r="AU106" s="147"/>
      <c r="AV106" s="147"/>
      <c r="AW106" s="147"/>
      <c r="AX106" s="147"/>
      <c r="AY106" s="147"/>
    </row>
    <row r="107" spans="1:51">
      <c r="A107" t="str">
        <f>A96</f>
        <v>Domestico</v>
      </c>
      <c r="K107" s="147">
        <f>K96*K$100/1000</f>
        <v>31.400235638237248</v>
      </c>
      <c r="P107" s="147">
        <f>P96*P$100/1000</f>
        <v>27.445662314816918</v>
      </c>
      <c r="U107" s="147">
        <f t="shared" ref="U107:AD107" si="87">U96*U$100/1000</f>
        <v>21.201204423139963</v>
      </c>
      <c r="V107" s="147">
        <f t="shared" si="87"/>
        <v>20.565862682368113</v>
      </c>
      <c r="W107" s="147">
        <f t="shared" si="87"/>
        <v>20.594411355560538</v>
      </c>
      <c r="X107" s="147">
        <f t="shared" si="87"/>
        <v>18.725289617103812</v>
      </c>
      <c r="Y107" s="147">
        <f t="shared" si="87"/>
        <v>18.013416771143579</v>
      </c>
      <c r="Z107" s="147">
        <f t="shared" si="87"/>
        <v>17.263422079693441</v>
      </c>
      <c r="AA107" s="147">
        <f t="shared" si="87"/>
        <v>17.502688724133684</v>
      </c>
      <c r="AB107" s="147">
        <f t="shared" si="87"/>
        <v>19.055421083097176</v>
      </c>
      <c r="AC107" s="147">
        <f t="shared" si="87"/>
        <v>14.986753322900274</v>
      </c>
      <c r="AD107" s="147">
        <f t="shared" si="87"/>
        <v>12.771932491492271</v>
      </c>
      <c r="AE107" s="254">
        <f t="shared" si="84"/>
        <v>-0.59325360998439747</v>
      </c>
    </row>
    <row r="108" spans="1:51">
      <c r="A108" t="str">
        <f>A97</f>
        <v>Trasporti</v>
      </c>
      <c r="K108" s="147">
        <f>K97*K$100/1000</f>
        <v>4.6509458841812723</v>
      </c>
      <c r="P108" s="147">
        <f>P97*P$100/1000</f>
        <v>4.2089926416141026</v>
      </c>
      <c r="U108" s="147">
        <f t="shared" ref="U108:AD108" si="88">U97*U$100/1000</f>
        <v>3.4774240336983304</v>
      </c>
      <c r="V108" s="147">
        <f t="shared" si="88"/>
        <v>3.569857097749932</v>
      </c>
      <c r="W108" s="147">
        <f t="shared" si="88"/>
        <v>3.579491090199272</v>
      </c>
      <c r="X108" s="147">
        <f t="shared" si="88"/>
        <v>3.3174252372691546</v>
      </c>
      <c r="Y108" s="147">
        <f t="shared" si="88"/>
        <v>3.1698428563870427</v>
      </c>
      <c r="Z108" s="147">
        <f t="shared" si="88"/>
        <v>2.6370793383189106</v>
      </c>
      <c r="AA108" s="147">
        <f t="shared" si="88"/>
        <v>2.2400635922330596</v>
      </c>
      <c r="AB108" s="147">
        <f t="shared" si="88"/>
        <v>2.6556432512741721</v>
      </c>
      <c r="AC108" s="147">
        <f t="shared" si="88"/>
        <v>2.0907190646780007</v>
      </c>
      <c r="AD108" s="147">
        <f t="shared" si="88"/>
        <v>1.7428062575394183</v>
      </c>
      <c r="AE108" s="254">
        <f t="shared" si="84"/>
        <v>-0.62527917956065138</v>
      </c>
    </row>
    <row r="109" spans="1:51">
      <c r="A109" s="68" t="str">
        <f>A98</f>
        <v>Totale</v>
      </c>
      <c r="K109" s="179">
        <f>SUM(K103:K108)</f>
        <v>145.29877500201439</v>
      </c>
      <c r="P109" s="179">
        <f>SUM(P103:P108)</f>
        <v>122.28530482654509</v>
      </c>
      <c r="U109" s="179">
        <f t="shared" ref="U109:AD109" si="89">SUM(U103:U108)</f>
        <v>95.193521781216958</v>
      </c>
      <c r="V109" s="179">
        <f t="shared" si="89"/>
        <v>94.510402505514904</v>
      </c>
      <c r="W109" s="179">
        <f t="shared" si="89"/>
        <v>94.930301693331387</v>
      </c>
      <c r="X109" s="179">
        <f t="shared" si="89"/>
        <v>87.231355614208013</v>
      </c>
      <c r="Y109" s="179">
        <f t="shared" si="89"/>
        <v>82.888845458905152</v>
      </c>
      <c r="Z109" s="179">
        <f t="shared" si="89"/>
        <v>73.999215390469246</v>
      </c>
      <c r="AA109" s="179">
        <f t="shared" si="89"/>
        <v>78.461822019728729</v>
      </c>
      <c r="AB109" s="179">
        <f t="shared" si="89"/>
        <v>87.211525689920592</v>
      </c>
      <c r="AC109" s="179">
        <f t="shared" si="89"/>
        <v>67.913719571220881</v>
      </c>
      <c r="AD109" s="179">
        <f t="shared" si="89"/>
        <v>56.782936784616254</v>
      </c>
      <c r="AE109" s="254">
        <f t="shared" si="84"/>
        <v>-0.60919879204880401</v>
      </c>
    </row>
    <row r="112" spans="1:51">
      <c r="A112" s="68" t="s">
        <v>820</v>
      </c>
    </row>
    <row r="113" spans="1:40">
      <c r="A113" t="s">
        <v>335</v>
      </c>
      <c r="AD113" s="134">
        <v>3.7445572380000005</v>
      </c>
      <c r="AE113" s="254">
        <f>AD113/AD96</f>
        <v>5.6889005903314499E-2</v>
      </c>
    </row>
    <row r="114" spans="1:40">
      <c r="A114" t="s">
        <v>384</v>
      </c>
      <c r="AD114" s="205">
        <v>0.73881411900000005</v>
      </c>
      <c r="AE114" s="254">
        <f>AD114/AD94</f>
        <v>0.11051464262984222</v>
      </c>
    </row>
    <row r="115" spans="1:40">
      <c r="A115" t="s">
        <v>821</v>
      </c>
      <c r="AD115" s="134">
        <v>3.4474449019999991</v>
      </c>
      <c r="AE115" s="254">
        <f>AD115/(AD91+AD92+AD93)</f>
        <v>2.9905303899104851E-2</v>
      </c>
    </row>
    <row r="116" spans="1:40">
      <c r="A116" t="s">
        <v>844</v>
      </c>
      <c r="AD116" s="134">
        <v>2.2975881740000008</v>
      </c>
      <c r="AE116" s="254">
        <f>AD116/(AD95)</f>
        <v>2.3965196166131204E-2</v>
      </c>
    </row>
    <row r="117" spans="1:40">
      <c r="A117" t="s">
        <v>817</v>
      </c>
      <c r="AD117" s="134">
        <v>0.47287011400000001</v>
      </c>
    </row>
    <row r="118" spans="1:40">
      <c r="A118" s="68" t="s">
        <v>818</v>
      </c>
      <c r="AD118" s="456">
        <f>SUM(AD113:AD117)</f>
        <v>10.701274547000001</v>
      </c>
      <c r="AI118" s="549"/>
      <c r="AJ118" s="549"/>
      <c r="AK118" s="56"/>
      <c r="AL118" s="56"/>
    </row>
    <row r="119" spans="1:40">
      <c r="AI119" s="549"/>
      <c r="AJ119" s="549"/>
      <c r="AK119" s="56"/>
      <c r="AL119" s="56"/>
    </row>
    <row r="120" spans="1:40">
      <c r="AI120" s="549"/>
      <c r="AJ120" s="549"/>
      <c r="AK120" s="56"/>
      <c r="AL120" s="56"/>
    </row>
    <row r="121" spans="1:40">
      <c r="A121" s="68" t="s">
        <v>819</v>
      </c>
      <c r="B121" s="186"/>
      <c r="AI121" s="548"/>
      <c r="AJ121" s="548"/>
      <c r="AK121" s="56"/>
      <c r="AL121" s="56"/>
    </row>
    <row r="122" spans="1:40">
      <c r="A122" t="str">
        <f t="shared" ref="A122:A125" si="90">A113</f>
        <v>Residenziale</v>
      </c>
      <c r="AD122" s="134">
        <v>3.6341999999999999</v>
      </c>
      <c r="AE122" s="254">
        <f>AD122/AD96</f>
        <v>5.521240886793076E-2</v>
      </c>
      <c r="AG122" s="134">
        <f>AD122-AD113</f>
        <v>-0.11035723800000063</v>
      </c>
    </row>
    <row r="123" spans="1:40">
      <c r="A123" t="str">
        <f t="shared" si="90"/>
        <v>Agricoltura</v>
      </c>
      <c r="AD123" s="134">
        <v>0.89500000000000002</v>
      </c>
      <c r="AE123" s="254">
        <f>AD123/AD94</f>
        <v>0.13387752427848335</v>
      </c>
      <c r="AG123" s="134">
        <f t="shared" ref="AG123:AG125" si="91">AD123-AD114</f>
        <v>0.15618588099999997</v>
      </c>
    </row>
    <row r="124" spans="1:40">
      <c r="A124" t="str">
        <f t="shared" si="90"/>
        <v>Industria+costruzioni</v>
      </c>
      <c r="AD124" s="134">
        <f>23.2302+0.2061+0.0357</f>
        <v>23.471999999999998</v>
      </c>
      <c r="AE124" s="254">
        <f>AD124/(AD91+AD92+AD93)</f>
        <v>0.20361088083309684</v>
      </c>
      <c r="AF124" s="1063">
        <f>AD115/AD124</f>
        <v>0.14687478280504429</v>
      </c>
      <c r="AG124" s="134">
        <f t="shared" si="91"/>
        <v>20.024555098</v>
      </c>
      <c r="AH124" s="715">
        <f>AG124*'9'!C40/1000</f>
        <v>7.4229533324339592</v>
      </c>
      <c r="AK124" s="134"/>
      <c r="AL124" s="134"/>
      <c r="AM124" s="353"/>
      <c r="AN124" s="353"/>
    </row>
    <row r="125" spans="1:40">
      <c r="A125" t="str">
        <f t="shared" si="90"/>
        <v>Terziario</v>
      </c>
      <c r="AD125" s="134">
        <f>(4.736-0.3371)</f>
        <v>4.3988999999999994</v>
      </c>
      <c r="AE125" s="254">
        <f>AD125/(AD95)</f>
        <v>4.58831145668991E-2</v>
      </c>
      <c r="AF125" s="1063">
        <f>AD116/AD125</f>
        <v>0.52230970788151609</v>
      </c>
      <c r="AG125" s="134">
        <f t="shared" si="91"/>
        <v>2.1013118259999986</v>
      </c>
      <c r="AH125" s="549"/>
      <c r="AK125" s="134"/>
      <c r="AL125" s="134"/>
      <c r="AM125" s="353"/>
      <c r="AN125" s="353"/>
    </row>
    <row r="126" spans="1:40">
      <c r="A126" t="s">
        <v>336</v>
      </c>
      <c r="AD126" s="134">
        <v>0.33710000000000001</v>
      </c>
      <c r="AE126" s="254"/>
      <c r="AF126" s="549"/>
      <c r="AG126" s="549"/>
      <c r="AH126" s="549"/>
      <c r="AK126" s="134"/>
      <c r="AL126" s="134"/>
      <c r="AM126" s="353"/>
      <c r="AN126" s="353"/>
    </row>
    <row r="127" spans="1:40">
      <c r="A127" t="str">
        <f>A117</f>
        <v>Settore energetico</v>
      </c>
      <c r="AD127" s="134">
        <f>0.7015+0.8709</f>
        <v>1.5724</v>
      </c>
      <c r="AF127" s="548"/>
      <c r="AG127" s="548"/>
      <c r="AH127" s="548"/>
      <c r="AK127" s="134"/>
      <c r="AL127" s="134"/>
      <c r="AM127" s="353"/>
      <c r="AN127" s="353"/>
    </row>
    <row r="128" spans="1:40">
      <c r="A128" s="68" t="s">
        <v>49</v>
      </c>
      <c r="AD128" s="456">
        <f>SUM(AD122:AD127)</f>
        <v>34.309599999999996</v>
      </c>
      <c r="AK128" s="483"/>
      <c r="AL128" s="456"/>
      <c r="AM128" s="484"/>
      <c r="AN128" s="484"/>
    </row>
    <row r="133" spans="1:31">
      <c r="A133" s="186" t="s">
        <v>387</v>
      </c>
    </row>
    <row r="134" spans="1:31">
      <c r="A134" s="186" t="s">
        <v>386</v>
      </c>
    </row>
    <row r="135" spans="1:31">
      <c r="A135" s="430" t="s">
        <v>384</v>
      </c>
      <c r="F135" s="259">
        <v>31.835999999999999</v>
      </c>
      <c r="G135" s="259">
        <v>32.4786</v>
      </c>
      <c r="H135" s="259">
        <v>32.0625</v>
      </c>
      <c r="I135" s="259">
        <v>32.918900000000001</v>
      </c>
      <c r="J135" s="259">
        <v>34.135599999999997</v>
      </c>
      <c r="K135" s="259">
        <v>30.432099999999998</v>
      </c>
      <c r="L135" s="259">
        <v>30.286099999999998</v>
      </c>
      <c r="M135" s="259">
        <v>30.717700000000001</v>
      </c>
      <c r="N135" s="259">
        <v>30.786999999999999</v>
      </c>
      <c r="O135" s="259">
        <v>28.546900000000001</v>
      </c>
      <c r="P135" s="259">
        <v>28.626000000000001</v>
      </c>
      <c r="Q135" s="259">
        <v>30.6463</v>
      </c>
      <c r="R135" s="259">
        <v>31.169900000000002</v>
      </c>
      <c r="S135" s="259">
        <v>33.362199999999994</v>
      </c>
      <c r="T135" s="259">
        <v>31.220299999999998</v>
      </c>
      <c r="U135" s="259">
        <v>33.124600000000001</v>
      </c>
      <c r="V135" s="259">
        <v>31.525400000000001</v>
      </c>
      <c r="W135" s="259">
        <v>33.030800000000006</v>
      </c>
      <c r="X135" s="259">
        <v>33.022599999999997</v>
      </c>
      <c r="Y135" s="259">
        <v>32.81</v>
      </c>
      <c r="Z135" s="259">
        <v>32.198099999999997</v>
      </c>
      <c r="AA135" s="259">
        <v>33.7804</v>
      </c>
      <c r="AB135" s="259">
        <v>37.771000000000001</v>
      </c>
      <c r="AC135" s="259">
        <v>39.847199999999994</v>
      </c>
      <c r="AD135" s="259">
        <v>43.932499999999997</v>
      </c>
      <c r="AE135" s="549"/>
    </row>
    <row r="136" spans="1:31">
      <c r="A136" s="430" t="s">
        <v>385</v>
      </c>
      <c r="F136" s="259">
        <v>300.00959999999998</v>
      </c>
      <c r="G136" s="259">
        <v>312.0394</v>
      </c>
      <c r="H136" s="259">
        <v>321.43279999999999</v>
      </c>
      <c r="I136" s="259">
        <v>323.8519</v>
      </c>
      <c r="J136" s="259">
        <v>336.00380000000001</v>
      </c>
      <c r="K136" s="259">
        <v>343.17199999999997</v>
      </c>
      <c r="L136" s="259">
        <v>358.8297</v>
      </c>
      <c r="M136" s="259">
        <v>379.56709999999998</v>
      </c>
      <c r="N136" s="259">
        <v>381.53579999999999</v>
      </c>
      <c r="O136" s="259">
        <v>338.74689999999998</v>
      </c>
      <c r="P136" s="259">
        <v>345.73989999999998</v>
      </c>
      <c r="Q136" s="259">
        <v>352.03590000000003</v>
      </c>
      <c r="R136" s="259">
        <v>339.55849999999998</v>
      </c>
      <c r="S136" s="259">
        <v>333.98220000000003</v>
      </c>
      <c r="T136" s="259">
        <v>330.2346</v>
      </c>
      <c r="U136" s="259">
        <v>337.47120000000001</v>
      </c>
      <c r="V136" s="259">
        <v>352.26850000000002</v>
      </c>
      <c r="W136" s="259">
        <v>362.72570000000007</v>
      </c>
      <c r="X136" s="259">
        <v>373.08719999999994</v>
      </c>
      <c r="Y136" s="259">
        <v>379.07589999999993</v>
      </c>
      <c r="Z136" s="259">
        <v>350.10469999999998</v>
      </c>
      <c r="AA136" s="259">
        <v>415.61950000000002</v>
      </c>
      <c r="AB136" s="259">
        <v>465.13420000000002</v>
      </c>
      <c r="AC136" s="259">
        <v>507.10530000000006</v>
      </c>
      <c r="AD136" s="259">
        <v>491.2115</v>
      </c>
      <c r="AE136" s="549"/>
    </row>
    <row r="137" spans="1:31">
      <c r="A137" s="430" t="s">
        <v>334</v>
      </c>
      <c r="F137" s="259">
        <v>838.36970000000008</v>
      </c>
      <c r="G137" s="259">
        <v>892.38040000000001</v>
      </c>
      <c r="H137" s="259">
        <v>927.88330000000008</v>
      </c>
      <c r="I137" s="259">
        <v>970.04250000000002</v>
      </c>
      <c r="J137" s="259">
        <v>1007.5987</v>
      </c>
      <c r="K137" s="259">
        <v>1040.5127</v>
      </c>
      <c r="L137" s="259">
        <v>1072.162</v>
      </c>
      <c r="M137" s="259">
        <v>1114.9468999999999</v>
      </c>
      <c r="N137" s="259">
        <v>1139.9466</v>
      </c>
      <c r="O137" s="259">
        <v>1129.4739</v>
      </c>
      <c r="P137" s="259">
        <v>1148.8650999999998</v>
      </c>
      <c r="Q137" s="259">
        <v>1172.1808000000001</v>
      </c>
      <c r="R137" s="259">
        <v>1157.1323000000002</v>
      </c>
      <c r="S137" s="259">
        <v>1151.4271999999999</v>
      </c>
      <c r="T137" s="259">
        <v>1166.9657999999999</v>
      </c>
      <c r="U137" s="259">
        <v>1184.7391</v>
      </c>
      <c r="V137" s="259">
        <v>1210.1532999999997</v>
      </c>
      <c r="W137" s="259">
        <v>1236.9772000000003</v>
      </c>
      <c r="X137" s="259">
        <v>1257.19</v>
      </c>
      <c r="Y137" s="259">
        <v>1274.9360999999999</v>
      </c>
      <c r="Z137" s="259">
        <v>1183.7196999999999</v>
      </c>
      <c r="AA137" s="259">
        <v>1272.2974999999999</v>
      </c>
      <c r="AB137" s="259">
        <v>1376.4486999999999</v>
      </c>
      <c r="AC137" s="259">
        <v>1470.6414999999997</v>
      </c>
      <c r="AD137" s="259">
        <v>1527.7827000000002</v>
      </c>
      <c r="AE137" s="549"/>
    </row>
    <row r="138" spans="1:31">
      <c r="A138" s="470" t="s">
        <v>49</v>
      </c>
      <c r="F138" s="482">
        <f>SUM(F135:F137)</f>
        <v>1170.2153000000001</v>
      </c>
      <c r="G138" s="482">
        <f t="shared" ref="G138:AA138" si="92">SUM(G135:G137)</f>
        <v>1236.8984</v>
      </c>
      <c r="H138" s="482">
        <f t="shared" si="92"/>
        <v>1281.3786</v>
      </c>
      <c r="I138" s="482">
        <f t="shared" si="92"/>
        <v>1326.8133</v>
      </c>
      <c r="J138" s="482">
        <f t="shared" si="92"/>
        <v>1377.7381</v>
      </c>
      <c r="K138" s="482">
        <f t="shared" si="92"/>
        <v>1414.1168</v>
      </c>
      <c r="L138" s="482">
        <f t="shared" si="92"/>
        <v>1461.2778000000001</v>
      </c>
      <c r="M138" s="482">
        <f t="shared" si="92"/>
        <v>1525.2316999999998</v>
      </c>
      <c r="N138" s="482">
        <f t="shared" si="92"/>
        <v>1552.2693999999999</v>
      </c>
      <c r="O138" s="482">
        <f t="shared" si="92"/>
        <v>1496.7676999999999</v>
      </c>
      <c r="P138" s="482">
        <f t="shared" si="92"/>
        <v>1523.2309999999998</v>
      </c>
      <c r="Q138" s="482">
        <f t="shared" si="92"/>
        <v>1554.8630000000001</v>
      </c>
      <c r="R138" s="482">
        <f t="shared" si="92"/>
        <v>1527.8607000000002</v>
      </c>
      <c r="S138" s="482">
        <f t="shared" si="92"/>
        <v>1518.7715999999998</v>
      </c>
      <c r="T138" s="482">
        <f t="shared" si="92"/>
        <v>1528.4206999999999</v>
      </c>
      <c r="U138" s="482">
        <f t="shared" si="92"/>
        <v>1555.3349000000001</v>
      </c>
      <c r="V138" s="482">
        <f t="shared" si="92"/>
        <v>1593.9471999999996</v>
      </c>
      <c r="W138" s="482">
        <f t="shared" si="92"/>
        <v>1632.7337000000002</v>
      </c>
      <c r="X138" s="482">
        <f t="shared" si="92"/>
        <v>1663.2998</v>
      </c>
      <c r="Y138" s="482">
        <f t="shared" si="92"/>
        <v>1686.8219999999999</v>
      </c>
      <c r="Z138" s="482">
        <f t="shared" si="92"/>
        <v>1566.0224999999998</v>
      </c>
      <c r="AA138" s="482">
        <f t="shared" si="92"/>
        <v>1721.6974</v>
      </c>
      <c r="AB138" s="482">
        <f t="shared" ref="AB138:AD138" si="93">SUM(AB135:AB137)</f>
        <v>1879.3539000000001</v>
      </c>
      <c r="AC138" s="482">
        <f t="shared" si="93"/>
        <v>2017.5939999999998</v>
      </c>
      <c r="AD138" s="482">
        <f t="shared" si="93"/>
        <v>2062.9267</v>
      </c>
      <c r="AE138" s="548"/>
    </row>
    <row r="140" spans="1:31">
      <c r="A140" s="129" t="s">
        <v>388</v>
      </c>
    </row>
    <row r="141" spans="1:31">
      <c r="A141" s="430" t="s">
        <v>384</v>
      </c>
      <c r="F141" s="134">
        <f t="shared" ref="F141:AD141" si="94">F135/F5</f>
        <v>6.4884033750458565</v>
      </c>
      <c r="G141" s="134">
        <f t="shared" si="94"/>
        <v>6.2911323751598029</v>
      </c>
      <c r="H141" s="134">
        <f t="shared" si="94"/>
        <v>6.5564803075538833</v>
      </c>
      <c r="I141" s="134">
        <f t="shared" si="94"/>
        <v>6.3769129440936041</v>
      </c>
      <c r="J141" s="134">
        <f t="shared" si="94"/>
        <v>6.5837833667643872</v>
      </c>
      <c r="K141" s="134">
        <f t="shared" si="94"/>
        <v>5.6729736783237641</v>
      </c>
      <c r="L141" s="134">
        <f t="shared" si="94"/>
        <v>5.5030616880167162</v>
      </c>
      <c r="M141" s="134">
        <f t="shared" si="94"/>
        <v>5.4279226745829794</v>
      </c>
      <c r="N141" s="134">
        <f t="shared" si="94"/>
        <v>5.4302848575712144</v>
      </c>
      <c r="O141" s="134">
        <f t="shared" si="94"/>
        <v>5.0526380997893776</v>
      </c>
      <c r="P141" s="134">
        <f t="shared" si="94"/>
        <v>5.1024009411261426</v>
      </c>
      <c r="Q141" s="134">
        <f t="shared" si="94"/>
        <v>5.1881327238869135</v>
      </c>
      <c r="R141" s="134">
        <f t="shared" si="94"/>
        <v>5.2619859544871366</v>
      </c>
      <c r="S141" s="134">
        <f t="shared" si="94"/>
        <v>5.8766271511863435</v>
      </c>
      <c r="T141" s="134">
        <f t="shared" si="94"/>
        <v>5.8115634481859972</v>
      </c>
      <c r="U141" s="134">
        <f t="shared" si="94"/>
        <v>5.8216488866236666</v>
      </c>
      <c r="V141" s="134">
        <f t="shared" si="94"/>
        <v>5.6623978446340368</v>
      </c>
      <c r="W141" s="134">
        <f t="shared" si="94"/>
        <v>5.5139556623931636</v>
      </c>
      <c r="X141" s="134">
        <f t="shared" si="94"/>
        <v>5.6513613882566354</v>
      </c>
      <c r="Y141" s="134">
        <f t="shared" si="94"/>
        <v>5.420990020487741</v>
      </c>
      <c r="Z141" s="134">
        <f t="shared" si="94"/>
        <v>5.1023056810078433</v>
      </c>
      <c r="AA141" s="134">
        <f t="shared" si="94"/>
        <v>5.03148738419375</v>
      </c>
      <c r="AB141" s="134">
        <f t="shared" si="94"/>
        <v>5.7079171263204023</v>
      </c>
      <c r="AC141" s="134">
        <f t="shared" si="94"/>
        <v>6.291596930558625</v>
      </c>
      <c r="AD141" s="134">
        <f t="shared" si="94"/>
        <v>6.5716059354993117</v>
      </c>
      <c r="AE141" s="502">
        <f>AVERAGE(AB141:AD141)</f>
        <v>6.19037333079278</v>
      </c>
    </row>
    <row r="142" spans="1:31">
      <c r="A142" s="430" t="s">
        <v>385</v>
      </c>
      <c r="F142" s="134">
        <f t="shared" ref="F142:AD142" si="95">F136/F6</f>
        <v>2.0244600937699908</v>
      </c>
      <c r="G142" s="134">
        <f t="shared" si="95"/>
        <v>2.0668501868541083</v>
      </c>
      <c r="H142" s="134">
        <f t="shared" si="95"/>
        <v>2.1242752658212289</v>
      </c>
      <c r="I142" s="134">
        <f t="shared" si="95"/>
        <v>2.1205473514103179</v>
      </c>
      <c r="J142" s="134">
        <f t="shared" si="95"/>
        <v>2.1938764117206526</v>
      </c>
      <c r="K142" s="134">
        <f t="shared" si="95"/>
        <v>2.2323498570190754</v>
      </c>
      <c r="L142" s="134">
        <f t="shared" si="95"/>
        <v>2.2979719578407001</v>
      </c>
      <c r="M142" s="134">
        <f t="shared" si="95"/>
        <v>2.4361785907064184</v>
      </c>
      <c r="N142" s="134">
        <f t="shared" si="95"/>
        <v>2.520607584500147</v>
      </c>
      <c r="O142" s="134">
        <f t="shared" si="95"/>
        <v>2.5956443348538265</v>
      </c>
      <c r="P142" s="134">
        <f t="shared" si="95"/>
        <v>2.4974115009249545</v>
      </c>
      <c r="Q142" s="134">
        <f t="shared" si="95"/>
        <v>2.5138310877780286</v>
      </c>
      <c r="R142" s="134">
        <f t="shared" si="95"/>
        <v>2.5959951345900527</v>
      </c>
      <c r="S142" s="134">
        <f t="shared" si="95"/>
        <v>2.6746220893915953</v>
      </c>
      <c r="T142" s="134">
        <f t="shared" si="95"/>
        <v>2.6956826251989714</v>
      </c>
      <c r="U142" s="134">
        <f t="shared" si="95"/>
        <v>2.7579671189573913</v>
      </c>
      <c r="V142" s="134">
        <f t="shared" si="95"/>
        <v>2.8700850592318599</v>
      </c>
      <c r="W142" s="134">
        <f t="shared" si="95"/>
        <v>2.8896781985363829</v>
      </c>
      <c r="X142" s="134">
        <f t="shared" si="95"/>
        <v>2.9508921791951401</v>
      </c>
      <c r="Y142" s="134">
        <f t="shared" si="95"/>
        <v>2.9399405103102612</v>
      </c>
      <c r="Z142" s="134">
        <f t="shared" si="95"/>
        <v>2.7915139434289471</v>
      </c>
      <c r="AA142" s="134">
        <f t="shared" si="95"/>
        <v>3.0617406092180146</v>
      </c>
      <c r="AB142" s="134">
        <f t="shared" si="95"/>
        <v>3.5775948731320151</v>
      </c>
      <c r="AC142" s="134">
        <f t="shared" si="95"/>
        <v>4.0736028314898824</v>
      </c>
      <c r="AD142" s="134">
        <f t="shared" si="95"/>
        <v>3.9352460488635237</v>
      </c>
      <c r="AE142" s="502">
        <f>AVERAGE(AB142:AD142)</f>
        <v>3.8621479178284734</v>
      </c>
    </row>
    <row r="143" spans="1:31">
      <c r="A143" s="430" t="s">
        <v>334</v>
      </c>
      <c r="F143" s="134">
        <f t="shared" ref="F143:AD143" si="96">F137/F7</f>
        <v>12.876442201361414</v>
      </c>
      <c r="G143" s="134">
        <f t="shared" si="96"/>
        <v>13.161428674669297</v>
      </c>
      <c r="H143" s="134">
        <f t="shared" si="96"/>
        <v>12.923579724698705</v>
      </c>
      <c r="I143" s="134">
        <f t="shared" si="96"/>
        <v>12.616026593939113</v>
      </c>
      <c r="J143" s="134">
        <f t="shared" si="96"/>
        <v>12.665053156588828</v>
      </c>
      <c r="K143" s="134">
        <f t="shared" si="96"/>
        <v>12.417656606160419</v>
      </c>
      <c r="L143" s="134">
        <f t="shared" si="96"/>
        <v>12.145497386054046</v>
      </c>
      <c r="M143" s="134">
        <f t="shared" si="96"/>
        <v>12.351450395209845</v>
      </c>
      <c r="N143" s="134">
        <f t="shared" si="96"/>
        <v>12.177329450648527</v>
      </c>
      <c r="O143" s="134">
        <f t="shared" si="96"/>
        <v>11.909897094845885</v>
      </c>
      <c r="P143" s="134">
        <f t="shared" si="96"/>
        <v>11.931983860330581</v>
      </c>
      <c r="Q143" s="134">
        <f t="shared" si="96"/>
        <v>11.997130139573063</v>
      </c>
      <c r="R143" s="134">
        <f t="shared" si="96"/>
        <v>11.452401265261527</v>
      </c>
      <c r="S143" s="134">
        <f t="shared" si="96"/>
        <v>11.542377689674355</v>
      </c>
      <c r="T143" s="134">
        <f t="shared" si="96"/>
        <v>11.793322782699386</v>
      </c>
      <c r="U143" s="134">
        <f t="shared" si="96"/>
        <v>11.508969744658321</v>
      </c>
      <c r="V143" s="134">
        <f t="shared" si="96"/>
        <v>11.76065054398266</v>
      </c>
      <c r="W143" s="134">
        <f t="shared" si="96"/>
        <v>11.7947991319173</v>
      </c>
      <c r="X143" s="134">
        <f t="shared" si="96"/>
        <v>11.856949650004056</v>
      </c>
      <c r="Y143" s="134">
        <f t="shared" si="96"/>
        <v>12.595270461177948</v>
      </c>
      <c r="Z143" s="134">
        <f t="shared" si="96"/>
        <v>13.784249861426167</v>
      </c>
      <c r="AA143" s="134">
        <f t="shared" si="96"/>
        <v>13.923927686924964</v>
      </c>
      <c r="AB143" s="134">
        <f t="shared" si="96"/>
        <v>14.53516468802245</v>
      </c>
      <c r="AC143" s="134">
        <f t="shared" si="96"/>
        <v>15.757284029190753</v>
      </c>
      <c r="AD143" s="134">
        <f t="shared" si="96"/>
        <v>15.951890066656643</v>
      </c>
      <c r="AE143" s="502">
        <f>AVERAGE(AB143:AD143)</f>
        <v>15.414779594623283</v>
      </c>
    </row>
    <row r="144" spans="1:31">
      <c r="A144" s="430" t="s">
        <v>111</v>
      </c>
      <c r="F144" s="134">
        <f t="shared" ref="F144:AD144" si="97">F138/F9</f>
        <v>19.148793111630017</v>
      </c>
      <c r="G144" s="134">
        <f t="shared" si="97"/>
        <v>20.094786298681466</v>
      </c>
      <c r="H144" s="134">
        <f t="shared" si="97"/>
        <v>20.353040776649681</v>
      </c>
      <c r="I144" s="134">
        <f t="shared" si="97"/>
        <v>20.407551702816853</v>
      </c>
      <c r="J144" s="134">
        <f t="shared" si="97"/>
        <v>20.689181315529449</v>
      </c>
      <c r="K144" s="134">
        <f t="shared" si="97"/>
        <v>21.127506069547678</v>
      </c>
      <c r="L144" s="134">
        <f t="shared" si="97"/>
        <v>21.615704129722818</v>
      </c>
      <c r="M144" s="134">
        <f t="shared" si="97"/>
        <v>22.690012258183526</v>
      </c>
      <c r="N144" s="134">
        <f t="shared" si="97"/>
        <v>22.697680471538511</v>
      </c>
      <c r="O144" s="134">
        <f t="shared" si="97"/>
        <v>21.716078776166352</v>
      </c>
      <c r="P144" s="134">
        <f t="shared" si="97"/>
        <v>21.901079072041174</v>
      </c>
      <c r="Q144" s="134">
        <f t="shared" si="97"/>
        <v>22.167866165576473</v>
      </c>
      <c r="R144" s="134">
        <f t="shared" si="97"/>
        <v>21.997343664964884</v>
      </c>
      <c r="S144" s="134">
        <f t="shared" si="97"/>
        <v>22.673918236214451</v>
      </c>
      <c r="T144" s="134">
        <f t="shared" si="97"/>
        <v>23.786797914559177</v>
      </c>
      <c r="U144" s="134">
        <f t="shared" si="97"/>
        <v>23.498993009232887</v>
      </c>
      <c r="V144" s="134">
        <f t="shared" si="97"/>
        <v>24.787606408290589</v>
      </c>
      <c r="W144" s="134">
        <f t="shared" si="97"/>
        <v>24.930771850048941</v>
      </c>
      <c r="X144" s="134">
        <f t="shared" si="97"/>
        <v>25.535093294523303</v>
      </c>
      <c r="Y144" s="134">
        <f t="shared" si="97"/>
        <v>25.71845459535281</v>
      </c>
      <c r="Z144" s="134">
        <f t="shared" si="97"/>
        <v>23.651784581553681</v>
      </c>
      <c r="AA144" s="134">
        <f t="shared" si="97"/>
        <v>25.676936611710055</v>
      </c>
      <c r="AB144" s="134">
        <f t="shared" si="97"/>
        <v>29.125917433112122</v>
      </c>
      <c r="AC144" s="134">
        <f t="shared" si="97"/>
        <v>31.912796316477937</v>
      </c>
      <c r="AD144" s="134">
        <f t="shared" si="97"/>
        <v>31.529096291722517</v>
      </c>
      <c r="AE144" s="502">
        <f>AVERAGE(AB144:AD144)</f>
        <v>30.855936680437527</v>
      </c>
    </row>
    <row r="145" spans="1:31">
      <c r="A145" s="470" t="s">
        <v>49</v>
      </c>
      <c r="F145" s="456">
        <f t="shared" ref="F145:AD145" si="98">F138/F10</f>
        <v>4.1895223928153964</v>
      </c>
      <c r="G145" s="456">
        <f t="shared" si="98"/>
        <v>4.332516614306746</v>
      </c>
      <c r="H145" s="456">
        <f t="shared" si="98"/>
        <v>4.4039742974626037</v>
      </c>
      <c r="I145" s="456">
        <f t="shared" si="98"/>
        <v>4.4258297346863751</v>
      </c>
      <c r="J145" s="456">
        <f t="shared" si="98"/>
        <v>4.5247445151675088</v>
      </c>
      <c r="K145" s="456">
        <f t="shared" si="98"/>
        <v>4.5643659621963568</v>
      </c>
      <c r="L145" s="456">
        <f t="shared" si="98"/>
        <v>4.6019685500602767</v>
      </c>
      <c r="M145" s="456">
        <f t="shared" si="98"/>
        <v>4.7820041485814189</v>
      </c>
      <c r="N145" s="456">
        <f t="shared" si="98"/>
        <v>4.8654808906296818</v>
      </c>
      <c r="O145" s="456">
        <f t="shared" si="98"/>
        <v>4.9906380172255416</v>
      </c>
      <c r="P145" s="456">
        <f t="shared" si="98"/>
        <v>4.9154782135027038</v>
      </c>
      <c r="Q145" s="456">
        <f t="shared" si="98"/>
        <v>4.9550737574336639</v>
      </c>
      <c r="R145" s="456">
        <f t="shared" si="98"/>
        <v>4.9731892018573047</v>
      </c>
      <c r="S145" s="456">
        <f t="shared" si="98"/>
        <v>5.1087620203466271</v>
      </c>
      <c r="T145" s="456">
        <f t="shared" si="98"/>
        <v>5.2507981386784213</v>
      </c>
      <c r="U145" s="456">
        <f t="shared" si="98"/>
        <v>5.2336459384884586</v>
      </c>
      <c r="V145" s="456">
        <f t="shared" si="98"/>
        <v>5.393918679752371</v>
      </c>
      <c r="W145" s="456">
        <f t="shared" si="98"/>
        <v>5.4085431155705663</v>
      </c>
      <c r="X145" s="456">
        <f t="shared" si="98"/>
        <v>5.4814259948082489</v>
      </c>
      <c r="Y145" s="456">
        <f t="shared" si="98"/>
        <v>5.5891345831011598</v>
      </c>
      <c r="Z145" s="456">
        <f t="shared" si="98"/>
        <v>5.517769711473413</v>
      </c>
      <c r="AA145" s="456">
        <f t="shared" si="98"/>
        <v>5.7220704081935843</v>
      </c>
      <c r="AB145" s="456">
        <f t="shared" si="98"/>
        <v>6.3523151231194319</v>
      </c>
      <c r="AC145" s="456">
        <f t="shared" si="98"/>
        <v>7.0208416196283476</v>
      </c>
      <c r="AD145" s="456">
        <f t="shared" si="98"/>
        <v>7.0476212698549778</v>
      </c>
      <c r="AE145" s="574">
        <f>AVERAGE(AB145:AD145)</f>
        <v>6.8069260042009185</v>
      </c>
    </row>
    <row r="158" spans="1:31">
      <c r="B158">
        <f t="shared" ref="B158:Z158" si="99">B3</f>
        <v>1996</v>
      </c>
      <c r="C158">
        <f t="shared" si="99"/>
        <v>1997</v>
      </c>
      <c r="D158">
        <f t="shared" si="99"/>
        <v>1998</v>
      </c>
      <c r="E158">
        <f t="shared" si="99"/>
        <v>1999</v>
      </c>
      <c r="F158">
        <f t="shared" si="99"/>
        <v>2000</v>
      </c>
      <c r="G158">
        <f t="shared" si="99"/>
        <v>2001</v>
      </c>
      <c r="H158">
        <f t="shared" si="99"/>
        <v>2002</v>
      </c>
      <c r="I158">
        <f t="shared" si="99"/>
        <v>2003</v>
      </c>
      <c r="J158">
        <f t="shared" si="99"/>
        <v>2004</v>
      </c>
      <c r="K158">
        <f t="shared" si="99"/>
        <v>2005</v>
      </c>
      <c r="L158">
        <f t="shared" si="99"/>
        <v>2006</v>
      </c>
      <c r="M158">
        <f t="shared" si="99"/>
        <v>2007</v>
      </c>
      <c r="N158">
        <f t="shared" si="99"/>
        <v>2008</v>
      </c>
      <c r="O158">
        <f t="shared" si="99"/>
        <v>2009</v>
      </c>
      <c r="P158">
        <f t="shared" si="99"/>
        <v>2010</v>
      </c>
      <c r="Q158">
        <f t="shared" si="99"/>
        <v>2011</v>
      </c>
      <c r="R158">
        <f t="shared" si="99"/>
        <v>2012</v>
      </c>
      <c r="S158">
        <f t="shared" si="99"/>
        <v>2013</v>
      </c>
      <c r="T158">
        <f t="shared" si="99"/>
        <v>2014</v>
      </c>
      <c r="U158">
        <f t="shared" si="99"/>
        <v>2015</v>
      </c>
      <c r="V158">
        <f t="shared" si="99"/>
        <v>2016</v>
      </c>
      <c r="W158">
        <f t="shared" si="99"/>
        <v>2017</v>
      </c>
      <c r="X158">
        <f t="shared" si="99"/>
        <v>2018</v>
      </c>
      <c r="Y158">
        <f t="shared" si="99"/>
        <v>2019</v>
      </c>
      <c r="Z158">
        <f t="shared" si="99"/>
        <v>2020</v>
      </c>
      <c r="AA158">
        <f t="shared" ref="AA158:AE158" si="100">AA3</f>
        <v>2021</v>
      </c>
      <c r="AB158">
        <f t="shared" si="100"/>
        <v>2022</v>
      </c>
      <c r="AC158">
        <f t="shared" si="100"/>
        <v>2023</v>
      </c>
      <c r="AD158">
        <f t="shared" si="100"/>
        <v>2024</v>
      </c>
      <c r="AE158">
        <f t="shared" si="100"/>
        <v>2025</v>
      </c>
    </row>
    <row r="159" spans="1:31">
      <c r="A159" t="str">
        <f t="shared" ref="A159:Z159" si="101">A5</f>
        <v>Agricoltura e Pesca</v>
      </c>
      <c r="B159">
        <f t="shared" si="101"/>
        <v>4.1070000000000002</v>
      </c>
      <c r="C159">
        <f t="shared" si="101"/>
        <v>4.3529999999999998</v>
      </c>
      <c r="D159">
        <f t="shared" si="101"/>
        <v>4.4868000000000006</v>
      </c>
      <c r="E159">
        <f t="shared" si="101"/>
        <v>4.6821999999999999</v>
      </c>
      <c r="F159" s="147">
        <f t="shared" si="101"/>
        <v>4.9066000000000001</v>
      </c>
      <c r="G159" s="147">
        <f t="shared" si="101"/>
        <v>5.1626000000000003</v>
      </c>
      <c r="H159" s="147">
        <f t="shared" si="101"/>
        <v>4.8902000000000001</v>
      </c>
      <c r="I159" s="147">
        <f t="shared" si="101"/>
        <v>5.1621999999999995</v>
      </c>
      <c r="J159" s="147">
        <f t="shared" si="101"/>
        <v>5.1848000000000001</v>
      </c>
      <c r="K159" s="147">
        <f t="shared" si="101"/>
        <v>5.3643999999999998</v>
      </c>
      <c r="L159" s="147">
        <f t="shared" si="101"/>
        <v>5.5034999999999998</v>
      </c>
      <c r="M159" s="147">
        <f t="shared" si="101"/>
        <v>5.6592000000000002</v>
      </c>
      <c r="N159" s="147">
        <f t="shared" si="101"/>
        <v>5.6695000000000002</v>
      </c>
      <c r="O159" s="147">
        <f t="shared" si="101"/>
        <v>5.6498999999999997</v>
      </c>
      <c r="P159" s="147">
        <f t="shared" si="101"/>
        <v>5.6103000000000005</v>
      </c>
      <c r="Q159" s="147">
        <f t="shared" si="101"/>
        <v>5.907</v>
      </c>
      <c r="R159" s="147">
        <f t="shared" si="101"/>
        <v>5.9236000000000004</v>
      </c>
      <c r="S159" s="147">
        <f t="shared" si="101"/>
        <v>5.6771000000000003</v>
      </c>
      <c r="T159" s="147">
        <f t="shared" si="101"/>
        <v>5.3721000000000005</v>
      </c>
      <c r="U159" s="147">
        <f t="shared" si="101"/>
        <v>5.6898999999999997</v>
      </c>
      <c r="V159" s="147">
        <f t="shared" si="101"/>
        <v>5.5674999999999999</v>
      </c>
      <c r="W159" s="147">
        <f t="shared" si="101"/>
        <v>5.9904000000000002</v>
      </c>
      <c r="X159" s="147">
        <f t="shared" si="101"/>
        <v>5.8433000000000002</v>
      </c>
      <c r="Y159" s="147">
        <f t="shared" si="101"/>
        <v>6.0523999999999996</v>
      </c>
      <c r="Z159" s="147">
        <f t="shared" si="101"/>
        <v>6.3105000000000002</v>
      </c>
      <c r="AA159" s="147">
        <f t="shared" ref="AA159:AE159" si="102">AA5</f>
        <v>6.7138</v>
      </c>
      <c r="AB159" s="147">
        <f t="shared" si="102"/>
        <v>6.6173000000000002</v>
      </c>
      <c r="AC159" s="147">
        <f t="shared" si="102"/>
        <v>6.3333999999999993</v>
      </c>
      <c r="AD159" s="147">
        <f t="shared" si="102"/>
        <v>6.6852</v>
      </c>
      <c r="AE159" s="147">
        <f t="shared" si="102"/>
        <v>6.6478092871656127</v>
      </c>
    </row>
    <row r="160" spans="1:31">
      <c r="A160" t="str">
        <f t="shared" ref="A160:Z160" si="103">A6</f>
        <v>Industria</v>
      </c>
      <c r="B160">
        <f t="shared" si="103"/>
        <v>129.12799999999999</v>
      </c>
      <c r="C160">
        <f t="shared" si="103"/>
        <v>133.88999999999999</v>
      </c>
      <c r="D160">
        <f t="shared" si="103"/>
        <v>137.7003</v>
      </c>
      <c r="E160">
        <f t="shared" si="103"/>
        <v>139.69810000000001</v>
      </c>
      <c r="F160" s="147">
        <f t="shared" si="103"/>
        <v>148.19239999999999</v>
      </c>
      <c r="G160" s="147">
        <f t="shared" si="103"/>
        <v>150.9734</v>
      </c>
      <c r="H160" s="147">
        <f t="shared" si="103"/>
        <v>151.3141</v>
      </c>
      <c r="I160" s="147">
        <f t="shared" si="103"/>
        <v>152.7209</v>
      </c>
      <c r="J160" s="147">
        <f t="shared" si="103"/>
        <v>153.15529999999998</v>
      </c>
      <c r="K160" s="147">
        <f t="shared" si="103"/>
        <v>153.7268</v>
      </c>
      <c r="L160" s="147">
        <f t="shared" si="103"/>
        <v>156.1506</v>
      </c>
      <c r="M160" s="147">
        <f t="shared" si="103"/>
        <v>155.80429999999998</v>
      </c>
      <c r="N160" s="147">
        <f t="shared" si="103"/>
        <v>151.36660000000001</v>
      </c>
      <c r="O160" s="147">
        <f t="shared" si="103"/>
        <v>130.5059</v>
      </c>
      <c r="P160" s="147">
        <f t="shared" si="103"/>
        <v>138.43929999999997</v>
      </c>
      <c r="Q160" s="147">
        <f t="shared" si="103"/>
        <v>140.03960000000001</v>
      </c>
      <c r="R160" s="147">
        <f t="shared" si="103"/>
        <v>130.80089999999998</v>
      </c>
      <c r="S160" s="147">
        <f t="shared" si="103"/>
        <v>124.8708</v>
      </c>
      <c r="T160" s="147">
        <f t="shared" si="103"/>
        <v>122.505</v>
      </c>
      <c r="U160" s="147">
        <f t="shared" si="103"/>
        <v>122.3623</v>
      </c>
      <c r="V160" s="147">
        <f t="shared" si="103"/>
        <v>122.738</v>
      </c>
      <c r="W160" s="147">
        <f t="shared" si="103"/>
        <v>125.52460000000001</v>
      </c>
      <c r="X160" s="147">
        <f t="shared" si="103"/>
        <v>126.432</v>
      </c>
      <c r="Y160" s="147">
        <f t="shared" si="103"/>
        <v>128.93998999999999</v>
      </c>
      <c r="Z160" s="147">
        <f t="shared" si="103"/>
        <v>125.4175</v>
      </c>
      <c r="AA160" s="147">
        <f t="shared" ref="AA160:AE160" si="104">AA6</f>
        <v>135.74615</v>
      </c>
      <c r="AB160" s="147">
        <f t="shared" si="104"/>
        <v>130.01310000000001</v>
      </c>
      <c r="AC160" s="147">
        <f t="shared" si="104"/>
        <v>124.48570000000001</v>
      </c>
      <c r="AD160" s="147">
        <f t="shared" si="104"/>
        <v>124.82358000000001</v>
      </c>
      <c r="AE160" s="147">
        <f t="shared" si="104"/>
        <v>124.43558126844862</v>
      </c>
    </row>
    <row r="161" spans="1:31">
      <c r="A161" t="s">
        <v>435</v>
      </c>
      <c r="B161">
        <f>B7</f>
        <v>54.722000000000001</v>
      </c>
      <c r="C161">
        <f>C7</f>
        <v>56.923000000000002</v>
      </c>
      <c r="D161">
        <f>D7</f>
        <v>59.346599999999995</v>
      </c>
      <c r="E161">
        <f>E7</f>
        <v>62.186999999999998</v>
      </c>
      <c r="F161" s="147">
        <f>F7-F162</f>
        <v>56.594999999999999</v>
      </c>
      <c r="G161" s="147">
        <f t="shared" ref="G161:Z161" si="105">G7-G162</f>
        <v>59.235500000000002</v>
      </c>
      <c r="H161" s="147">
        <f t="shared" si="105"/>
        <v>62.830899999999993</v>
      </c>
      <c r="I161" s="147">
        <f t="shared" si="105"/>
        <v>67.42649999999999</v>
      </c>
      <c r="J161" s="147">
        <f t="shared" si="105"/>
        <v>69.954800000000006</v>
      </c>
      <c r="K161" s="147">
        <f t="shared" si="105"/>
        <v>73.875</v>
      </c>
      <c r="L161" s="147">
        <f t="shared" si="105"/>
        <v>78.057199999999995</v>
      </c>
      <c r="M161" s="147">
        <f t="shared" si="105"/>
        <v>79.864599999999996</v>
      </c>
      <c r="N161" s="147">
        <f t="shared" si="105"/>
        <v>82.773099999999999</v>
      </c>
      <c r="O161" s="147">
        <f t="shared" si="105"/>
        <v>84.299999999999983</v>
      </c>
      <c r="P161" s="147">
        <f t="shared" si="105"/>
        <v>85.618600000000001</v>
      </c>
      <c r="Q161" s="147">
        <f t="shared" si="105"/>
        <v>86.984899999999996</v>
      </c>
      <c r="R161" s="147">
        <f t="shared" si="105"/>
        <v>90.279399999999995</v>
      </c>
      <c r="S161" s="147">
        <f t="shared" si="105"/>
        <v>88.982200000000006</v>
      </c>
      <c r="T161" s="147">
        <f t="shared" si="105"/>
        <v>88.489299999999986</v>
      </c>
      <c r="U161" s="147">
        <f t="shared" si="105"/>
        <v>92.084900000000005</v>
      </c>
      <c r="V161" s="147">
        <f t="shared" si="105"/>
        <v>91.736000000000004</v>
      </c>
      <c r="W161" s="147">
        <f t="shared" si="105"/>
        <v>93.491899999999987</v>
      </c>
      <c r="X161" s="147">
        <f t="shared" si="105"/>
        <v>94.489800000000002</v>
      </c>
      <c r="Y161" s="147">
        <f t="shared" si="105"/>
        <v>89.4983</v>
      </c>
      <c r="Z161" s="147">
        <f t="shared" si="105"/>
        <v>75.690100000000001</v>
      </c>
      <c r="AA161" s="147">
        <f t="shared" ref="AA161:AE161" si="106">AA7-AA162</f>
        <v>80.440799999999996</v>
      </c>
      <c r="AB161" s="147">
        <f t="shared" si="106"/>
        <v>83.091999999999999</v>
      </c>
      <c r="AC161" s="147">
        <f t="shared" si="106"/>
        <v>81.567300000000031</v>
      </c>
      <c r="AD161" s="147">
        <f t="shared" si="106"/>
        <v>83.55710000000002</v>
      </c>
      <c r="AE161" s="147">
        <f t="shared" si="106"/>
        <v>86.052445524849801</v>
      </c>
    </row>
    <row r="162" spans="1:31">
      <c r="A162" t="s">
        <v>436</v>
      </c>
      <c r="B162">
        <f t="shared" ref="B162:Z162" si="107">B8</f>
        <v>8.1229999999999993</v>
      </c>
      <c r="C162">
        <f t="shared" si="107"/>
        <v>8.1097000000000001</v>
      </c>
      <c r="D162">
        <f t="shared" si="107"/>
        <v>8.2747000000000011</v>
      </c>
      <c r="E162">
        <f t="shared" si="107"/>
        <v>8.2886000000000006</v>
      </c>
      <c r="F162" s="147">
        <f t="shared" si="107"/>
        <v>8.5137999999999998</v>
      </c>
      <c r="G162" s="147">
        <f t="shared" si="107"/>
        <v>8.5672000000000015</v>
      </c>
      <c r="H162" s="147">
        <f t="shared" si="107"/>
        <v>8.9667999999999992</v>
      </c>
      <c r="I162" s="147">
        <f t="shared" si="107"/>
        <v>9.4632000000000005</v>
      </c>
      <c r="J162" s="147">
        <f t="shared" si="107"/>
        <v>9.6026000000000007</v>
      </c>
      <c r="K162" s="147">
        <f t="shared" si="107"/>
        <v>9.9179999999999993</v>
      </c>
      <c r="L162" s="147">
        <f t="shared" si="107"/>
        <v>10.219299999999999</v>
      </c>
      <c r="M162" s="147">
        <f t="shared" si="107"/>
        <v>10.4039</v>
      </c>
      <c r="N162" s="147">
        <f t="shared" si="107"/>
        <v>10.8391</v>
      </c>
      <c r="O162" s="147">
        <f t="shared" si="107"/>
        <v>10.5349</v>
      </c>
      <c r="P162" s="147">
        <f t="shared" si="107"/>
        <v>10.665899999999999</v>
      </c>
      <c r="Q162" s="147">
        <f t="shared" si="107"/>
        <v>10.7202</v>
      </c>
      <c r="R162" s="147">
        <f t="shared" si="107"/>
        <v>10.759</v>
      </c>
      <c r="S162" s="147">
        <f t="shared" si="107"/>
        <v>10.774299999999998</v>
      </c>
      <c r="T162" s="147">
        <f t="shared" si="107"/>
        <v>10.4621</v>
      </c>
      <c r="U162" s="147">
        <f t="shared" si="107"/>
        <v>10.855600000000001</v>
      </c>
      <c r="V162" s="147">
        <f t="shared" si="107"/>
        <v>11.1625</v>
      </c>
      <c r="W162" s="147">
        <f t="shared" si="107"/>
        <v>11.382899999999999</v>
      </c>
      <c r="X162" s="147">
        <f t="shared" si="107"/>
        <v>11.54</v>
      </c>
      <c r="Y162" s="147">
        <f t="shared" si="107"/>
        <v>11.725100000000001</v>
      </c>
      <c r="Z162" s="147">
        <f t="shared" si="107"/>
        <v>10.184700000000001</v>
      </c>
      <c r="AA162" s="147">
        <f t="shared" ref="AA162:AE162" si="108">AA8</f>
        <v>10.934100000000001</v>
      </c>
      <c r="AB162" s="147">
        <f t="shared" si="108"/>
        <v>11.605840000000001</v>
      </c>
      <c r="AC162" s="147">
        <f t="shared" si="108"/>
        <v>11.7636</v>
      </c>
      <c r="AD162" s="147">
        <f t="shared" si="108"/>
        <v>12.2173</v>
      </c>
      <c r="AE162" s="147">
        <f t="shared" si="108"/>
        <v>12.837040630583529</v>
      </c>
    </row>
    <row r="163" spans="1:31">
      <c r="A163" t="str">
        <f t="shared" ref="A163:Z163" si="109">A9</f>
        <v>Domestico</v>
      </c>
      <c r="B163">
        <f t="shared" si="109"/>
        <v>58.506999999999998</v>
      </c>
      <c r="C163">
        <f t="shared" si="109"/>
        <v>58.506999999999998</v>
      </c>
      <c r="D163">
        <f t="shared" si="109"/>
        <v>59.275300000000001</v>
      </c>
      <c r="E163">
        <f t="shared" si="109"/>
        <v>60.716900000000003</v>
      </c>
      <c r="F163" s="147">
        <f t="shared" si="109"/>
        <v>61.111699999999999</v>
      </c>
      <c r="G163" s="147">
        <f t="shared" si="109"/>
        <v>61.553199999999997</v>
      </c>
      <c r="H163" s="147">
        <f t="shared" si="109"/>
        <v>62.957599999999999</v>
      </c>
      <c r="I163" s="147">
        <f t="shared" si="109"/>
        <v>65.015799999999999</v>
      </c>
      <c r="J163" s="147">
        <f t="shared" si="109"/>
        <v>66.592199999999991</v>
      </c>
      <c r="K163" s="147">
        <f t="shared" si="109"/>
        <v>66.932500000000005</v>
      </c>
      <c r="L163" s="147">
        <f t="shared" si="109"/>
        <v>67.60260000000001</v>
      </c>
      <c r="M163" s="147">
        <f t="shared" si="109"/>
        <v>67.220399999999998</v>
      </c>
      <c r="N163" s="147">
        <f t="shared" si="109"/>
        <v>68.388899999999992</v>
      </c>
      <c r="O163" s="147">
        <f t="shared" si="109"/>
        <v>68.924399999999991</v>
      </c>
      <c r="P163" s="147">
        <f t="shared" si="109"/>
        <v>69.5505</v>
      </c>
      <c r="Q163" s="147">
        <f t="shared" si="109"/>
        <v>70.1404</v>
      </c>
      <c r="R163" s="147">
        <f t="shared" si="109"/>
        <v>69.456600000000009</v>
      </c>
      <c r="S163" s="147">
        <f t="shared" si="109"/>
        <v>66.983199999999997</v>
      </c>
      <c r="T163" s="147">
        <f t="shared" si="109"/>
        <v>64.254999999999995</v>
      </c>
      <c r="U163" s="147">
        <f t="shared" si="109"/>
        <v>66.187300000000008</v>
      </c>
      <c r="V163" s="147">
        <f t="shared" si="109"/>
        <v>64.304199999999994</v>
      </c>
      <c r="W163" s="147">
        <f t="shared" si="109"/>
        <v>65.490700000000004</v>
      </c>
      <c r="X163" s="147">
        <f t="shared" si="109"/>
        <v>65.137799999999999</v>
      </c>
      <c r="Y163" s="147">
        <f t="shared" si="109"/>
        <v>65.587999999999994</v>
      </c>
      <c r="Z163" s="147">
        <f t="shared" si="109"/>
        <v>66.211600000000004</v>
      </c>
      <c r="AA163" s="147">
        <f t="shared" ref="AA163:AE163" si="110">AA9</f>
        <v>67.052289999999999</v>
      </c>
      <c r="AB163" s="147">
        <f t="shared" si="110"/>
        <v>64.525139999999993</v>
      </c>
      <c r="AC163" s="147">
        <f t="shared" si="110"/>
        <v>63.222099999999998</v>
      </c>
      <c r="AD163" s="147">
        <f t="shared" si="110"/>
        <v>65.429299999999998</v>
      </c>
      <c r="AE163" s="147">
        <f t="shared" si="110"/>
        <v>63.674682607318232</v>
      </c>
    </row>
    <row r="164" spans="1:31">
      <c r="A164" t="str">
        <f t="shared" ref="A164:Z164" si="111">A10</f>
        <v>Totale</v>
      </c>
      <c r="B164">
        <f t="shared" si="111"/>
        <v>246.464</v>
      </c>
      <c r="C164">
        <f t="shared" si="111"/>
        <v>253.673</v>
      </c>
      <c r="D164">
        <f t="shared" si="111"/>
        <v>260.80899999999997</v>
      </c>
      <c r="E164">
        <f t="shared" si="111"/>
        <v>267.2842</v>
      </c>
      <c r="F164" s="147">
        <f t="shared" si="111"/>
        <v>279.31950000000001</v>
      </c>
      <c r="G164" s="147">
        <f t="shared" si="111"/>
        <v>285.49189999999999</v>
      </c>
      <c r="H164" s="147">
        <f t="shared" si="111"/>
        <v>290.95959999999997</v>
      </c>
      <c r="I164" s="147">
        <f t="shared" si="111"/>
        <v>299.78860000000003</v>
      </c>
      <c r="J164" s="147">
        <f t="shared" si="111"/>
        <v>304.48969999999997</v>
      </c>
      <c r="K164" s="147">
        <f t="shared" si="111"/>
        <v>309.81669999999997</v>
      </c>
      <c r="L164" s="147">
        <f t="shared" si="111"/>
        <v>317.53320000000002</v>
      </c>
      <c r="M164" s="147">
        <f t="shared" si="111"/>
        <v>318.95239999999995</v>
      </c>
      <c r="N164" s="147">
        <f t="shared" si="111"/>
        <v>319.03719999999998</v>
      </c>
      <c r="O164" s="147">
        <f t="shared" si="111"/>
        <v>299.9151</v>
      </c>
      <c r="P164" s="147">
        <f t="shared" si="111"/>
        <v>309.88459999999998</v>
      </c>
      <c r="Q164" s="147">
        <f t="shared" si="111"/>
        <v>313.7921</v>
      </c>
      <c r="R164" s="147">
        <f t="shared" si="111"/>
        <v>307.21949999999998</v>
      </c>
      <c r="S164" s="147">
        <f t="shared" si="111"/>
        <v>297.2876</v>
      </c>
      <c r="T164" s="147">
        <f t="shared" si="111"/>
        <v>291.08349999999996</v>
      </c>
      <c r="U164" s="147">
        <f t="shared" si="111"/>
        <v>297.18</v>
      </c>
      <c r="V164" s="147">
        <f t="shared" si="111"/>
        <v>295.50819999999999</v>
      </c>
      <c r="W164" s="147">
        <f t="shared" si="111"/>
        <v>301.88049999999998</v>
      </c>
      <c r="X164" s="147">
        <f t="shared" si="111"/>
        <v>303.44290000000001</v>
      </c>
      <c r="Y164" s="147">
        <f t="shared" si="111"/>
        <v>301.80378999999999</v>
      </c>
      <c r="Z164" s="147">
        <f t="shared" si="111"/>
        <v>283.81439999999998</v>
      </c>
      <c r="AA164" s="147">
        <f t="shared" ref="AA164:AE164" si="112">AA10</f>
        <v>300.88713999999999</v>
      </c>
      <c r="AB164" s="147">
        <f t="shared" si="112"/>
        <v>295.85338000000002</v>
      </c>
      <c r="AC164" s="147">
        <f t="shared" si="112"/>
        <v>287.37210000000005</v>
      </c>
      <c r="AD164" s="147">
        <f t="shared" si="112"/>
        <v>292.71248000000003</v>
      </c>
      <c r="AE164" s="147">
        <f t="shared" si="112"/>
        <v>293.64755931836578</v>
      </c>
    </row>
  </sheetData>
  <mergeCells count="1">
    <mergeCell ref="A1:B1"/>
  </mergeCells>
  <hyperlinks>
    <hyperlink ref="A1" location="Indice!A1" display="Torna indietro" xr:uid="{00000000-0004-0000-1F00-000000000000}"/>
  </hyperlinks>
  <pageMargins left="0.7" right="0.7" top="0.75" bottom="0.75" header="0.3" footer="0.3"/>
  <pageSetup orientation="portrait" horizontalDpi="200" verticalDpi="20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9ED65-340D-45F9-80E2-8171353F0F66}">
  <sheetPr codeName="Foglio21">
    <tabColor theme="7" tint="0.59999389629810485"/>
  </sheetPr>
  <dimension ref="A1:CB107"/>
  <sheetViews>
    <sheetView zoomScale="85" zoomScaleNormal="85" workbookViewId="0">
      <selection activeCell="AL100" sqref="AL100"/>
    </sheetView>
  </sheetViews>
  <sheetFormatPr defaultRowHeight="14.5"/>
  <cols>
    <col min="1" max="1" width="25.08984375" bestFit="1" customWidth="1"/>
    <col min="2" max="11" width="12" customWidth="1"/>
    <col min="13" max="13" width="9.6328125" bestFit="1" customWidth="1"/>
    <col min="19" max="19" width="9.54296875" customWidth="1"/>
    <col min="42" max="42" width="11.36328125" customWidth="1"/>
  </cols>
  <sheetData>
    <row r="1" spans="1:80" ht="15.5">
      <c r="A1" s="117"/>
      <c r="B1" s="117"/>
      <c r="C1" s="117"/>
      <c r="D1" s="117"/>
      <c r="E1" s="117"/>
      <c r="F1" s="117"/>
      <c r="G1" s="2"/>
      <c r="H1" s="2"/>
      <c r="I1" s="2"/>
      <c r="J1" s="2"/>
      <c r="K1" s="2"/>
      <c r="L1" s="2"/>
      <c r="M1" s="2" t="s">
        <v>585</v>
      </c>
      <c r="N1" s="133"/>
      <c r="O1" s="2"/>
      <c r="P1" s="2" t="s">
        <v>586</v>
      </c>
      <c r="Q1" s="771">
        <v>0.05</v>
      </c>
      <c r="R1" s="2"/>
      <c r="S1" s="2"/>
      <c r="T1" s="2" t="s">
        <v>585</v>
      </c>
      <c r="U1" s="133"/>
      <c r="V1" s="2"/>
      <c r="W1" s="2" t="s">
        <v>586</v>
      </c>
      <c r="X1" s="771">
        <v>0.05</v>
      </c>
      <c r="Y1" s="2"/>
      <c r="Z1" s="2"/>
      <c r="AA1" s="2" t="s">
        <v>585</v>
      </c>
      <c r="AB1" s="133"/>
      <c r="AC1" s="2"/>
      <c r="AD1" s="2" t="s">
        <v>586</v>
      </c>
      <c r="AE1" s="771">
        <v>0.05</v>
      </c>
      <c r="AF1" s="2"/>
      <c r="AH1" s="2" t="s">
        <v>585</v>
      </c>
      <c r="AI1" s="133"/>
      <c r="AJ1" s="2"/>
      <c r="AK1" s="2" t="s">
        <v>586</v>
      </c>
      <c r="AL1" s="771">
        <v>0.05</v>
      </c>
      <c r="AM1" s="2"/>
      <c r="AO1" s="2" t="s">
        <v>585</v>
      </c>
      <c r="AP1" s="133"/>
      <c r="AQ1" s="2"/>
      <c r="AR1" s="2" t="s">
        <v>586</v>
      </c>
      <c r="AS1" s="771">
        <v>0.05</v>
      </c>
      <c r="AT1" s="2"/>
      <c r="AV1" s="2" t="s">
        <v>585</v>
      </c>
      <c r="AW1" s="133"/>
      <c r="AX1" s="2"/>
      <c r="AY1" s="2" t="s">
        <v>586</v>
      </c>
      <c r="AZ1" s="771">
        <v>0.05</v>
      </c>
      <c r="BA1" s="2"/>
      <c r="BC1" s="2" t="s">
        <v>585</v>
      </c>
      <c r="BD1" s="133"/>
      <c r="BE1" s="2"/>
      <c r="BF1" s="2" t="s">
        <v>586</v>
      </c>
      <c r="BG1" s="771">
        <v>0.05</v>
      </c>
      <c r="BH1" s="2"/>
      <c r="BL1" s="2" t="s">
        <v>585</v>
      </c>
      <c r="BM1" s="133"/>
      <c r="BN1" s="2"/>
      <c r="BO1" s="2" t="s">
        <v>586</v>
      </c>
      <c r="BP1" s="771">
        <v>0.05</v>
      </c>
      <c r="BQ1" s="2"/>
      <c r="BU1" s="2" t="s">
        <v>585</v>
      </c>
      <c r="BV1" s="133"/>
      <c r="BW1" s="2"/>
      <c r="BX1" s="2" t="s">
        <v>586</v>
      </c>
      <c r="BY1" s="771">
        <v>0.05</v>
      </c>
      <c r="BZ1" s="2"/>
    </row>
    <row r="2" spans="1:80" ht="16" thickBot="1">
      <c r="A2" s="117" t="s">
        <v>639</v>
      </c>
      <c r="B2" s="117"/>
      <c r="C2" s="117"/>
      <c r="D2" s="117"/>
      <c r="E2" s="117"/>
      <c r="F2" s="117"/>
      <c r="G2" s="2"/>
      <c r="H2" s="2"/>
      <c r="I2" s="2"/>
      <c r="J2" s="2"/>
      <c r="K2" s="2"/>
      <c r="L2" s="2"/>
      <c r="M2" s="2"/>
      <c r="N2" s="133"/>
      <c r="O2" s="2"/>
      <c r="P2" s="2"/>
      <c r="Q2" s="2"/>
      <c r="R2" s="2"/>
      <c r="S2" s="2"/>
      <c r="T2" s="2"/>
      <c r="U2" s="133"/>
      <c r="V2" s="2"/>
      <c r="W2" s="2"/>
      <c r="X2" s="2"/>
      <c r="Y2" s="2"/>
      <c r="Z2" s="2"/>
      <c r="AA2" s="2"/>
      <c r="AB2" s="133"/>
      <c r="AC2" s="2"/>
      <c r="AD2" s="2"/>
      <c r="AE2" s="2"/>
      <c r="AF2" s="2"/>
      <c r="AH2" s="2"/>
      <c r="AI2" s="133"/>
      <c r="AJ2" s="2"/>
      <c r="AK2" s="2"/>
      <c r="AL2" s="2"/>
      <c r="AM2" s="2"/>
      <c r="AO2" s="2"/>
      <c r="AP2" s="133"/>
      <c r="AQ2" s="2"/>
      <c r="AR2" s="2"/>
      <c r="AS2" s="2"/>
      <c r="AT2" s="2"/>
      <c r="AV2" s="2"/>
      <c r="AW2" s="133"/>
      <c r="AX2" s="2"/>
      <c r="AY2" s="2"/>
      <c r="AZ2" s="2"/>
      <c r="BA2" s="2"/>
      <c r="BC2" s="2"/>
      <c r="BD2" s="133"/>
      <c r="BE2" s="2"/>
      <c r="BF2" s="2"/>
      <c r="BG2" s="2"/>
      <c r="BH2" s="2"/>
      <c r="BL2" s="2"/>
      <c r="BM2" s="133"/>
      <c r="BN2" s="2"/>
      <c r="BO2" s="2"/>
      <c r="BP2" s="2"/>
      <c r="BQ2" s="2"/>
      <c r="BU2" s="2"/>
      <c r="BV2" s="133"/>
      <c r="BW2" s="2"/>
      <c r="BX2" s="2"/>
      <c r="BY2" s="2"/>
      <c r="BZ2" s="2"/>
    </row>
    <row r="3" spans="1:80" ht="16" thickTop="1">
      <c r="A3" s="2" t="s">
        <v>50</v>
      </c>
      <c r="B3" s="2" t="s">
        <v>5</v>
      </c>
      <c r="C3" s="2" t="s">
        <v>6</v>
      </c>
      <c r="D3" s="2" t="s">
        <v>7</v>
      </c>
      <c r="E3" s="2" t="s">
        <v>8</v>
      </c>
      <c r="F3" s="2" t="s">
        <v>749</v>
      </c>
      <c r="G3" s="2" t="s">
        <v>751</v>
      </c>
      <c r="H3" s="2" t="s">
        <v>49</v>
      </c>
      <c r="I3" s="973" t="s">
        <v>841</v>
      </c>
      <c r="J3" s="973" t="s">
        <v>714</v>
      </c>
      <c r="K3" s="973"/>
      <c r="L3" s="2"/>
      <c r="M3" s="772" t="str">
        <f>$A3</f>
        <v>Anno</v>
      </c>
      <c r="N3" s="778" t="str">
        <f>B3</f>
        <v>Solidi</v>
      </c>
      <c r="O3" s="778" t="s">
        <v>587</v>
      </c>
      <c r="P3" s="778" t="s">
        <v>588</v>
      </c>
      <c r="Q3" s="778" t="s">
        <v>589</v>
      </c>
      <c r="R3" s="778" t="s">
        <v>590</v>
      </c>
      <c r="S3" s="2"/>
      <c r="T3" s="772" t="str">
        <f>$A3</f>
        <v>Anno</v>
      </c>
      <c r="U3" s="778" t="str">
        <f>C3</f>
        <v>Gas naturale</v>
      </c>
      <c r="V3" s="778" t="s">
        <v>587</v>
      </c>
      <c r="W3" s="778" t="s">
        <v>588</v>
      </c>
      <c r="X3" s="778" t="s">
        <v>589</v>
      </c>
      <c r="Y3" s="778" t="s">
        <v>590</v>
      </c>
      <c r="Z3" s="2"/>
      <c r="AA3" s="772" t="str">
        <f>$A3</f>
        <v>Anno</v>
      </c>
      <c r="AB3" s="778" t="str">
        <f>D3</f>
        <v>Gas derivati</v>
      </c>
      <c r="AC3" s="778" t="s">
        <v>587</v>
      </c>
      <c r="AD3" s="778" t="s">
        <v>588</v>
      </c>
      <c r="AE3" s="778" t="s">
        <v>589</v>
      </c>
      <c r="AF3" s="778" t="s">
        <v>590</v>
      </c>
      <c r="AH3" s="772" t="str">
        <f>$A3</f>
        <v>Anno</v>
      </c>
      <c r="AI3" s="778" t="str">
        <f>E3</f>
        <v>Prodotti petroliferi</v>
      </c>
      <c r="AJ3" s="778" t="s">
        <v>587</v>
      </c>
      <c r="AK3" s="778" t="s">
        <v>588</v>
      </c>
      <c r="AL3" s="778" t="s">
        <v>589</v>
      </c>
      <c r="AM3" s="778" t="s">
        <v>590</v>
      </c>
      <c r="AO3" s="772" t="str">
        <f>$A3</f>
        <v>Anno</v>
      </c>
      <c r="AP3" s="778" t="str">
        <f>F3</f>
        <v>Rifiuti e bioenergie</v>
      </c>
      <c r="AQ3" s="778" t="s">
        <v>587</v>
      </c>
      <c r="AR3" s="778" t="s">
        <v>588</v>
      </c>
      <c r="AS3" s="778" t="s">
        <v>589</v>
      </c>
      <c r="AT3" s="778" t="s">
        <v>590</v>
      </c>
      <c r="AV3" s="772" t="str">
        <f>$A3</f>
        <v>Anno</v>
      </c>
      <c r="AW3" s="1014" t="str">
        <f>G3</f>
        <v>Rifiuti non rinnovabili</v>
      </c>
      <c r="AX3" s="778" t="s">
        <v>587</v>
      </c>
      <c r="AY3" s="778" t="s">
        <v>588</v>
      </c>
      <c r="AZ3" s="778" t="s">
        <v>589</v>
      </c>
      <c r="BA3" s="778" t="s">
        <v>590</v>
      </c>
      <c r="BC3" s="772" t="str">
        <f>$A3</f>
        <v>Anno</v>
      </c>
      <c r="BD3" s="778" t="str">
        <f t="shared" ref="BD3:BD38" si="0">H3</f>
        <v>Totale</v>
      </c>
      <c r="BE3" s="778" t="s">
        <v>587</v>
      </c>
      <c r="BF3" s="778" t="s">
        <v>588</v>
      </c>
      <c r="BG3" s="778" t="s">
        <v>589</v>
      </c>
      <c r="BH3" s="778" t="s">
        <v>590</v>
      </c>
      <c r="BL3" s="772" t="str">
        <f>$A3</f>
        <v>Anno</v>
      </c>
      <c r="BM3" s="778" t="str">
        <f>I3</f>
        <v>Prodotti petroliferi (DM 224)</v>
      </c>
      <c r="BN3" s="778" t="s">
        <v>587</v>
      </c>
      <c r="BO3" s="778" t="s">
        <v>588</v>
      </c>
      <c r="BP3" s="778" t="s">
        <v>589</v>
      </c>
      <c r="BQ3" s="778" t="s">
        <v>590</v>
      </c>
      <c r="BU3" s="772" t="str">
        <f>$A3</f>
        <v>Anno</v>
      </c>
      <c r="BV3" s="1014" t="str">
        <f>J3</f>
        <v>Altre fonti (no RES)</v>
      </c>
      <c r="BW3" s="778" t="s">
        <v>587</v>
      </c>
      <c r="BX3" s="778" t="s">
        <v>588</v>
      </c>
      <c r="BY3" s="778" t="s">
        <v>589</v>
      </c>
      <c r="BZ3" s="778" t="s">
        <v>590</v>
      </c>
    </row>
    <row r="4" spans="1:80" ht="15.5">
      <c r="A4" s="2">
        <v>1990</v>
      </c>
      <c r="B4" s="95" cm="1">
        <f t="array" ref="B4:H38">TRANSPOSE('7'!B6:AJ12)</f>
        <v>870.83518280391456</v>
      </c>
      <c r="C4" s="95">
        <v>426.12504754629475</v>
      </c>
      <c r="D4" s="95">
        <v>1776.0630317365515</v>
      </c>
      <c r="E4" s="95">
        <v>612.33225301481616</v>
      </c>
      <c r="F4" s="95">
        <v>916.6516920750588</v>
      </c>
      <c r="G4" s="147">
        <v>1833.3033841501176</v>
      </c>
      <c r="H4" s="95">
        <v>641.74869793512244</v>
      </c>
      <c r="I4" s="95" cm="1">
        <f t="array" ref="I4:J38">TRANSPOSE('7'!B13:AJ14)</f>
        <v>612.33225301481616</v>
      </c>
      <c r="J4" s="95">
        <v>927.00177120091689</v>
      </c>
      <c r="K4" s="95"/>
      <c r="L4" s="2"/>
      <c r="M4" s="2">
        <f>$A4</f>
        <v>1990</v>
      </c>
      <c r="N4" s="95">
        <f t="shared" ref="N4:N38" si="1">B4</f>
        <v>870.83518280391456</v>
      </c>
      <c r="O4" s="95"/>
      <c r="P4" s="95"/>
      <c r="Q4" s="95"/>
      <c r="R4" s="95"/>
      <c r="S4" s="2"/>
      <c r="T4" s="2">
        <f>$A4</f>
        <v>1990</v>
      </c>
      <c r="U4" s="95">
        <f t="shared" ref="U4:U38" si="2">C4</f>
        <v>426.12504754629475</v>
      </c>
      <c r="V4" s="95"/>
      <c r="W4" s="95"/>
      <c r="X4" s="95"/>
      <c r="Y4" s="95"/>
      <c r="Z4" s="2"/>
      <c r="AA4" s="2">
        <f>$A4</f>
        <v>1990</v>
      </c>
      <c r="AB4" s="95">
        <f t="shared" ref="AB4:AB38" si="3">D4</f>
        <v>1776.0630317365515</v>
      </c>
      <c r="AC4" s="95"/>
      <c r="AD4" s="95"/>
      <c r="AE4" s="95"/>
      <c r="AF4" s="95"/>
      <c r="AG4" s="2"/>
      <c r="AH4" s="2">
        <f>$A4</f>
        <v>1990</v>
      </c>
      <c r="AI4" s="95">
        <f t="shared" ref="AI4:AI38" si="4">E4</f>
        <v>612.33225301481616</v>
      </c>
      <c r="AJ4" s="95"/>
      <c r="AK4" s="95"/>
      <c r="AL4" s="95"/>
      <c r="AM4" s="95"/>
      <c r="AN4" s="2"/>
      <c r="AO4" s="2">
        <f>$A4</f>
        <v>1990</v>
      </c>
      <c r="AP4" s="95">
        <f t="shared" ref="AP4:AP38" si="5">F4</f>
        <v>916.6516920750588</v>
      </c>
      <c r="AQ4" s="95"/>
      <c r="AR4" s="95"/>
      <c r="AS4" s="95"/>
      <c r="AT4" s="95"/>
      <c r="AU4" s="2"/>
      <c r="AV4" s="2">
        <f>$A4</f>
        <v>1990</v>
      </c>
      <c r="AW4" s="95">
        <f>G4</f>
        <v>1833.3033841501176</v>
      </c>
      <c r="AX4" s="95"/>
      <c r="AY4" s="95"/>
      <c r="AZ4" s="95"/>
      <c r="BA4" s="95"/>
      <c r="BB4" s="2"/>
      <c r="BC4" s="2">
        <f>$A4</f>
        <v>1990</v>
      </c>
      <c r="BD4" s="95">
        <f t="shared" si="0"/>
        <v>641.74869793512244</v>
      </c>
      <c r="BE4" s="95"/>
      <c r="BF4" s="95"/>
      <c r="BG4" s="95"/>
      <c r="BH4" s="95"/>
      <c r="BI4" s="2"/>
      <c r="BL4" s="2">
        <f>$A4</f>
        <v>1990</v>
      </c>
      <c r="BM4" s="95">
        <f>I4</f>
        <v>612.33225301481616</v>
      </c>
      <c r="BN4" s="95"/>
      <c r="BO4" s="95"/>
      <c r="BP4" s="95"/>
      <c r="BQ4" s="95"/>
      <c r="BR4" s="2"/>
      <c r="BU4" s="2">
        <f>$A4</f>
        <v>1990</v>
      </c>
      <c r="BV4" s="95">
        <f>J4</f>
        <v>927.00177120091689</v>
      </c>
      <c r="BW4" s="95"/>
      <c r="BX4" s="95"/>
      <c r="BY4" s="95"/>
      <c r="BZ4" s="95"/>
      <c r="CA4" s="2"/>
    </row>
    <row r="5" spans="1:80" ht="15.5">
      <c r="A5" s="2">
        <v>1991</v>
      </c>
      <c r="B5" s="95">
        <v>874.92895492601463</v>
      </c>
      <c r="C5" s="95">
        <v>429.62035167190453</v>
      </c>
      <c r="D5" s="95">
        <v>1739.3892252735184</v>
      </c>
      <c r="E5" s="95">
        <v>611.70151081122935</v>
      </c>
      <c r="F5" s="95">
        <v>524.11632428423115</v>
      </c>
      <c r="G5" s="147">
        <v>983.28191647127699</v>
      </c>
      <c r="H5" s="95">
        <v>640.60938767225525</v>
      </c>
      <c r="I5" s="95">
        <v>611.70151081122935</v>
      </c>
      <c r="J5" s="95">
        <v>907.91392862791383</v>
      </c>
      <c r="K5" s="95">
        <f>+H4-10</f>
        <v>631.74869793512244</v>
      </c>
      <c r="L5" s="2"/>
      <c r="M5" s="2">
        <f t="shared" ref="M5:M38" si="6">$A5</f>
        <v>1991</v>
      </c>
      <c r="N5" s="95">
        <f t="shared" si="1"/>
        <v>874.92895492601463</v>
      </c>
      <c r="O5" s="95"/>
      <c r="P5" s="95"/>
      <c r="Q5" s="95"/>
      <c r="R5" s="95"/>
      <c r="S5" s="56">
        <f t="shared" ref="S5:S37" si="7">(+N5/N4-1)</f>
        <v>4.7009723572708495E-3</v>
      </c>
      <c r="T5" s="2">
        <f t="shared" ref="T5:T38" si="8">$A5</f>
        <v>1991</v>
      </c>
      <c r="U5" s="95">
        <f t="shared" si="2"/>
        <v>429.62035167190453</v>
      </c>
      <c r="V5" s="95"/>
      <c r="W5" s="95"/>
      <c r="X5" s="95"/>
      <c r="Y5" s="95"/>
      <c r="Z5" s="56">
        <f t="shared" ref="Z5:Z37" si="9">(+U5/U4-1)</f>
        <v>8.2025315004043975E-3</v>
      </c>
      <c r="AA5" s="2">
        <f t="shared" ref="AA5:AA38" si="10">$A5</f>
        <v>1991</v>
      </c>
      <c r="AB5" s="95">
        <f t="shared" si="3"/>
        <v>1739.3892252735184</v>
      </c>
      <c r="AC5" s="95"/>
      <c r="AD5" s="95"/>
      <c r="AE5" s="95"/>
      <c r="AF5" s="95"/>
      <c r="AG5" s="56">
        <f t="shared" ref="AG5:AG37" si="11">(+AB5/AB4-1)</f>
        <v>-2.0648932953227006E-2</v>
      </c>
      <c r="AH5" s="2">
        <f t="shared" ref="AH5:AH38" si="12">$A5</f>
        <v>1991</v>
      </c>
      <c r="AI5" s="95">
        <f t="shared" si="4"/>
        <v>611.70151081122935</v>
      </c>
      <c r="AJ5" s="95"/>
      <c r="AK5" s="95"/>
      <c r="AL5" s="95"/>
      <c r="AM5" s="95"/>
      <c r="AN5" s="56">
        <f t="shared" ref="AN5:AN37" si="13">(+AI5/AI4-1)</f>
        <v>-1.0300652962200729E-3</v>
      </c>
      <c r="AO5" s="2">
        <f t="shared" ref="AO5:AO38" si="14">$A5</f>
        <v>1991</v>
      </c>
      <c r="AP5" s="95">
        <f t="shared" si="5"/>
        <v>524.11632428423115</v>
      </c>
      <c r="AQ5" s="95"/>
      <c r="AR5" s="95"/>
      <c r="AS5" s="95"/>
      <c r="AT5" s="95"/>
      <c r="AU5" s="56">
        <f t="shared" ref="AU5:AU37" si="15">(+AP5/AP4-1)</f>
        <v>-0.42822739671404586</v>
      </c>
      <c r="AV5" s="2">
        <f t="shared" ref="AV5:AV38" si="16">$A5</f>
        <v>1991</v>
      </c>
      <c r="AW5" s="95">
        <f t="shared" ref="AW5:AW38" si="17">G5</f>
        <v>983.28191647127699</v>
      </c>
      <c r="AX5" s="95"/>
      <c r="AY5" s="95"/>
      <c r="AZ5" s="95"/>
      <c r="BA5" s="95"/>
      <c r="BB5" s="56">
        <f t="shared" ref="BB5:BB37" si="18">(+AW5/AW4-1)</f>
        <v>-0.46365564752006028</v>
      </c>
      <c r="BC5" s="2">
        <f t="shared" ref="BC5:BC38" si="19">$A5</f>
        <v>1991</v>
      </c>
      <c r="BD5" s="95">
        <f t="shared" si="0"/>
        <v>640.60938767225525</v>
      </c>
      <c r="BE5" s="95"/>
      <c r="BF5" s="95"/>
      <c r="BG5" s="95"/>
      <c r="BH5" s="95"/>
      <c r="BI5" s="56">
        <f t="shared" ref="BI5:BI37" si="20">(+BD5/BD4-1)</f>
        <v>-1.7753215028453173E-3</v>
      </c>
      <c r="BL5" s="2">
        <f t="shared" ref="BL5:BL38" si="21">$A5</f>
        <v>1991</v>
      </c>
      <c r="BM5" s="95">
        <f t="shared" ref="BM5:BM38" si="22">I5</f>
        <v>611.70151081122935</v>
      </c>
      <c r="BN5" s="95"/>
      <c r="BO5" s="95"/>
      <c r="BP5" s="95"/>
      <c r="BQ5" s="95"/>
      <c r="BR5" s="56">
        <f t="shared" ref="BR5:BR37" si="23">(+BM5/BM4-1)</f>
        <v>-1.0300652962200729E-3</v>
      </c>
      <c r="BU5" s="2">
        <f t="shared" ref="BU5:BU38" si="24">$A5</f>
        <v>1991</v>
      </c>
      <c r="BV5" s="95">
        <f t="shared" ref="BV5:BV38" si="25">J5</f>
        <v>907.91392862791383</v>
      </c>
      <c r="BW5" s="95"/>
      <c r="BX5" s="95"/>
      <c r="BY5" s="95"/>
      <c r="BZ5" s="95"/>
      <c r="CA5" s="56">
        <f t="shared" ref="CA5:CA37" si="26">(+BV5/BV4-1)</f>
        <v>-2.0590945094177138E-2</v>
      </c>
    </row>
    <row r="6" spans="1:80" ht="15.5">
      <c r="A6" s="2">
        <v>1992</v>
      </c>
      <c r="B6" s="95">
        <v>876.14843693107207</v>
      </c>
      <c r="C6" s="95">
        <v>424.91768746887055</v>
      </c>
      <c r="D6" s="95">
        <v>1665.2062483095185</v>
      </c>
      <c r="E6" s="95">
        <v>606.37380925863977</v>
      </c>
      <c r="F6" s="95">
        <v>491.55385338538593</v>
      </c>
      <c r="G6" s="147">
        <v>983.10770677077187</v>
      </c>
      <c r="H6" s="95">
        <v>623.20058347924908</v>
      </c>
      <c r="I6" s="95">
        <v>606.37380925863977</v>
      </c>
      <c r="J6" s="95">
        <v>807.39517424770531</v>
      </c>
      <c r="K6" s="95">
        <f t="shared" ref="K6:K39" si="27">+H5-10</f>
        <v>630.60938767225525</v>
      </c>
      <c r="L6" s="2"/>
      <c r="M6" s="2">
        <f t="shared" si="6"/>
        <v>1992</v>
      </c>
      <c r="N6" s="147">
        <f t="shared" si="1"/>
        <v>876.14843693107207</v>
      </c>
      <c r="O6" s="147"/>
      <c r="P6" s="147"/>
      <c r="Q6" s="147"/>
      <c r="R6" s="147"/>
      <c r="S6" s="56">
        <f t="shared" si="7"/>
        <v>1.3938068893382116E-3</v>
      </c>
      <c r="T6" s="2">
        <f t="shared" si="8"/>
        <v>1992</v>
      </c>
      <c r="U6" s="147">
        <f t="shared" si="2"/>
        <v>424.91768746887055</v>
      </c>
      <c r="V6" s="147"/>
      <c r="W6" s="147"/>
      <c r="X6" s="147"/>
      <c r="Y6" s="147"/>
      <c r="Z6" s="56">
        <f t="shared" si="9"/>
        <v>-1.0946092718217781E-2</v>
      </c>
      <c r="AA6" s="2">
        <f t="shared" si="10"/>
        <v>1992</v>
      </c>
      <c r="AB6" s="147">
        <f t="shared" si="3"/>
        <v>1665.2062483095185</v>
      </c>
      <c r="AC6" s="147"/>
      <c r="AD6" s="147"/>
      <c r="AE6" s="147"/>
      <c r="AF6" s="147"/>
      <c r="AG6" s="56">
        <f t="shared" si="11"/>
        <v>-4.2648865409830594E-2</v>
      </c>
      <c r="AH6" s="2">
        <f t="shared" si="12"/>
        <v>1992</v>
      </c>
      <c r="AI6" s="147">
        <f t="shared" si="4"/>
        <v>606.37380925863977</v>
      </c>
      <c r="AJ6" s="147"/>
      <c r="AK6" s="147"/>
      <c r="AL6" s="147"/>
      <c r="AM6" s="147"/>
      <c r="AN6" s="56">
        <f t="shared" si="13"/>
        <v>-8.7096426254106296E-3</v>
      </c>
      <c r="AO6" s="2">
        <f t="shared" si="14"/>
        <v>1992</v>
      </c>
      <c r="AP6" s="147">
        <f t="shared" si="5"/>
        <v>491.55385338538593</v>
      </c>
      <c r="AQ6" s="147"/>
      <c r="AR6" s="147"/>
      <c r="AS6" s="147"/>
      <c r="AT6" s="147"/>
      <c r="AU6" s="56">
        <f t="shared" si="15"/>
        <v>-6.212832798771295E-2</v>
      </c>
      <c r="AV6" s="2">
        <f t="shared" si="16"/>
        <v>1992</v>
      </c>
      <c r="AW6" s="95">
        <f t="shared" si="17"/>
        <v>983.10770677077187</v>
      </c>
      <c r="AX6" s="147"/>
      <c r="AY6" s="147"/>
      <c r="AZ6" s="147"/>
      <c r="BA6" s="147"/>
      <c r="BB6" s="56">
        <f t="shared" si="18"/>
        <v>-1.7717167130493205E-4</v>
      </c>
      <c r="BC6" s="2">
        <f t="shared" si="19"/>
        <v>1992</v>
      </c>
      <c r="BD6" s="147">
        <f t="shared" si="0"/>
        <v>623.20058347924908</v>
      </c>
      <c r="BE6" s="147"/>
      <c r="BF6" s="147"/>
      <c r="BG6" s="147"/>
      <c r="BH6" s="147"/>
      <c r="BI6" s="56">
        <f t="shared" si="20"/>
        <v>-2.7175381016915079E-2</v>
      </c>
      <c r="BL6" s="2">
        <f t="shared" si="21"/>
        <v>1992</v>
      </c>
      <c r="BM6" s="95">
        <f t="shared" si="22"/>
        <v>606.37380925863977</v>
      </c>
      <c r="BN6" s="147"/>
      <c r="BO6" s="147"/>
      <c r="BP6" s="147"/>
      <c r="BQ6" s="147"/>
      <c r="BR6" s="56">
        <f t="shared" si="23"/>
        <v>-8.7096426254106296E-3</v>
      </c>
      <c r="BU6" s="2">
        <f t="shared" si="24"/>
        <v>1992</v>
      </c>
      <c r="BV6" s="95">
        <f t="shared" si="25"/>
        <v>807.39517424770531</v>
      </c>
      <c r="BW6" s="147"/>
      <c r="BX6" s="147"/>
      <c r="BY6" s="147"/>
      <c r="BZ6" s="147"/>
      <c r="CA6" s="56">
        <f t="shared" si="26"/>
        <v>-0.11071396881433204</v>
      </c>
    </row>
    <row r="7" spans="1:80" ht="15.5">
      <c r="A7" s="2">
        <v>1993</v>
      </c>
      <c r="B7" s="95">
        <v>864.40018573437828</v>
      </c>
      <c r="C7" s="95">
        <v>423.52810298170783</v>
      </c>
      <c r="D7" s="95">
        <v>1634.0737438150466</v>
      </c>
      <c r="E7" s="95">
        <v>604.61631453346911</v>
      </c>
      <c r="F7" s="95">
        <v>437.54232070241852</v>
      </c>
      <c r="G7" s="147">
        <v>875.08464140483704</v>
      </c>
      <c r="H7" s="95">
        <v>607.3814162426354</v>
      </c>
      <c r="I7" s="95">
        <v>604.61631453346911</v>
      </c>
      <c r="J7" s="95">
        <v>832.49554054412874</v>
      </c>
      <c r="K7" s="95">
        <f t="shared" si="27"/>
        <v>613.20058347924908</v>
      </c>
      <c r="L7" s="2"/>
      <c r="M7" s="2">
        <f t="shared" si="6"/>
        <v>1993</v>
      </c>
      <c r="N7" s="95">
        <f t="shared" si="1"/>
        <v>864.40018573437828</v>
      </c>
      <c r="O7" s="95"/>
      <c r="P7" s="95"/>
      <c r="Q7" s="147"/>
      <c r="R7" s="147"/>
      <c r="S7" s="56">
        <f t="shared" si="7"/>
        <v>-1.3408973527185619E-2</v>
      </c>
      <c r="T7" s="2">
        <f t="shared" si="8"/>
        <v>1993</v>
      </c>
      <c r="U7" s="95">
        <f t="shared" si="2"/>
        <v>423.52810298170783</v>
      </c>
      <c r="V7" s="95"/>
      <c r="W7" s="95"/>
      <c r="X7" s="147"/>
      <c r="Y7" s="147"/>
      <c r="Z7" s="56">
        <f t="shared" si="9"/>
        <v>-3.2702439275713591E-3</v>
      </c>
      <c r="AA7" s="2">
        <f t="shared" si="10"/>
        <v>1993</v>
      </c>
      <c r="AB7" s="95">
        <f t="shared" si="3"/>
        <v>1634.0737438150466</v>
      </c>
      <c r="AC7" s="95"/>
      <c r="AD7" s="95"/>
      <c r="AE7" s="147"/>
      <c r="AF7" s="147"/>
      <c r="AG7" s="56">
        <f t="shared" si="11"/>
        <v>-1.8695884984864186E-2</v>
      </c>
      <c r="AH7" s="2">
        <f t="shared" si="12"/>
        <v>1993</v>
      </c>
      <c r="AI7" s="95">
        <f t="shared" si="4"/>
        <v>604.61631453346911</v>
      </c>
      <c r="AJ7" s="95"/>
      <c r="AK7" s="95"/>
      <c r="AL7" s="147"/>
      <c r="AM7" s="147"/>
      <c r="AN7" s="56">
        <f t="shared" si="13"/>
        <v>-2.8983684623835604E-3</v>
      </c>
      <c r="AO7" s="2">
        <f t="shared" si="14"/>
        <v>1993</v>
      </c>
      <c r="AP7" s="95">
        <f t="shared" si="5"/>
        <v>437.54232070241852</v>
      </c>
      <c r="AQ7" s="95"/>
      <c r="AR7" s="95"/>
      <c r="AS7" s="147"/>
      <c r="AT7" s="147"/>
      <c r="AU7" s="56">
        <f t="shared" si="15"/>
        <v>-0.10987917663748137</v>
      </c>
      <c r="AV7" s="2">
        <f t="shared" si="16"/>
        <v>1993</v>
      </c>
      <c r="AW7" s="95">
        <f t="shared" si="17"/>
        <v>875.08464140483704</v>
      </c>
      <c r="AX7" s="95"/>
      <c r="AY7" s="95"/>
      <c r="AZ7" s="147"/>
      <c r="BA7" s="147"/>
      <c r="BB7" s="56">
        <f t="shared" si="18"/>
        <v>-0.10987917663748137</v>
      </c>
      <c r="BC7" s="2">
        <f t="shared" si="19"/>
        <v>1993</v>
      </c>
      <c r="BD7" s="95">
        <f t="shared" si="0"/>
        <v>607.3814162426354</v>
      </c>
      <c r="BE7" s="95"/>
      <c r="BF7" s="95"/>
      <c r="BG7" s="147"/>
      <c r="BH7" s="147"/>
      <c r="BI7" s="56">
        <f t="shared" si="20"/>
        <v>-2.5383749078502604E-2</v>
      </c>
      <c r="BL7" s="2">
        <f t="shared" si="21"/>
        <v>1993</v>
      </c>
      <c r="BM7" s="95">
        <f t="shared" si="22"/>
        <v>604.61631453346911</v>
      </c>
      <c r="BN7" s="95"/>
      <c r="BO7" s="95"/>
      <c r="BP7" s="147"/>
      <c r="BQ7" s="147"/>
      <c r="BR7" s="56">
        <f t="shared" si="23"/>
        <v>-2.8983684623835604E-3</v>
      </c>
      <c r="BU7" s="2">
        <f t="shared" si="24"/>
        <v>1993</v>
      </c>
      <c r="BV7" s="95">
        <f t="shared" si="25"/>
        <v>832.49554054412874</v>
      </c>
      <c r="BW7" s="95"/>
      <c r="BX7" s="95"/>
      <c r="BY7" s="147"/>
      <c r="BZ7" s="147"/>
      <c r="CA7" s="56">
        <f t="shared" si="26"/>
        <v>3.1088080653703276E-2</v>
      </c>
    </row>
    <row r="8" spans="1:80" ht="15.5">
      <c r="A8" s="2">
        <v>1994</v>
      </c>
      <c r="B8" s="95">
        <v>865.14535830484022</v>
      </c>
      <c r="C8" s="95">
        <v>413.98858188293099</v>
      </c>
      <c r="D8" s="95">
        <v>1711.5103378761421</v>
      </c>
      <c r="E8" s="95">
        <v>603.48385802592486</v>
      </c>
      <c r="F8" s="95">
        <v>396.17867204191697</v>
      </c>
      <c r="G8" s="147">
        <v>1210.1302124971669</v>
      </c>
      <c r="H8" s="95">
        <v>607.04242700909947</v>
      </c>
      <c r="I8" s="95">
        <v>603.48385802592486</v>
      </c>
      <c r="J8" s="95">
        <v>823.04826996704446</v>
      </c>
      <c r="K8" s="95">
        <f t="shared" si="27"/>
        <v>597.3814162426354</v>
      </c>
      <c r="L8" s="2"/>
      <c r="M8" s="2">
        <f t="shared" si="6"/>
        <v>1994</v>
      </c>
      <c r="N8" s="95">
        <f t="shared" si="1"/>
        <v>865.14535830484022</v>
      </c>
      <c r="O8" s="95"/>
      <c r="P8" s="95"/>
      <c r="Q8" s="147"/>
      <c r="R8" s="147"/>
      <c r="S8" s="56">
        <f t="shared" si="7"/>
        <v>8.6206896152951629E-4</v>
      </c>
      <c r="T8" s="2">
        <f t="shared" si="8"/>
        <v>1994</v>
      </c>
      <c r="U8" s="95">
        <f t="shared" si="2"/>
        <v>413.98858188293099</v>
      </c>
      <c r="V8" s="95"/>
      <c r="W8" s="95"/>
      <c r="X8" s="147"/>
      <c r="Y8" s="147"/>
      <c r="Z8" s="56">
        <f t="shared" si="9"/>
        <v>-2.2523938864073112E-2</v>
      </c>
      <c r="AA8" s="2">
        <f t="shared" si="10"/>
        <v>1994</v>
      </c>
      <c r="AB8" s="95">
        <f t="shared" si="3"/>
        <v>1711.5103378761421</v>
      </c>
      <c r="AC8" s="95"/>
      <c r="AD8" s="95"/>
      <c r="AE8" s="147"/>
      <c r="AF8" s="147"/>
      <c r="AG8" s="56">
        <f t="shared" si="11"/>
        <v>4.7388677747373542E-2</v>
      </c>
      <c r="AH8" s="2">
        <f t="shared" si="12"/>
        <v>1994</v>
      </c>
      <c r="AI8" s="95">
        <f t="shared" si="4"/>
        <v>603.48385802592486</v>
      </c>
      <c r="AJ8" s="95"/>
      <c r="AK8" s="95"/>
      <c r="AL8" s="147"/>
      <c r="AM8" s="147"/>
      <c r="AN8" s="56">
        <f t="shared" si="13"/>
        <v>-1.873016788205728E-3</v>
      </c>
      <c r="AO8" s="2">
        <f t="shared" si="14"/>
        <v>1994</v>
      </c>
      <c r="AP8" s="95">
        <f t="shared" si="5"/>
        <v>396.17867204191697</v>
      </c>
      <c r="AQ8" s="95"/>
      <c r="AR8" s="95"/>
      <c r="AS8" s="147"/>
      <c r="AT8" s="147"/>
      <c r="AU8" s="56">
        <f t="shared" si="15"/>
        <v>-9.4536337865780529E-2</v>
      </c>
      <c r="AV8" s="2">
        <f t="shared" si="16"/>
        <v>1994</v>
      </c>
      <c r="AW8" s="95">
        <f t="shared" si="17"/>
        <v>1210.1302124971669</v>
      </c>
      <c r="AX8" s="95"/>
      <c r="AY8" s="95"/>
      <c r="AZ8" s="147"/>
      <c r="BA8" s="147"/>
      <c r="BB8" s="56">
        <f t="shared" si="18"/>
        <v>0.38287218771712972</v>
      </c>
      <c r="BC8" s="2">
        <f t="shared" si="19"/>
        <v>1994</v>
      </c>
      <c r="BD8" s="95">
        <f t="shared" si="0"/>
        <v>607.04242700909947</v>
      </c>
      <c r="BE8" s="95"/>
      <c r="BF8" s="95"/>
      <c r="BG8" s="147"/>
      <c r="BH8" s="147"/>
      <c r="BI8" s="56">
        <f t="shared" si="20"/>
        <v>-5.5811591278664974E-4</v>
      </c>
      <c r="BL8" s="2">
        <f t="shared" si="21"/>
        <v>1994</v>
      </c>
      <c r="BM8" s="95">
        <f t="shared" si="22"/>
        <v>603.48385802592486</v>
      </c>
      <c r="BN8" s="95"/>
      <c r="BO8" s="95"/>
      <c r="BP8" s="147"/>
      <c r="BQ8" s="147"/>
      <c r="BR8" s="56">
        <f t="shared" si="23"/>
        <v>-1.873016788205728E-3</v>
      </c>
      <c r="BU8" s="2">
        <f t="shared" si="24"/>
        <v>1994</v>
      </c>
      <c r="BV8" s="95">
        <f t="shared" si="25"/>
        <v>823.04826996704446</v>
      </c>
      <c r="BW8" s="95"/>
      <c r="BX8" s="95"/>
      <c r="BY8" s="147"/>
      <c r="BZ8" s="147"/>
      <c r="CA8" s="56">
        <f t="shared" si="26"/>
        <v>-1.1348133553855999E-2</v>
      </c>
    </row>
    <row r="9" spans="1:80" ht="15.5">
      <c r="A9" s="2">
        <v>1995</v>
      </c>
      <c r="B9" s="95">
        <v>857.00847990155489</v>
      </c>
      <c r="C9" s="95">
        <v>417.4538139226853</v>
      </c>
      <c r="D9" s="95">
        <v>1816.7661178023129</v>
      </c>
      <c r="E9" s="95">
        <v>603.81602299217047</v>
      </c>
      <c r="F9" s="95">
        <v>417.20980289281147</v>
      </c>
      <c r="G9" s="147">
        <v>1884.9548585981836</v>
      </c>
      <c r="H9" s="95">
        <v>610.10431732806762</v>
      </c>
      <c r="I9" s="95">
        <v>603.81602299217047</v>
      </c>
      <c r="J9" s="95">
        <v>800.2480227348367</v>
      </c>
      <c r="K9" s="95">
        <f t="shared" si="27"/>
        <v>597.04242700909947</v>
      </c>
      <c r="L9" s="2"/>
      <c r="M9" s="2">
        <f t="shared" si="6"/>
        <v>1995</v>
      </c>
      <c r="N9" s="95">
        <f t="shared" si="1"/>
        <v>857.00847990155489</v>
      </c>
      <c r="O9" s="95">
        <f t="shared" ref="O9:O38" si="28">AVERAGE(N4:N8)</f>
        <v>870.29162374004386</v>
      </c>
      <c r="P9" s="95"/>
      <c r="Q9" s="95"/>
      <c r="R9" s="95"/>
      <c r="S9" s="56">
        <f t="shared" si="7"/>
        <v>-9.4052153492780732E-3</v>
      </c>
      <c r="T9" s="2">
        <f t="shared" si="8"/>
        <v>1995</v>
      </c>
      <c r="U9" s="95">
        <f t="shared" si="2"/>
        <v>417.4538139226853</v>
      </c>
      <c r="V9" s="95">
        <f t="shared" ref="V9:V38" si="29">AVERAGE(U4:U8)</f>
        <v>423.63595431034173</v>
      </c>
      <c r="W9" s="95"/>
      <c r="X9" s="95"/>
      <c r="Y9" s="95"/>
      <c r="Z9" s="56">
        <f t="shared" si="9"/>
        <v>8.3703565542641023E-3</v>
      </c>
      <c r="AA9" s="2">
        <f t="shared" si="10"/>
        <v>1995</v>
      </c>
      <c r="AB9" s="95">
        <f t="shared" si="3"/>
        <v>1816.7661178023129</v>
      </c>
      <c r="AC9" s="95">
        <f t="shared" ref="AC9:AC38" si="30">AVERAGE(AB4:AB8)</f>
        <v>1705.2485174021554</v>
      </c>
      <c r="AD9" s="95"/>
      <c r="AE9" s="95"/>
      <c r="AF9" s="95"/>
      <c r="AG9" s="56">
        <f t="shared" si="11"/>
        <v>6.1498769593635982E-2</v>
      </c>
      <c r="AH9" s="2">
        <f t="shared" si="12"/>
        <v>1995</v>
      </c>
      <c r="AI9" s="95">
        <f t="shared" si="4"/>
        <v>603.81602299217047</v>
      </c>
      <c r="AJ9" s="95">
        <f t="shared" ref="AJ9:AJ38" si="31">AVERAGE(AI4:AI8)</f>
        <v>607.70154912881583</v>
      </c>
      <c r="AK9" s="95"/>
      <c r="AL9" s="95"/>
      <c r="AM9" s="95"/>
      <c r="AN9" s="56">
        <f t="shared" si="13"/>
        <v>5.5041234629227276E-4</v>
      </c>
      <c r="AO9" s="2">
        <f t="shared" si="14"/>
        <v>1995</v>
      </c>
      <c r="AP9" s="95">
        <f t="shared" si="5"/>
        <v>417.20980289281147</v>
      </c>
      <c r="AQ9" s="95">
        <f t="shared" ref="AQ9:AQ38" si="32">AVERAGE(AP4:AP8)</f>
        <v>553.20857249780227</v>
      </c>
      <c r="AR9" s="95"/>
      <c r="AS9" s="95"/>
      <c r="AT9" s="95"/>
      <c r="AU9" s="56">
        <f t="shared" si="15"/>
        <v>5.3084964777380339E-2</v>
      </c>
      <c r="AV9" s="2">
        <f t="shared" si="16"/>
        <v>1995</v>
      </c>
      <c r="AW9" s="95">
        <f t="shared" si="17"/>
        <v>1884.9548585981836</v>
      </c>
      <c r="AX9" s="95">
        <f t="shared" ref="AX9:AX38" si="33">AVERAGE(AW4:AW8)</f>
        <v>1176.9815722588341</v>
      </c>
      <c r="AY9" s="95"/>
      <c r="AZ9" s="95"/>
      <c r="BA9" s="95"/>
      <c r="BB9" s="56">
        <f t="shared" si="18"/>
        <v>0.55764630874596621</v>
      </c>
      <c r="BC9" s="2">
        <f t="shared" si="19"/>
        <v>1995</v>
      </c>
      <c r="BD9" s="95">
        <f t="shared" si="0"/>
        <v>610.10431732806762</v>
      </c>
      <c r="BE9" s="95">
        <f t="shared" ref="BE9:BE38" si="34">AVERAGE(BD4:BD8)</f>
        <v>623.99650246767226</v>
      </c>
      <c r="BF9" s="95"/>
      <c r="BG9" s="95"/>
      <c r="BH9" s="95"/>
      <c r="BI9" s="56">
        <f t="shared" si="20"/>
        <v>5.0439478078230238E-3</v>
      </c>
      <c r="BJ9" s="134">
        <f>ABS(BE9-BD9)/BD9</f>
        <v>2.2770180025024272E-2</v>
      </c>
      <c r="BL9" s="2">
        <f t="shared" si="21"/>
        <v>1995</v>
      </c>
      <c r="BM9" s="95">
        <f t="shared" si="22"/>
        <v>603.81602299217047</v>
      </c>
      <c r="BN9" s="95">
        <f t="shared" ref="BN9:BN38" si="35">AVERAGE(BM4:BM8)</f>
        <v>607.70154912881583</v>
      </c>
      <c r="BO9" s="95"/>
      <c r="BP9" s="95"/>
      <c r="BQ9" s="95"/>
      <c r="BR9" s="56">
        <f t="shared" si="23"/>
        <v>5.5041234629227276E-4</v>
      </c>
      <c r="BS9" s="134">
        <f>ABS(BN9-BM9)/BM9</f>
        <v>6.4349503635078862E-3</v>
      </c>
      <c r="BU9" s="2">
        <f t="shared" si="24"/>
        <v>1995</v>
      </c>
      <c r="BV9" s="95">
        <f t="shared" si="25"/>
        <v>800.2480227348367</v>
      </c>
      <c r="BW9" s="95">
        <f t="shared" ref="BW9:BW38" si="36">AVERAGE(BV4:BV8)</f>
        <v>859.57093691754176</v>
      </c>
      <c r="BX9" s="95"/>
      <c r="BY9" s="95"/>
      <c r="BZ9" s="95"/>
      <c r="CA9" s="56">
        <f t="shared" si="26"/>
        <v>-2.7702199329233346E-2</v>
      </c>
      <c r="CB9" s="134">
        <f>ABS(BW9-BV9)/BV9</f>
        <v>7.4130660117059474E-2</v>
      </c>
    </row>
    <row r="10" spans="1:80" ht="1" customHeight="1">
      <c r="A10" s="2">
        <v>1996</v>
      </c>
      <c r="B10" s="95">
        <v>858.04471360388914</v>
      </c>
      <c r="C10" s="95">
        <v>410.81307796915883</v>
      </c>
      <c r="D10" s="95">
        <v>1836.0945563279824</v>
      </c>
      <c r="E10" s="95">
        <v>605.33589362763132</v>
      </c>
      <c r="F10" s="95">
        <v>325.79381323547125</v>
      </c>
      <c r="G10" s="147">
        <v>1630.3164351320113</v>
      </c>
      <c r="H10" s="95">
        <v>602.39044540472401</v>
      </c>
      <c r="I10" s="95">
        <v>605.33589362763132</v>
      </c>
      <c r="J10" s="95">
        <v>703.52587554513514</v>
      </c>
      <c r="K10" s="95">
        <f t="shared" si="27"/>
        <v>600.10431732806762</v>
      </c>
      <c r="L10" s="2"/>
      <c r="M10" s="2">
        <f t="shared" si="6"/>
        <v>1996</v>
      </c>
      <c r="N10" s="95">
        <f t="shared" si="1"/>
        <v>858.04471360388914</v>
      </c>
      <c r="O10" s="95">
        <f t="shared" si="28"/>
        <v>867.5262831595719</v>
      </c>
      <c r="P10" s="95"/>
      <c r="Q10" s="95"/>
      <c r="R10" s="95"/>
      <c r="S10" s="56">
        <f t="shared" si="7"/>
        <v>1.2091288786935106E-3</v>
      </c>
      <c r="T10" s="2">
        <f t="shared" si="8"/>
        <v>1996</v>
      </c>
      <c r="U10" s="95">
        <f t="shared" si="2"/>
        <v>410.81307796915883</v>
      </c>
      <c r="V10" s="95">
        <f t="shared" si="29"/>
        <v>421.90170758561982</v>
      </c>
      <c r="W10" s="95"/>
      <c r="X10" s="95"/>
      <c r="Y10" s="95"/>
      <c r="Z10" s="56">
        <f t="shared" si="9"/>
        <v>-1.590771417591208E-2</v>
      </c>
      <c r="AA10" s="2">
        <f t="shared" si="10"/>
        <v>1996</v>
      </c>
      <c r="AB10" s="95">
        <f t="shared" si="3"/>
        <v>1836.0945563279824</v>
      </c>
      <c r="AC10" s="95">
        <f t="shared" si="30"/>
        <v>1713.389134615308</v>
      </c>
      <c r="AD10" s="95"/>
      <c r="AE10" s="95"/>
      <c r="AF10" s="95"/>
      <c r="AG10" s="56">
        <f t="shared" si="11"/>
        <v>1.0638925030730162E-2</v>
      </c>
      <c r="AH10" s="2">
        <f t="shared" si="12"/>
        <v>1996</v>
      </c>
      <c r="AI10" s="95">
        <f t="shared" si="4"/>
        <v>605.33589362763132</v>
      </c>
      <c r="AJ10" s="95">
        <f t="shared" si="31"/>
        <v>605.99830312428662</v>
      </c>
      <c r="AK10" s="95"/>
      <c r="AL10" s="95"/>
      <c r="AM10" s="95"/>
      <c r="AN10" s="56">
        <f t="shared" si="13"/>
        <v>2.5171088172342149E-3</v>
      </c>
      <c r="AO10" s="2">
        <f t="shared" si="14"/>
        <v>1996</v>
      </c>
      <c r="AP10" s="95">
        <f t="shared" si="5"/>
        <v>325.79381323547125</v>
      </c>
      <c r="AQ10" s="95">
        <f t="shared" si="32"/>
        <v>453.32019466135279</v>
      </c>
      <c r="AR10" s="95"/>
      <c r="AS10" s="95"/>
      <c r="AT10" s="95"/>
      <c r="AU10" s="56">
        <f t="shared" si="15"/>
        <v>-0.21911275579693557</v>
      </c>
      <c r="AV10" s="2">
        <f t="shared" si="16"/>
        <v>1996</v>
      </c>
      <c r="AW10" s="95">
        <f t="shared" si="17"/>
        <v>1630.3164351320113</v>
      </c>
      <c r="AX10" s="95">
        <f t="shared" si="33"/>
        <v>1187.3118671484474</v>
      </c>
      <c r="AY10" s="95"/>
      <c r="AZ10" s="95"/>
      <c r="BA10" s="95"/>
      <c r="BB10" s="56">
        <f t="shared" si="18"/>
        <v>-0.13508993189128338</v>
      </c>
      <c r="BC10" s="2">
        <f t="shared" si="19"/>
        <v>1996</v>
      </c>
      <c r="BD10" s="95">
        <f t="shared" si="0"/>
        <v>602.39044540472401</v>
      </c>
      <c r="BE10" s="95">
        <f t="shared" si="34"/>
        <v>617.66762634626139</v>
      </c>
      <c r="BF10" s="95"/>
      <c r="BG10" s="95"/>
      <c r="BH10" s="95"/>
      <c r="BI10" s="56">
        <f t="shared" si="20"/>
        <v>-1.2643529482181504E-2</v>
      </c>
      <c r="BJ10" s="134">
        <f t="shared" ref="BJ10:BJ38" si="37">ABS(BE10-BD10)/BD10</f>
        <v>2.5360928378060851E-2</v>
      </c>
      <c r="BL10" s="2">
        <f t="shared" si="21"/>
        <v>1996</v>
      </c>
      <c r="BM10" s="95">
        <f t="shared" si="22"/>
        <v>605.33589362763132</v>
      </c>
      <c r="BN10" s="95">
        <f t="shared" si="35"/>
        <v>605.99830312428662</v>
      </c>
      <c r="BO10" s="95"/>
      <c r="BP10" s="95"/>
      <c r="BQ10" s="95"/>
      <c r="BR10" s="56">
        <f t="shared" si="23"/>
        <v>2.5171088172342149E-3</v>
      </c>
      <c r="BS10" s="134">
        <f t="shared" ref="BS10:BS38" si="38">ABS(BN10-BM10)/BM10</f>
        <v>1.0942841877187237E-3</v>
      </c>
      <c r="BU10" s="2">
        <f t="shared" si="24"/>
        <v>1996</v>
      </c>
      <c r="BV10" s="95">
        <f t="shared" si="25"/>
        <v>703.52587554513514</v>
      </c>
      <c r="BW10" s="95">
        <f t="shared" si="36"/>
        <v>834.22018722432585</v>
      </c>
      <c r="BX10" s="95"/>
      <c r="BY10" s="95"/>
      <c r="BZ10" s="95"/>
      <c r="CA10" s="56">
        <f t="shared" si="26"/>
        <v>-0.12086521233648906</v>
      </c>
      <c r="CB10" s="134">
        <f t="shared" ref="CB10:CB38" si="39">ABS(BW10-BV10)/BV10</f>
        <v>0.18577044032377732</v>
      </c>
    </row>
    <row r="11" spans="1:80" ht="1" customHeight="1">
      <c r="A11" s="2">
        <v>1997</v>
      </c>
      <c r="B11" s="95">
        <v>861.0952164418926</v>
      </c>
      <c r="C11" s="95">
        <v>399.06300365505518</v>
      </c>
      <c r="D11" s="95">
        <v>1638.4165168432207</v>
      </c>
      <c r="E11" s="95">
        <v>606.21896638670694</v>
      </c>
      <c r="F11" s="95">
        <v>273.02066691958208</v>
      </c>
      <c r="G11" s="147">
        <v>1755.3616598192932</v>
      </c>
      <c r="H11" s="95">
        <v>587.45108075099927</v>
      </c>
      <c r="I11" s="95">
        <v>606.21896638670694</v>
      </c>
      <c r="J11" s="95">
        <v>717.86712744658462</v>
      </c>
      <c r="K11" s="95">
        <f t="shared" si="27"/>
        <v>592.39044540472401</v>
      </c>
      <c r="L11" s="2"/>
      <c r="M11" s="2">
        <f t="shared" si="6"/>
        <v>1997</v>
      </c>
      <c r="N11" s="95">
        <f t="shared" si="1"/>
        <v>861.0952164418926</v>
      </c>
      <c r="O11" s="95">
        <f t="shared" si="28"/>
        <v>864.14943489514678</v>
      </c>
      <c r="P11" s="95"/>
      <c r="Q11" s="95"/>
      <c r="R11" s="95"/>
      <c r="S11" s="56">
        <f t="shared" si="7"/>
        <v>3.5551793393038267E-3</v>
      </c>
      <c r="T11" s="2">
        <f t="shared" si="8"/>
        <v>1997</v>
      </c>
      <c r="U11" s="95">
        <f t="shared" si="2"/>
        <v>399.06300365505518</v>
      </c>
      <c r="V11" s="95">
        <f t="shared" si="29"/>
        <v>418.14025284507068</v>
      </c>
      <c r="W11" s="95"/>
      <c r="X11" s="95"/>
      <c r="Y11" s="95"/>
      <c r="Z11" s="56">
        <f t="shared" si="9"/>
        <v>-2.8601996733379931E-2</v>
      </c>
      <c r="AA11" s="2">
        <f t="shared" si="10"/>
        <v>1997</v>
      </c>
      <c r="AB11" s="95">
        <f t="shared" si="3"/>
        <v>1638.4165168432207</v>
      </c>
      <c r="AC11" s="95">
        <f t="shared" si="30"/>
        <v>1732.7302008262006</v>
      </c>
      <c r="AD11" s="95"/>
      <c r="AE11" s="95"/>
      <c r="AF11" s="95"/>
      <c r="AG11" s="56">
        <f t="shared" si="11"/>
        <v>-0.10766223275564812</v>
      </c>
      <c r="AH11" s="2">
        <f t="shared" si="12"/>
        <v>1997</v>
      </c>
      <c r="AI11" s="95">
        <f t="shared" si="4"/>
        <v>606.21896638670694</v>
      </c>
      <c r="AJ11" s="95">
        <f t="shared" si="31"/>
        <v>604.72517968756711</v>
      </c>
      <c r="AK11" s="95"/>
      <c r="AL11" s="95"/>
      <c r="AM11" s="95"/>
      <c r="AN11" s="56">
        <f t="shared" si="13"/>
        <v>1.4588144670946157E-3</v>
      </c>
      <c r="AO11" s="2">
        <f t="shared" si="14"/>
        <v>1997</v>
      </c>
      <c r="AP11" s="95">
        <f t="shared" si="5"/>
        <v>273.02066691958208</v>
      </c>
      <c r="AQ11" s="95">
        <f t="shared" si="32"/>
        <v>413.65569245160088</v>
      </c>
      <c r="AR11" s="95"/>
      <c r="AS11" s="95"/>
      <c r="AT11" s="95"/>
      <c r="AU11" s="56">
        <f t="shared" si="15"/>
        <v>-0.16198326724438672</v>
      </c>
      <c r="AV11" s="2">
        <f t="shared" si="16"/>
        <v>1997</v>
      </c>
      <c r="AW11" s="95">
        <f t="shared" si="17"/>
        <v>1755.3616598192932</v>
      </c>
      <c r="AX11" s="95">
        <f t="shared" si="33"/>
        <v>1316.7187708805941</v>
      </c>
      <c r="AY11" s="95"/>
      <c r="AZ11" s="95"/>
      <c r="BA11" s="95"/>
      <c r="BB11" s="56">
        <f t="shared" si="18"/>
        <v>7.6699971853719795E-2</v>
      </c>
      <c r="BC11" s="2">
        <f t="shared" si="19"/>
        <v>1997</v>
      </c>
      <c r="BD11" s="95">
        <f t="shared" si="0"/>
        <v>587.45108075099927</v>
      </c>
      <c r="BE11" s="95">
        <f t="shared" si="34"/>
        <v>610.02383789275518</v>
      </c>
      <c r="BF11" s="95"/>
      <c r="BG11" s="95"/>
      <c r="BH11" s="95"/>
      <c r="BI11" s="56">
        <f t="shared" si="20"/>
        <v>-2.4800135473077689E-2</v>
      </c>
      <c r="BJ11" s="134">
        <f t="shared" si="37"/>
        <v>3.8424913803714232E-2</v>
      </c>
      <c r="BL11" s="2">
        <f t="shared" si="21"/>
        <v>1997</v>
      </c>
      <c r="BM11" s="95">
        <f t="shared" si="22"/>
        <v>606.21896638670694</v>
      </c>
      <c r="BN11" s="95">
        <f t="shared" si="35"/>
        <v>604.72517968756711</v>
      </c>
      <c r="BO11" s="95"/>
      <c r="BP11" s="95"/>
      <c r="BQ11" s="95"/>
      <c r="BR11" s="56">
        <f t="shared" si="23"/>
        <v>1.4588144670946157E-3</v>
      </c>
      <c r="BS11" s="134">
        <f t="shared" si="38"/>
        <v>2.4641041966129216E-3</v>
      </c>
      <c r="BU11" s="2">
        <f t="shared" si="24"/>
        <v>1997</v>
      </c>
      <c r="BV11" s="95">
        <f t="shared" si="25"/>
        <v>717.86712744658462</v>
      </c>
      <c r="BW11" s="95">
        <f t="shared" si="36"/>
        <v>793.34257660777007</v>
      </c>
      <c r="BX11" s="95"/>
      <c r="BY11" s="95"/>
      <c r="BZ11" s="95"/>
      <c r="CA11" s="56">
        <f t="shared" si="26"/>
        <v>2.0384825064660106E-2</v>
      </c>
      <c r="CB11" s="134">
        <f t="shared" si="39"/>
        <v>0.1051384668213568</v>
      </c>
    </row>
    <row r="12" spans="1:80" ht="1" customHeight="1">
      <c r="A12" s="2">
        <v>1998</v>
      </c>
      <c r="B12" s="95">
        <v>864.52482611405105</v>
      </c>
      <c r="C12" s="95">
        <v>403.42973581715984</v>
      </c>
      <c r="D12" s="95">
        <v>1797.5796098453848</v>
      </c>
      <c r="E12" s="95">
        <v>604.79731154875515</v>
      </c>
      <c r="F12" s="95">
        <v>269.43643175652591</v>
      </c>
      <c r="G12" s="147">
        <v>1409.5358128409337</v>
      </c>
      <c r="H12" s="95">
        <v>587.07741786568204</v>
      </c>
      <c r="I12" s="95">
        <v>604.79731154875515</v>
      </c>
      <c r="J12" s="95">
        <v>726.95962506867966</v>
      </c>
      <c r="K12" s="95">
        <f t="shared" si="27"/>
        <v>577.45108075099927</v>
      </c>
      <c r="L12" s="2"/>
      <c r="M12" s="2">
        <f t="shared" si="6"/>
        <v>1998</v>
      </c>
      <c r="N12" s="95">
        <f t="shared" si="1"/>
        <v>864.52482611405105</v>
      </c>
      <c r="O12" s="95">
        <f t="shared" si="28"/>
        <v>861.138790797311</v>
      </c>
      <c r="P12" s="95"/>
      <c r="Q12" s="95"/>
      <c r="R12" s="95"/>
      <c r="S12" s="56">
        <f t="shared" si="7"/>
        <v>3.982846039175314E-3</v>
      </c>
      <c r="T12" s="2">
        <f t="shared" si="8"/>
        <v>1998</v>
      </c>
      <c r="U12" s="95">
        <f t="shared" si="2"/>
        <v>403.42973581715984</v>
      </c>
      <c r="V12" s="95">
        <f t="shared" si="29"/>
        <v>412.96931608230761</v>
      </c>
      <c r="W12" s="95"/>
      <c r="X12" s="95"/>
      <c r="Y12" s="95"/>
      <c r="Z12" s="56">
        <f t="shared" si="9"/>
        <v>1.094246302490931E-2</v>
      </c>
      <c r="AA12" s="2">
        <f t="shared" si="10"/>
        <v>1998</v>
      </c>
      <c r="AB12" s="95">
        <f t="shared" si="3"/>
        <v>1797.5796098453848</v>
      </c>
      <c r="AC12" s="95">
        <f t="shared" si="30"/>
        <v>1727.3722545329408</v>
      </c>
      <c r="AD12" s="95"/>
      <c r="AE12" s="95"/>
      <c r="AF12" s="95"/>
      <c r="AG12" s="56">
        <f t="shared" si="11"/>
        <v>9.7144463184994922E-2</v>
      </c>
      <c r="AH12" s="2">
        <f t="shared" si="12"/>
        <v>1998</v>
      </c>
      <c r="AI12" s="95">
        <f t="shared" si="4"/>
        <v>604.79731154875515</v>
      </c>
      <c r="AJ12" s="95">
        <f t="shared" si="31"/>
        <v>604.69421111318047</v>
      </c>
      <c r="AK12" s="95"/>
      <c r="AL12" s="95"/>
      <c r="AM12" s="95"/>
      <c r="AN12" s="56">
        <f t="shared" si="13"/>
        <v>-2.3451177161700754E-3</v>
      </c>
      <c r="AO12" s="2">
        <f t="shared" si="14"/>
        <v>1998</v>
      </c>
      <c r="AP12" s="95">
        <f t="shared" si="5"/>
        <v>269.43643175652591</v>
      </c>
      <c r="AQ12" s="95">
        <f t="shared" si="32"/>
        <v>369.94905515844005</v>
      </c>
      <c r="AR12" s="95"/>
      <c r="AS12" s="95"/>
      <c r="AT12" s="95"/>
      <c r="AU12" s="56">
        <f t="shared" si="15"/>
        <v>-1.3128072696825921E-2</v>
      </c>
      <c r="AV12" s="2">
        <f t="shared" si="16"/>
        <v>1998</v>
      </c>
      <c r="AW12" s="95">
        <f t="shared" si="17"/>
        <v>1409.5358128409337</v>
      </c>
      <c r="AX12" s="95">
        <f t="shared" si="33"/>
        <v>1471.1695614902983</v>
      </c>
      <c r="AY12" s="95"/>
      <c r="AZ12" s="95"/>
      <c r="BA12" s="95"/>
      <c r="BB12" s="56">
        <f t="shared" si="18"/>
        <v>-0.19701116578674782</v>
      </c>
      <c r="BC12" s="2">
        <f t="shared" si="19"/>
        <v>1998</v>
      </c>
      <c r="BD12" s="95">
        <f t="shared" si="0"/>
        <v>587.07741786568204</v>
      </c>
      <c r="BE12" s="95">
        <f t="shared" si="34"/>
        <v>602.8739373471052</v>
      </c>
      <c r="BF12" s="95"/>
      <c r="BG12" s="95"/>
      <c r="BH12" s="95"/>
      <c r="BI12" s="56">
        <f t="shared" si="20"/>
        <v>-6.3607489638040082E-4</v>
      </c>
      <c r="BJ12" s="134">
        <f t="shared" si="37"/>
        <v>2.6907046670013902E-2</v>
      </c>
      <c r="BL12" s="2">
        <f t="shared" si="21"/>
        <v>1998</v>
      </c>
      <c r="BM12" s="95">
        <f t="shared" si="22"/>
        <v>604.79731154875515</v>
      </c>
      <c r="BN12" s="95">
        <f t="shared" si="35"/>
        <v>604.69421111318047</v>
      </c>
      <c r="BO12" s="95"/>
      <c r="BP12" s="95"/>
      <c r="BQ12" s="95"/>
      <c r="BR12" s="56">
        <f t="shared" si="23"/>
        <v>-2.3451177161700754E-3</v>
      </c>
      <c r="BS12" s="134">
        <f t="shared" si="38"/>
        <v>1.7047105469211924E-4</v>
      </c>
      <c r="BU12" s="2">
        <f t="shared" si="24"/>
        <v>1998</v>
      </c>
      <c r="BV12" s="95">
        <f t="shared" si="25"/>
        <v>726.95962506867966</v>
      </c>
      <c r="BW12" s="95">
        <f t="shared" si="36"/>
        <v>775.43696724754591</v>
      </c>
      <c r="BX12" s="95"/>
      <c r="BY12" s="95"/>
      <c r="BZ12" s="95"/>
      <c r="CA12" s="56">
        <f t="shared" si="26"/>
        <v>1.2665989671983624E-2</v>
      </c>
      <c r="CB12" s="134">
        <f t="shared" si="39"/>
        <v>6.6685054447537362E-2</v>
      </c>
    </row>
    <row r="13" spans="1:80" ht="1" customHeight="1">
      <c r="A13" s="2">
        <v>1999</v>
      </c>
      <c r="B13" s="95">
        <v>854.27998637042162</v>
      </c>
      <c r="C13" s="95">
        <v>399.58615035400635</v>
      </c>
      <c r="D13" s="95">
        <v>1575.2339919709975</v>
      </c>
      <c r="E13" s="95">
        <v>611.2287337191359</v>
      </c>
      <c r="F13" s="95">
        <v>317.76004743875012</v>
      </c>
      <c r="G13" s="147">
        <v>1770.4051542813002</v>
      </c>
      <c r="H13" s="95">
        <v>566.72536451599149</v>
      </c>
      <c r="I13" s="95">
        <v>611.2287337191359</v>
      </c>
      <c r="J13" s="95">
        <v>637.70485494774016</v>
      </c>
      <c r="K13" s="95">
        <f t="shared" si="27"/>
        <v>577.07741786568204</v>
      </c>
      <c r="L13" s="2"/>
      <c r="M13" s="2">
        <f t="shared" si="6"/>
        <v>1999</v>
      </c>
      <c r="N13" s="95">
        <f t="shared" si="1"/>
        <v>854.27998637042162</v>
      </c>
      <c r="O13" s="95">
        <f t="shared" si="28"/>
        <v>861.16371887324567</v>
      </c>
      <c r="P13" s="95">
        <f t="shared" ref="P13:P38" si="40">SQRT(SUMXMY2(N8:N12,O9:O13)/5)</f>
        <v>6.0938460098119309</v>
      </c>
      <c r="Q13" s="95">
        <f t="shared" ref="Q13:Q39" si="41">O13-P13*_xlfn.NORM.S.INV(1-Q$1/2)</f>
        <v>849.22000016668119</v>
      </c>
      <c r="R13" s="95">
        <f t="shared" ref="R13:R39" si="42">O13+P13*_xlfn.NORM.S.INV(1-Q$1/2)</f>
        <v>873.10743757981015</v>
      </c>
      <c r="S13" s="56">
        <f t="shared" si="7"/>
        <v>-1.1850255116072184E-2</v>
      </c>
      <c r="T13" s="2">
        <f t="shared" si="8"/>
        <v>1999</v>
      </c>
      <c r="U13" s="95">
        <f t="shared" si="2"/>
        <v>399.58615035400635</v>
      </c>
      <c r="V13" s="95">
        <f t="shared" si="29"/>
        <v>408.94964264939802</v>
      </c>
      <c r="W13" s="95">
        <f t="shared" ref="W13:W38" si="43">SQRT(SUMXMY2(U8:U12,V9:V13)/5)</f>
        <v>8.8362655144928404</v>
      </c>
      <c r="X13" s="95">
        <f t="shared" ref="X13:X39" si="44">V13-W13*_xlfn.NORM.S.INV(1-X$1/2)</f>
        <v>391.63088048315876</v>
      </c>
      <c r="Y13" s="95">
        <f t="shared" ref="Y13:Y39" si="45">V13+W13*_xlfn.NORM.S.INV(1-X$1/2)</f>
        <v>426.26840481563727</v>
      </c>
      <c r="Z13" s="56">
        <f t="shared" si="9"/>
        <v>-9.5272735792967245E-3</v>
      </c>
      <c r="AA13" s="2">
        <f t="shared" si="10"/>
        <v>1999</v>
      </c>
      <c r="AB13" s="95">
        <f t="shared" si="3"/>
        <v>1575.2339919709975</v>
      </c>
      <c r="AC13" s="95">
        <f t="shared" si="30"/>
        <v>1760.0734277390086</v>
      </c>
      <c r="AD13" s="95">
        <f t="shared" ref="AD13:AD38" si="46">SQRT(SUMXMY2(AB8:AB12,AC9:AC13)/5)</f>
        <v>78.396476962823286</v>
      </c>
      <c r="AE13" s="95">
        <f t="shared" ref="AE13:AE39" si="47">AC13-AD13*_xlfn.NORM.S.INV(1-AE$1/2)</f>
        <v>1606.419156377051</v>
      </c>
      <c r="AF13" s="95">
        <f t="shared" ref="AF13:AF39" si="48">AC13+AD13*_xlfn.NORM.S.INV(1-AE$1/2)</f>
        <v>1913.7276991009662</v>
      </c>
      <c r="AG13" s="56">
        <f t="shared" si="11"/>
        <v>-0.1236916666480834</v>
      </c>
      <c r="AH13" s="2">
        <f t="shared" si="12"/>
        <v>1999</v>
      </c>
      <c r="AI13" s="95">
        <f t="shared" si="4"/>
        <v>611.2287337191359</v>
      </c>
      <c r="AJ13" s="95">
        <f t="shared" si="31"/>
        <v>604.73041051623773</v>
      </c>
      <c r="AK13" s="95">
        <f t="shared" ref="AK13:AK38" si="49">SQRT(SUMXMY2(AI8:AI12,AJ9:AJ13)/5)</f>
        <v>2.2473802848348527</v>
      </c>
      <c r="AL13" s="95">
        <f t="shared" ref="AL13:AL39" si="50">AJ13-AK13*_xlfn.NORM.S.INV(1-AL$1/2)</f>
        <v>600.32562609839601</v>
      </c>
      <c r="AM13" s="95">
        <f t="shared" ref="AM13:AM39" si="51">AJ13+AK13*_xlfn.NORM.S.INV(1-AL$1/2)</f>
        <v>609.13519493407944</v>
      </c>
      <c r="AN13" s="56">
        <f t="shared" si="13"/>
        <v>1.0634012499016077E-2</v>
      </c>
      <c r="AO13" s="2">
        <f t="shared" si="14"/>
        <v>1999</v>
      </c>
      <c r="AP13" s="95">
        <f t="shared" si="5"/>
        <v>317.76004743875012</v>
      </c>
      <c r="AQ13" s="95">
        <f t="shared" si="32"/>
        <v>336.3278773692615</v>
      </c>
      <c r="AR13" s="95">
        <f t="shared" ref="AR13:AR38" si="52">SQRT(SUMXMY2(AP8:AP12,AQ9:AQ13)/5)</f>
        <v>97.520908315085833</v>
      </c>
      <c r="AS13" s="95">
        <f t="shared" ref="AS13:AS39" si="53">AQ13-AR13*_xlfn.NORM.S.INV(1-AS$1/2)</f>
        <v>145.19040933206063</v>
      </c>
      <c r="AT13" s="95">
        <f t="shared" ref="AT13:AT39" si="54">AQ13+AR13*_xlfn.NORM.S.INV(1-AS$1/2)</f>
        <v>527.46534540646235</v>
      </c>
      <c r="AU13" s="56">
        <f t="shared" si="15"/>
        <v>0.1793507112872228</v>
      </c>
      <c r="AV13" s="2">
        <f t="shared" si="16"/>
        <v>1999</v>
      </c>
      <c r="AW13" s="95">
        <f t="shared" si="17"/>
        <v>1770.4051542813002</v>
      </c>
      <c r="AX13" s="95">
        <f t="shared" si="33"/>
        <v>1578.0597957775176</v>
      </c>
      <c r="AY13" s="95">
        <f t="shared" ref="AY13:AY38" si="55">SQRT(SUMXMY2(AW8:AW12,AX9:AX13)/5)</f>
        <v>372.91112948529138</v>
      </c>
      <c r="AZ13" s="95">
        <f t="shared" ref="AZ13:AZ39" si="56">AX13-AY13*_xlfn.NORM.S.INV(1-AZ$1/2)</f>
        <v>847.16741255219404</v>
      </c>
      <c r="BA13" s="95">
        <f t="shared" ref="BA13:BA39" si="57">AX13+AY13*_xlfn.NORM.S.INV(1-AZ$1/2)</f>
        <v>2308.9521790028411</v>
      </c>
      <c r="BB13" s="56">
        <f t="shared" si="18"/>
        <v>0.25601998768164025</v>
      </c>
      <c r="BC13" s="2">
        <f t="shared" si="19"/>
        <v>1999</v>
      </c>
      <c r="BD13" s="95">
        <f t="shared" si="0"/>
        <v>566.72536451599149</v>
      </c>
      <c r="BE13" s="95">
        <f t="shared" si="34"/>
        <v>598.81313767171446</v>
      </c>
      <c r="BF13" s="95">
        <f t="shared" ref="BF13:BF38" si="58">SQRT(SUMXMY2(BD8:BD12,BE9:BE13)/5)</f>
        <v>12.478017661357526</v>
      </c>
      <c r="BG13" s="95">
        <f t="shared" ref="BG13:BG39" si="59">BE13-BF13*_xlfn.NORM.S.INV(1-BG$1/2)</f>
        <v>574.35667245699904</v>
      </c>
      <c r="BH13" s="95">
        <f t="shared" ref="BH13:BH39" si="60">BE13+BF13*_xlfn.NORM.S.INV(1-BG$1/2)</f>
        <v>623.26960288642988</v>
      </c>
      <c r="BI13" s="56">
        <f t="shared" si="20"/>
        <v>-3.4666728322953366E-2</v>
      </c>
      <c r="BJ13" s="134">
        <f t="shared" si="37"/>
        <v>5.6619617128178736E-2</v>
      </c>
      <c r="BL13" s="2">
        <f t="shared" si="21"/>
        <v>1999</v>
      </c>
      <c r="BM13" s="95">
        <f t="shared" si="22"/>
        <v>611.2287337191359</v>
      </c>
      <c r="BN13" s="95">
        <f t="shared" si="35"/>
        <v>604.73041051623773</v>
      </c>
      <c r="BO13" s="95">
        <f t="shared" ref="BO13:BO38" si="61">SQRT(SUMXMY2(BM8:BM12,BN9:BN13)/5)</f>
        <v>2.2473802848348527</v>
      </c>
      <c r="BP13" s="95">
        <f t="shared" ref="BP13:BP39" si="62">BN13-BO13*_xlfn.NORM.S.INV(1-BP$1/2)</f>
        <v>600.32562609839601</v>
      </c>
      <c r="BQ13" s="95">
        <f t="shared" ref="BQ13:BQ39" si="63">BN13+BO13*_xlfn.NORM.S.INV(1-BP$1/2)</f>
        <v>609.13519493407944</v>
      </c>
      <c r="BR13" s="56">
        <f t="shared" si="23"/>
        <v>1.0634012499016077E-2</v>
      </c>
      <c r="BS13" s="134">
        <f t="shared" si="38"/>
        <v>1.0631573491903613E-2</v>
      </c>
      <c r="BU13" s="2">
        <f t="shared" si="24"/>
        <v>1999</v>
      </c>
      <c r="BV13" s="95">
        <f t="shared" si="25"/>
        <v>637.70485494774016</v>
      </c>
      <c r="BW13" s="95">
        <f t="shared" si="36"/>
        <v>754.32978415245611</v>
      </c>
      <c r="BX13" s="95">
        <f t="shared" ref="BX13:BX38" si="64">SQRT(SUMXMY2(BV8:BV12,BW9:BW13)/5)</f>
        <v>54.071184588525817</v>
      </c>
      <c r="BY13" s="95">
        <f t="shared" ref="BY13:BY39" si="65">BW13-BX13*_xlfn.NORM.S.INV(1-BY$1/2)</f>
        <v>648.35220975752827</v>
      </c>
      <c r="BZ13" s="95">
        <f t="shared" ref="BZ13:BZ39" si="66">BW13+BX13*_xlfn.NORM.S.INV(1-BY$1/2)</f>
        <v>860.30735854738396</v>
      </c>
      <c r="CA13" s="56">
        <f t="shared" si="26"/>
        <v>-0.12277816682392384</v>
      </c>
      <c r="CB13" s="134">
        <f t="shared" si="39"/>
        <v>0.18288229782141671</v>
      </c>
    </row>
    <row r="14" spans="1:80" ht="15.5">
      <c r="A14" s="2">
        <v>2000</v>
      </c>
      <c r="B14" s="95">
        <v>845.83550750588518</v>
      </c>
      <c r="C14" s="95">
        <v>387.20104793248805</v>
      </c>
      <c r="D14" s="95">
        <v>1463.5788274109657</v>
      </c>
      <c r="E14" s="95">
        <v>635.56439793944844</v>
      </c>
      <c r="F14" s="95">
        <v>211.02420751016243</v>
      </c>
      <c r="G14" s="147">
        <v>997.97791034673412</v>
      </c>
      <c r="H14" s="95">
        <v>556.46192751543117</v>
      </c>
      <c r="I14" s="95">
        <v>633.07698938102794</v>
      </c>
      <c r="J14" s="95">
        <v>580.33066214183395</v>
      </c>
      <c r="K14" s="95">
        <f t="shared" si="27"/>
        <v>556.72536451599149</v>
      </c>
      <c r="L14" s="2"/>
      <c r="M14" s="2">
        <f t="shared" si="6"/>
        <v>2000</v>
      </c>
      <c r="N14" s="95">
        <f t="shared" si="1"/>
        <v>845.83550750588518</v>
      </c>
      <c r="O14" s="95">
        <f t="shared" si="28"/>
        <v>858.99064448636182</v>
      </c>
      <c r="P14" s="95">
        <f t="shared" si="40"/>
        <v>6.0229734834582391</v>
      </c>
      <c r="Q14" s="95">
        <f t="shared" si="41"/>
        <v>847.18583337894393</v>
      </c>
      <c r="R14" s="95">
        <f t="shared" si="42"/>
        <v>870.79545559377971</v>
      </c>
      <c r="S14" s="56">
        <f t="shared" si="7"/>
        <v>-9.8849077577183309E-3</v>
      </c>
      <c r="T14" s="2">
        <f t="shared" si="8"/>
        <v>2000</v>
      </c>
      <c r="U14" s="95">
        <f t="shared" si="2"/>
        <v>387.20104793248805</v>
      </c>
      <c r="V14" s="95">
        <f t="shared" si="29"/>
        <v>406.06915634361309</v>
      </c>
      <c r="W14" s="95">
        <f t="shared" si="43"/>
        <v>8.2383919926304667</v>
      </c>
      <c r="X14" s="95">
        <f t="shared" si="44"/>
        <v>389.92220474753418</v>
      </c>
      <c r="Y14" s="95">
        <f t="shared" si="45"/>
        <v>422.21610793969199</v>
      </c>
      <c r="Z14" s="56">
        <f t="shared" si="9"/>
        <v>-3.0994824046193581E-2</v>
      </c>
      <c r="AA14" s="2">
        <f t="shared" si="10"/>
        <v>2000</v>
      </c>
      <c r="AB14" s="95">
        <f t="shared" si="3"/>
        <v>1463.5788274109657</v>
      </c>
      <c r="AC14" s="95">
        <f t="shared" si="30"/>
        <v>1732.8181585579798</v>
      </c>
      <c r="AD14" s="95">
        <f t="shared" si="46"/>
        <v>105.37893258538706</v>
      </c>
      <c r="AE14" s="95">
        <f t="shared" si="47"/>
        <v>1526.279245961347</v>
      </c>
      <c r="AF14" s="95">
        <f t="shared" si="48"/>
        <v>1939.3570711546126</v>
      </c>
      <c r="AG14" s="56">
        <f t="shared" si="11"/>
        <v>-7.0881637349841764E-2</v>
      </c>
      <c r="AH14" s="2">
        <f t="shared" si="12"/>
        <v>2000</v>
      </c>
      <c r="AI14" s="95">
        <f t="shared" si="4"/>
        <v>635.56439793944844</v>
      </c>
      <c r="AJ14" s="95">
        <f t="shared" si="31"/>
        <v>606.27938565488</v>
      </c>
      <c r="AK14" s="95">
        <f t="shared" si="49"/>
        <v>2.5282689233967943</v>
      </c>
      <c r="AL14" s="95">
        <f t="shared" si="50"/>
        <v>601.32406962179039</v>
      </c>
      <c r="AM14" s="95">
        <f t="shared" si="51"/>
        <v>611.23470168796962</v>
      </c>
      <c r="AN14" s="56">
        <f t="shared" si="13"/>
        <v>3.9814332798521423E-2</v>
      </c>
      <c r="AO14" s="2">
        <f t="shared" si="14"/>
        <v>2000</v>
      </c>
      <c r="AP14" s="95">
        <f t="shared" si="5"/>
        <v>211.02420751016243</v>
      </c>
      <c r="AQ14" s="95">
        <f t="shared" si="32"/>
        <v>320.64415244862823</v>
      </c>
      <c r="AR14" s="95">
        <f t="shared" si="52"/>
        <v>67.678011521497339</v>
      </c>
      <c r="AS14" s="95">
        <f t="shared" si="53"/>
        <v>187.99768732120666</v>
      </c>
      <c r="AT14" s="95">
        <f t="shared" si="54"/>
        <v>453.29061757604984</v>
      </c>
      <c r="AU14" s="56">
        <f t="shared" si="15"/>
        <v>-0.33590075526773566</v>
      </c>
      <c r="AV14" s="2">
        <f t="shared" si="16"/>
        <v>2000</v>
      </c>
      <c r="AW14" s="95">
        <f t="shared" si="17"/>
        <v>997.97791034673412</v>
      </c>
      <c r="AX14" s="95">
        <f t="shared" si="33"/>
        <v>1690.1147841343441</v>
      </c>
      <c r="AY14" s="95">
        <f t="shared" si="55"/>
        <v>374.34242710616269</v>
      </c>
      <c r="AZ14" s="95">
        <f t="shared" si="56"/>
        <v>956.41710912095482</v>
      </c>
      <c r="BA14" s="95">
        <f t="shared" si="57"/>
        <v>2423.8124591477335</v>
      </c>
      <c r="BB14" s="56">
        <f t="shared" si="18"/>
        <v>-0.43629970352641378</v>
      </c>
      <c r="BC14" s="2">
        <f t="shared" si="19"/>
        <v>2000</v>
      </c>
      <c r="BD14" s="95">
        <f t="shared" si="0"/>
        <v>556.46192751543117</v>
      </c>
      <c r="BE14" s="95">
        <f t="shared" si="34"/>
        <v>590.74972517309288</v>
      </c>
      <c r="BF14" s="95">
        <f t="shared" si="58"/>
        <v>14.616660727493494</v>
      </c>
      <c r="BG14" s="95">
        <f t="shared" si="59"/>
        <v>562.10159657296458</v>
      </c>
      <c r="BH14" s="95">
        <f t="shared" si="60"/>
        <v>619.39785377322119</v>
      </c>
      <c r="BI14" s="56">
        <f t="shared" si="20"/>
        <v>-1.8110071726409771E-2</v>
      </c>
      <c r="BJ14" s="134">
        <f t="shared" si="37"/>
        <v>6.1617508695976118E-2</v>
      </c>
      <c r="BL14" s="2">
        <f t="shared" si="21"/>
        <v>2000</v>
      </c>
      <c r="BM14" s="95">
        <f t="shared" si="22"/>
        <v>633.07698938102794</v>
      </c>
      <c r="BN14" s="95">
        <f t="shared" si="35"/>
        <v>606.27938565488</v>
      </c>
      <c r="BO14" s="95">
        <f t="shared" si="61"/>
        <v>2.5282689233967943</v>
      </c>
      <c r="BP14" s="95">
        <f t="shared" si="62"/>
        <v>601.32406962179039</v>
      </c>
      <c r="BQ14" s="95">
        <f t="shared" si="63"/>
        <v>611.23470168796962</v>
      </c>
      <c r="BR14" s="56">
        <f t="shared" si="23"/>
        <v>3.574481115924022E-2</v>
      </c>
      <c r="BS14" s="134">
        <f t="shared" si="38"/>
        <v>4.2329138755064361E-2</v>
      </c>
      <c r="BU14" s="2">
        <f t="shared" si="24"/>
        <v>2000</v>
      </c>
      <c r="BV14" s="95">
        <f t="shared" si="25"/>
        <v>580.33066214183395</v>
      </c>
      <c r="BW14" s="95">
        <f t="shared" si="36"/>
        <v>717.26110114859534</v>
      </c>
      <c r="BX14" s="95">
        <f t="shared" si="64"/>
        <v>62.631870676878712</v>
      </c>
      <c r="BY14" s="95">
        <f t="shared" si="65"/>
        <v>594.50489033754275</v>
      </c>
      <c r="BZ14" s="95">
        <f t="shared" si="66"/>
        <v>840.01731195964794</v>
      </c>
      <c r="CA14" s="56">
        <f t="shared" si="26"/>
        <v>-8.9969822811852396E-2</v>
      </c>
      <c r="CB14" s="134">
        <f t="shared" si="39"/>
        <v>0.23595244563054868</v>
      </c>
    </row>
    <row r="15" spans="1:80" ht="1" customHeight="1">
      <c r="A15" s="2">
        <v>2001</v>
      </c>
      <c r="B15" s="95">
        <v>881.59673958796645</v>
      </c>
      <c r="C15" s="95">
        <v>366.89999637878594</v>
      </c>
      <c r="D15" s="95">
        <v>1346.1583955329022</v>
      </c>
      <c r="E15" s="95">
        <v>640.84648859544075</v>
      </c>
      <c r="F15" s="95">
        <v>221.78145788588139</v>
      </c>
      <c r="G15" s="147">
        <v>911.75842692959532</v>
      </c>
      <c r="H15" s="95">
        <v>554.44406154261401</v>
      </c>
      <c r="I15" s="95">
        <v>646.36227102623684</v>
      </c>
      <c r="J15" s="95">
        <v>562.00885828423839</v>
      </c>
      <c r="K15" s="95">
        <f t="shared" si="27"/>
        <v>546.46192751543117</v>
      </c>
      <c r="L15" s="2"/>
      <c r="M15" s="2">
        <f t="shared" si="6"/>
        <v>2001</v>
      </c>
      <c r="N15" s="95">
        <f t="shared" si="1"/>
        <v>881.59673958796645</v>
      </c>
      <c r="O15" s="95">
        <f t="shared" si="28"/>
        <v>856.75605000722794</v>
      </c>
      <c r="P15" s="95">
        <f t="shared" si="40"/>
        <v>6.1646591318820834</v>
      </c>
      <c r="Q15" s="95">
        <f t="shared" si="41"/>
        <v>844.67354013177305</v>
      </c>
      <c r="R15" s="95">
        <f t="shared" si="42"/>
        <v>868.83855988268283</v>
      </c>
      <c r="S15" s="56">
        <f t="shared" si="7"/>
        <v>4.2279180484548817E-2</v>
      </c>
      <c r="T15" s="2">
        <f t="shared" si="8"/>
        <v>2001</v>
      </c>
      <c r="U15" s="95">
        <f t="shared" si="2"/>
        <v>366.89999637878594</v>
      </c>
      <c r="V15" s="95">
        <f t="shared" si="29"/>
        <v>400.01860314557365</v>
      </c>
      <c r="W15" s="95">
        <f t="shared" si="43"/>
        <v>9.8372910572465386</v>
      </c>
      <c r="X15" s="95">
        <f t="shared" si="44"/>
        <v>380.73786696793246</v>
      </c>
      <c r="Y15" s="95">
        <f t="shared" si="45"/>
        <v>419.29933932321484</v>
      </c>
      <c r="Z15" s="56">
        <f t="shared" si="9"/>
        <v>-5.2430259840726912E-2</v>
      </c>
      <c r="AA15" s="2">
        <f t="shared" si="10"/>
        <v>2001</v>
      </c>
      <c r="AB15" s="95">
        <f t="shared" si="3"/>
        <v>1346.1583955329022</v>
      </c>
      <c r="AC15" s="95">
        <f t="shared" si="30"/>
        <v>1662.1807004797101</v>
      </c>
      <c r="AD15" s="95">
        <f t="shared" si="46"/>
        <v>129.83027420270292</v>
      </c>
      <c r="AE15" s="95">
        <f t="shared" si="47"/>
        <v>1407.7180389394528</v>
      </c>
      <c r="AF15" s="95">
        <f t="shared" si="48"/>
        <v>1916.6433620199675</v>
      </c>
      <c r="AG15" s="56">
        <f t="shared" si="11"/>
        <v>-8.0228293603958001E-2</v>
      </c>
      <c r="AH15" s="2">
        <f t="shared" si="12"/>
        <v>2001</v>
      </c>
      <c r="AI15" s="95">
        <f t="shared" si="4"/>
        <v>640.84648859544075</v>
      </c>
      <c r="AJ15" s="95">
        <f t="shared" si="31"/>
        <v>612.6290606443356</v>
      </c>
      <c r="AK15" s="95">
        <f t="shared" si="49"/>
        <v>10.518821882802609</v>
      </c>
      <c r="AL15" s="95">
        <f t="shared" si="50"/>
        <v>592.01254859425069</v>
      </c>
      <c r="AM15" s="95">
        <f t="shared" si="51"/>
        <v>633.2455726944205</v>
      </c>
      <c r="AN15" s="56">
        <f t="shared" si="13"/>
        <v>8.3108661736202016E-3</v>
      </c>
      <c r="AO15" s="2">
        <f t="shared" si="14"/>
        <v>2001</v>
      </c>
      <c r="AP15" s="95">
        <f t="shared" si="5"/>
        <v>221.78145788588139</v>
      </c>
      <c r="AQ15" s="95">
        <f t="shared" si="32"/>
        <v>279.40703337209834</v>
      </c>
      <c r="AR15" s="95">
        <f t="shared" si="52"/>
        <v>72.489746442798307</v>
      </c>
      <c r="AS15" s="95">
        <f t="shared" si="53"/>
        <v>137.32974109577319</v>
      </c>
      <c r="AT15" s="95">
        <f t="shared" si="54"/>
        <v>421.48432564842346</v>
      </c>
      <c r="AU15" s="56">
        <f t="shared" si="15"/>
        <v>5.0976380874222293E-2</v>
      </c>
      <c r="AV15" s="2">
        <f t="shared" si="16"/>
        <v>2001</v>
      </c>
      <c r="AW15" s="95">
        <f t="shared" si="17"/>
        <v>911.75842692959532</v>
      </c>
      <c r="AX15" s="95">
        <f t="shared" si="33"/>
        <v>1512.7193944840546</v>
      </c>
      <c r="AY15" s="95">
        <f t="shared" si="55"/>
        <v>309.48806620986807</v>
      </c>
      <c r="AZ15" s="95">
        <f t="shared" si="56"/>
        <v>906.13393106776573</v>
      </c>
      <c r="BA15" s="95">
        <f t="shared" si="57"/>
        <v>2119.3048579003434</v>
      </c>
      <c r="BB15" s="56">
        <f t="shared" si="18"/>
        <v>-8.6394180195013548E-2</v>
      </c>
      <c r="BC15" s="2">
        <f t="shared" si="19"/>
        <v>2001</v>
      </c>
      <c r="BD15" s="95">
        <f t="shared" si="0"/>
        <v>554.44406154261401</v>
      </c>
      <c r="BE15" s="95">
        <f t="shared" si="34"/>
        <v>580.02124721056555</v>
      </c>
      <c r="BF15" s="95">
        <f t="shared" si="58"/>
        <v>17.697862895310884</v>
      </c>
      <c r="BG15" s="95">
        <f t="shared" si="59"/>
        <v>545.33407333242849</v>
      </c>
      <c r="BH15" s="95">
        <f t="shared" si="60"/>
        <v>614.70842108870261</v>
      </c>
      <c r="BI15" s="56">
        <f t="shared" si="20"/>
        <v>-3.6262426466925346E-3</v>
      </c>
      <c r="BJ15" s="134">
        <f t="shared" si="37"/>
        <v>4.6131228453937911E-2</v>
      </c>
      <c r="BL15" s="2">
        <f t="shared" si="21"/>
        <v>2001</v>
      </c>
      <c r="BM15" s="95">
        <f t="shared" si="22"/>
        <v>646.36227102623684</v>
      </c>
      <c r="BN15" s="95">
        <f t="shared" si="35"/>
        <v>612.13157893265156</v>
      </c>
      <c r="BO15" s="95">
        <f t="shared" si="61"/>
        <v>9.653067813094399</v>
      </c>
      <c r="BP15" s="95">
        <f t="shared" si="62"/>
        <v>593.21191367866368</v>
      </c>
      <c r="BQ15" s="95">
        <f t="shared" si="63"/>
        <v>631.05124418663945</v>
      </c>
      <c r="BR15" s="56">
        <f t="shared" si="23"/>
        <v>2.0985254349866977E-2</v>
      </c>
      <c r="BS15" s="134">
        <f t="shared" si="38"/>
        <v>5.2958988523938461E-2</v>
      </c>
      <c r="BU15" s="2">
        <f t="shared" si="24"/>
        <v>2001</v>
      </c>
      <c r="BV15" s="95">
        <f t="shared" si="25"/>
        <v>562.00885828423839</v>
      </c>
      <c r="BW15" s="95">
        <f t="shared" si="36"/>
        <v>673.27762902999473</v>
      </c>
      <c r="BX15" s="95">
        <f t="shared" si="64"/>
        <v>73.61900137333329</v>
      </c>
      <c r="BY15" s="95">
        <f t="shared" si="65"/>
        <v>528.9870377604567</v>
      </c>
      <c r="BZ15" s="95">
        <f t="shared" si="66"/>
        <v>817.56822029953275</v>
      </c>
      <c r="CA15" s="56">
        <f t="shared" si="26"/>
        <v>-3.1571317962030609E-2</v>
      </c>
      <c r="CB15" s="134">
        <f t="shared" si="39"/>
        <v>0.19798401592005099</v>
      </c>
    </row>
    <row r="16" spans="1:80" ht="1" customHeight="1">
      <c r="A16" s="2">
        <v>2002</v>
      </c>
      <c r="B16" s="95">
        <v>900.63081036089943</v>
      </c>
      <c r="C16" s="95">
        <v>391.61442874634258</v>
      </c>
      <c r="D16" s="95">
        <v>1359.6001289572991</v>
      </c>
      <c r="E16" s="95">
        <v>602.90748209845037</v>
      </c>
      <c r="F16" s="95">
        <v>163.50903033084705</v>
      </c>
      <c r="G16" s="147">
        <v>715.68456066264173</v>
      </c>
      <c r="H16" s="95">
        <v>565.57297249393037</v>
      </c>
      <c r="I16" s="95">
        <v>606.70441864413749</v>
      </c>
      <c r="J16" s="95">
        <v>539.79276496253829</v>
      </c>
      <c r="K16" s="95">
        <f t="shared" si="27"/>
        <v>544.44406154261401</v>
      </c>
      <c r="L16" s="2"/>
      <c r="M16" s="2">
        <f t="shared" si="6"/>
        <v>2002</v>
      </c>
      <c r="N16" s="95">
        <f t="shared" si="1"/>
        <v>900.63081036089943</v>
      </c>
      <c r="O16" s="95">
        <f t="shared" si="28"/>
        <v>861.46645520404343</v>
      </c>
      <c r="P16" s="95">
        <f t="shared" si="40"/>
        <v>10.563861400029504</v>
      </c>
      <c r="Q16" s="95">
        <f t="shared" si="41"/>
        <v>840.76166732231275</v>
      </c>
      <c r="R16" s="95">
        <f t="shared" si="42"/>
        <v>882.17124308577411</v>
      </c>
      <c r="S16" s="56">
        <f t="shared" si="7"/>
        <v>2.1590450506689729E-2</v>
      </c>
      <c r="T16" s="2">
        <f t="shared" si="8"/>
        <v>2002</v>
      </c>
      <c r="U16" s="95">
        <f t="shared" si="2"/>
        <v>391.61442874634258</v>
      </c>
      <c r="V16" s="95">
        <f t="shared" si="29"/>
        <v>391.23598682749906</v>
      </c>
      <c r="W16" s="95">
        <f t="shared" si="43"/>
        <v>14.299751159950834</v>
      </c>
      <c r="X16" s="95">
        <f t="shared" si="44"/>
        <v>363.20898956611057</v>
      </c>
      <c r="Y16" s="95">
        <f t="shared" si="45"/>
        <v>419.26298408888755</v>
      </c>
      <c r="Z16" s="56">
        <f t="shared" si="9"/>
        <v>6.7360132492455982E-2</v>
      </c>
      <c r="AA16" s="2">
        <f t="shared" si="10"/>
        <v>2002</v>
      </c>
      <c r="AB16" s="95">
        <f t="shared" si="3"/>
        <v>1359.6001289572991</v>
      </c>
      <c r="AC16" s="95">
        <f t="shared" si="30"/>
        <v>1564.1934683206941</v>
      </c>
      <c r="AD16" s="95">
        <f t="shared" si="46"/>
        <v>155.64999420175005</v>
      </c>
      <c r="AE16" s="95">
        <f t="shared" si="47"/>
        <v>1259.1250854913958</v>
      </c>
      <c r="AF16" s="95">
        <f t="shared" si="48"/>
        <v>1869.2618511499925</v>
      </c>
      <c r="AG16" s="56">
        <f t="shared" si="11"/>
        <v>9.985253941142469E-3</v>
      </c>
      <c r="AH16" s="2">
        <f t="shared" si="12"/>
        <v>2002</v>
      </c>
      <c r="AI16" s="95">
        <f t="shared" si="4"/>
        <v>602.90748209845037</v>
      </c>
      <c r="AJ16" s="95">
        <f t="shared" si="31"/>
        <v>619.73117963789741</v>
      </c>
      <c r="AK16" s="95">
        <f t="shared" si="49"/>
        <v>14.133020695283482</v>
      </c>
      <c r="AL16" s="95">
        <f t="shared" si="50"/>
        <v>592.03096808238251</v>
      </c>
      <c r="AM16" s="95">
        <f t="shared" si="51"/>
        <v>647.43139119341231</v>
      </c>
      <c r="AN16" s="56">
        <f t="shared" si="13"/>
        <v>-5.920139561058102E-2</v>
      </c>
      <c r="AO16" s="2">
        <f t="shared" si="14"/>
        <v>2002</v>
      </c>
      <c r="AP16" s="95">
        <f t="shared" si="5"/>
        <v>163.50903033084705</v>
      </c>
      <c r="AQ16" s="95">
        <f t="shared" si="32"/>
        <v>258.6045623021804</v>
      </c>
      <c r="AR16" s="95">
        <f t="shared" si="52"/>
        <v>63.103166158553179</v>
      </c>
      <c r="AS16" s="95">
        <f t="shared" si="53"/>
        <v>134.92462932096944</v>
      </c>
      <c r="AT16" s="95">
        <f t="shared" si="54"/>
        <v>382.28449528339138</v>
      </c>
      <c r="AU16" s="56">
        <f t="shared" si="15"/>
        <v>-0.26274706691223337</v>
      </c>
      <c r="AV16" s="2">
        <f t="shared" si="16"/>
        <v>2002</v>
      </c>
      <c r="AW16" s="95">
        <f t="shared" si="17"/>
        <v>715.68456066264173</v>
      </c>
      <c r="AX16" s="95">
        <f t="shared" si="33"/>
        <v>1369.0077928435712</v>
      </c>
      <c r="AY16" s="95">
        <f t="shared" si="55"/>
        <v>343.40873699904807</v>
      </c>
      <c r="AZ16" s="95">
        <f t="shared" si="56"/>
        <v>695.93903634904962</v>
      </c>
      <c r="BA16" s="95">
        <f t="shared" si="57"/>
        <v>2042.0765493380927</v>
      </c>
      <c r="BB16" s="56">
        <f t="shared" si="18"/>
        <v>-0.21505023751438723</v>
      </c>
      <c r="BC16" s="2">
        <f t="shared" si="19"/>
        <v>2002</v>
      </c>
      <c r="BD16" s="95">
        <f t="shared" si="0"/>
        <v>565.57297249393037</v>
      </c>
      <c r="BE16" s="95">
        <f t="shared" si="34"/>
        <v>570.43197043814359</v>
      </c>
      <c r="BF16" s="95">
        <f t="shared" si="58"/>
        <v>18.779863179914447</v>
      </c>
      <c r="BG16" s="95">
        <f t="shared" si="59"/>
        <v>533.62411497092148</v>
      </c>
      <c r="BH16" s="95">
        <f t="shared" si="60"/>
        <v>607.23982590536571</v>
      </c>
      <c r="BI16" s="56">
        <f t="shared" si="20"/>
        <v>2.0072197942480718E-2</v>
      </c>
      <c r="BJ16" s="134">
        <f t="shared" si="37"/>
        <v>8.5912838493451427E-3</v>
      </c>
      <c r="BL16" s="2">
        <f t="shared" si="21"/>
        <v>2002</v>
      </c>
      <c r="BM16" s="95">
        <f t="shared" si="22"/>
        <v>606.70441864413749</v>
      </c>
      <c r="BN16" s="95">
        <f t="shared" si="35"/>
        <v>620.33685441237253</v>
      </c>
      <c r="BO16" s="95">
        <f t="shared" si="61"/>
        <v>15.11858412305604</v>
      </c>
      <c r="BP16" s="95">
        <f t="shared" si="62"/>
        <v>590.70497403394359</v>
      </c>
      <c r="BQ16" s="95">
        <f t="shared" si="63"/>
        <v>649.96873479080148</v>
      </c>
      <c r="BR16" s="56">
        <f t="shared" si="23"/>
        <v>-6.1355456776791883E-2</v>
      </c>
      <c r="BS16" s="134">
        <f t="shared" si="38"/>
        <v>2.246964971625029E-2</v>
      </c>
      <c r="BU16" s="2">
        <f t="shared" si="24"/>
        <v>2002</v>
      </c>
      <c r="BV16" s="95">
        <f t="shared" si="25"/>
        <v>539.79276496253829</v>
      </c>
      <c r="BW16" s="95">
        <f t="shared" si="36"/>
        <v>644.97422557781533</v>
      </c>
      <c r="BX16" s="95">
        <f t="shared" si="64"/>
        <v>71.993054104430996</v>
      </c>
      <c r="BY16" s="95">
        <f t="shared" si="65"/>
        <v>503.8704323960871</v>
      </c>
      <c r="BZ16" s="95">
        <f t="shared" si="66"/>
        <v>786.07801875954351</v>
      </c>
      <c r="CA16" s="56">
        <f t="shared" si="26"/>
        <v>-3.9529792091754223E-2</v>
      </c>
      <c r="CB16" s="134">
        <f t="shared" si="39"/>
        <v>0.19485526194960515</v>
      </c>
    </row>
    <row r="17" spans="1:80" ht="1" customHeight="1">
      <c r="A17" s="2">
        <v>2003</v>
      </c>
      <c r="B17" s="95">
        <v>902.42722607642872</v>
      </c>
      <c r="C17" s="95">
        <v>340.72404128408857</v>
      </c>
      <c r="D17" s="95">
        <v>1243.4171373819943</v>
      </c>
      <c r="E17" s="95">
        <v>608.46173927193229</v>
      </c>
      <c r="F17" s="95">
        <v>340.96277514944722</v>
      </c>
      <c r="G17" s="147">
        <v>1690.9826687416155</v>
      </c>
      <c r="H17" s="95">
        <v>532.79561199459158</v>
      </c>
      <c r="I17" s="95">
        <v>616.00167944880309</v>
      </c>
      <c r="J17" s="95">
        <v>555.67853767720158</v>
      </c>
      <c r="K17" s="95">
        <f t="shared" si="27"/>
        <v>555.57297249393037</v>
      </c>
      <c r="L17" s="2"/>
      <c r="M17" s="2">
        <f t="shared" si="6"/>
        <v>2003</v>
      </c>
      <c r="N17" s="95">
        <f t="shared" si="1"/>
        <v>902.42722607642872</v>
      </c>
      <c r="O17" s="95">
        <f t="shared" si="28"/>
        <v>869.37357398784479</v>
      </c>
      <c r="P17" s="95">
        <f t="shared" si="40"/>
        <v>17.521351348293468</v>
      </c>
      <c r="Q17" s="95">
        <f t="shared" si="41"/>
        <v>835.03235638471733</v>
      </c>
      <c r="R17" s="95">
        <f t="shared" si="42"/>
        <v>903.71479159097225</v>
      </c>
      <c r="S17" s="56">
        <f t="shared" si="7"/>
        <v>1.9946194321394106E-3</v>
      </c>
      <c r="T17" s="2">
        <f t="shared" si="8"/>
        <v>2003</v>
      </c>
      <c r="U17" s="95">
        <f t="shared" si="2"/>
        <v>340.72404128408857</v>
      </c>
      <c r="V17" s="95">
        <f t="shared" si="29"/>
        <v>389.74627184575655</v>
      </c>
      <c r="W17" s="95">
        <f t="shared" si="43"/>
        <v>12.903634379998742</v>
      </c>
      <c r="X17" s="95">
        <f t="shared" si="44"/>
        <v>364.4556131912862</v>
      </c>
      <c r="Y17" s="95">
        <f t="shared" si="45"/>
        <v>415.0369305002269</v>
      </c>
      <c r="Z17" s="56">
        <f t="shared" si="9"/>
        <v>-0.12995023606552769</v>
      </c>
      <c r="AA17" s="2">
        <f t="shared" si="10"/>
        <v>2003</v>
      </c>
      <c r="AB17" s="95">
        <f t="shared" si="3"/>
        <v>1243.4171373819943</v>
      </c>
      <c r="AC17" s="95">
        <f t="shared" si="30"/>
        <v>1508.4301907435099</v>
      </c>
      <c r="AD17" s="95">
        <f t="shared" si="46"/>
        <v>164.54292297050588</v>
      </c>
      <c r="AE17" s="95">
        <f t="shared" si="47"/>
        <v>1185.9319878103702</v>
      </c>
      <c r="AF17" s="95">
        <f t="shared" si="48"/>
        <v>1830.9283936766496</v>
      </c>
      <c r="AG17" s="56">
        <f t="shared" si="11"/>
        <v>-8.5453795642405295E-2</v>
      </c>
      <c r="AH17" s="2">
        <f t="shared" si="12"/>
        <v>2003</v>
      </c>
      <c r="AI17" s="95">
        <f t="shared" si="4"/>
        <v>608.46173927193229</v>
      </c>
      <c r="AJ17" s="95">
        <f t="shared" si="31"/>
        <v>619.06888278024621</v>
      </c>
      <c r="AK17" s="95">
        <f t="shared" si="49"/>
        <v>15.859239346324026</v>
      </c>
      <c r="AL17" s="95">
        <f t="shared" si="50"/>
        <v>587.98534483925062</v>
      </c>
      <c r="AM17" s="95">
        <f t="shared" si="51"/>
        <v>650.15242072124181</v>
      </c>
      <c r="AN17" s="56">
        <f t="shared" si="13"/>
        <v>9.2124535495066162E-3</v>
      </c>
      <c r="AO17" s="2">
        <f t="shared" si="14"/>
        <v>2003</v>
      </c>
      <c r="AP17" s="95">
        <f t="shared" si="5"/>
        <v>340.96277514944722</v>
      </c>
      <c r="AQ17" s="95">
        <f t="shared" si="32"/>
        <v>236.70223498443337</v>
      </c>
      <c r="AR17" s="95">
        <f t="shared" si="52"/>
        <v>56.342134601111532</v>
      </c>
      <c r="AS17" s="95">
        <f t="shared" si="53"/>
        <v>126.27368035414679</v>
      </c>
      <c r="AT17" s="95">
        <f t="shared" si="54"/>
        <v>347.13078961471996</v>
      </c>
      <c r="AU17" s="56">
        <f t="shared" si="15"/>
        <v>1.0852840632687819</v>
      </c>
      <c r="AV17" s="2">
        <f t="shared" si="16"/>
        <v>2003</v>
      </c>
      <c r="AW17" s="95">
        <f t="shared" si="17"/>
        <v>1690.9826687416155</v>
      </c>
      <c r="AX17" s="95">
        <f t="shared" si="33"/>
        <v>1161.0723730122411</v>
      </c>
      <c r="AY17" s="95">
        <f t="shared" si="55"/>
        <v>376.0991778436458</v>
      </c>
      <c r="AZ17" s="95">
        <f t="shared" si="56"/>
        <v>423.93152982357083</v>
      </c>
      <c r="BA17" s="95">
        <f t="shared" si="57"/>
        <v>1898.2132162009113</v>
      </c>
      <c r="BB17" s="56">
        <f t="shared" si="18"/>
        <v>1.3627485650605062</v>
      </c>
      <c r="BC17" s="2">
        <f t="shared" si="19"/>
        <v>2003</v>
      </c>
      <c r="BD17" s="95">
        <f t="shared" si="0"/>
        <v>532.79561199459158</v>
      </c>
      <c r="BE17" s="95">
        <f t="shared" si="34"/>
        <v>566.0563487867297</v>
      </c>
      <c r="BF17" s="95">
        <f t="shared" si="58"/>
        <v>17.468746104617377</v>
      </c>
      <c r="BG17" s="95">
        <f t="shared" si="59"/>
        <v>531.81823556660527</v>
      </c>
      <c r="BH17" s="95">
        <f t="shared" si="60"/>
        <v>600.29446200685413</v>
      </c>
      <c r="BI17" s="56">
        <f t="shared" si="20"/>
        <v>-5.7954255407228761E-2</v>
      </c>
      <c r="BJ17" s="134">
        <f t="shared" si="37"/>
        <v>6.2426821924493905E-2</v>
      </c>
      <c r="BL17" s="2">
        <f t="shared" si="21"/>
        <v>2003</v>
      </c>
      <c r="BM17" s="95">
        <f t="shared" si="22"/>
        <v>616.00167944880309</v>
      </c>
      <c r="BN17" s="95">
        <f t="shared" si="35"/>
        <v>620.43394486385864</v>
      </c>
      <c r="BO17" s="95">
        <f t="shared" si="61"/>
        <v>16.303575932926339</v>
      </c>
      <c r="BP17" s="95">
        <f t="shared" si="62"/>
        <v>588.47952321610899</v>
      </c>
      <c r="BQ17" s="95">
        <f t="shared" si="63"/>
        <v>652.3883665116083</v>
      </c>
      <c r="BR17" s="56">
        <f t="shared" si="23"/>
        <v>1.5324201569922868E-2</v>
      </c>
      <c r="BS17" s="134">
        <f t="shared" si="38"/>
        <v>7.1952164465225723E-3</v>
      </c>
      <c r="BU17" s="2">
        <f t="shared" si="24"/>
        <v>2003</v>
      </c>
      <c r="BV17" s="95">
        <f t="shared" si="25"/>
        <v>555.67853767720158</v>
      </c>
      <c r="BW17" s="95">
        <f t="shared" si="36"/>
        <v>609.35935308100613</v>
      </c>
      <c r="BX17" s="95">
        <f t="shared" si="64"/>
        <v>74.081337628519975</v>
      </c>
      <c r="BY17" s="95">
        <f t="shared" si="65"/>
        <v>464.16259940255509</v>
      </c>
      <c r="BZ17" s="95">
        <f t="shared" si="66"/>
        <v>754.55610675945718</v>
      </c>
      <c r="CA17" s="56">
        <f t="shared" si="26"/>
        <v>2.9429391695840579E-2</v>
      </c>
      <c r="CB17" s="134">
        <f t="shared" si="39"/>
        <v>9.6604082691759824E-2</v>
      </c>
    </row>
    <row r="18" spans="1:80" ht="1" customHeight="1">
      <c r="A18" s="2">
        <v>2004</v>
      </c>
      <c r="B18" s="95">
        <v>926.50746960605443</v>
      </c>
      <c r="C18" s="95">
        <v>407.47090636478208</v>
      </c>
      <c r="D18" s="95">
        <v>1830.1341722530321</v>
      </c>
      <c r="E18" s="95">
        <v>681.14008936078596</v>
      </c>
      <c r="F18" s="95">
        <v>376.34073993949738</v>
      </c>
      <c r="G18" s="147">
        <v>1863.4899317829795</v>
      </c>
      <c r="H18" s="95">
        <v>597.63099970252586</v>
      </c>
      <c r="I18" s="95">
        <v>698.88089245519848</v>
      </c>
      <c r="J18" s="95">
        <v>713.486928606574</v>
      </c>
      <c r="K18" s="95">
        <f t="shared" si="27"/>
        <v>522.79561199459158</v>
      </c>
      <c r="L18" s="2"/>
      <c r="M18" s="2">
        <f t="shared" si="6"/>
        <v>2004</v>
      </c>
      <c r="N18" s="95">
        <f t="shared" si="1"/>
        <v>926.50746960605443</v>
      </c>
      <c r="O18" s="95">
        <f t="shared" si="28"/>
        <v>876.95405398032017</v>
      </c>
      <c r="P18" s="95">
        <f t="shared" si="40"/>
        <v>20.845019645495636</v>
      </c>
      <c r="Q18" s="95">
        <f t="shared" si="41"/>
        <v>836.09856621811889</v>
      </c>
      <c r="R18" s="95">
        <f t="shared" si="42"/>
        <v>917.80954174252145</v>
      </c>
      <c r="S18" s="56">
        <f t="shared" si="7"/>
        <v>2.6683861960062671E-2</v>
      </c>
      <c r="T18" s="2">
        <f t="shared" si="8"/>
        <v>2004</v>
      </c>
      <c r="U18" s="95">
        <f t="shared" si="2"/>
        <v>407.47090636478208</v>
      </c>
      <c r="V18" s="95">
        <f t="shared" si="29"/>
        <v>377.20513293914235</v>
      </c>
      <c r="W18" s="95">
        <f t="shared" si="43"/>
        <v>20.653907998106661</v>
      </c>
      <c r="X18" s="95">
        <f t="shared" si="44"/>
        <v>336.72421712284955</v>
      </c>
      <c r="Y18" s="95">
        <f t="shared" si="45"/>
        <v>417.68604875543514</v>
      </c>
      <c r="Z18" s="56">
        <f t="shared" si="9"/>
        <v>0.19589713960055244</v>
      </c>
      <c r="AA18" s="2">
        <f t="shared" si="10"/>
        <v>2004</v>
      </c>
      <c r="AB18" s="95">
        <f t="shared" si="3"/>
        <v>1830.1341722530321</v>
      </c>
      <c r="AC18" s="95">
        <f t="shared" si="30"/>
        <v>1397.5976962508319</v>
      </c>
      <c r="AD18" s="95">
        <f t="shared" si="46"/>
        <v>177.61576424140938</v>
      </c>
      <c r="AE18" s="95">
        <f t="shared" si="47"/>
        <v>1049.4771952511123</v>
      </c>
      <c r="AF18" s="95">
        <f t="shared" si="48"/>
        <v>1745.7181972505514</v>
      </c>
      <c r="AG18" s="56">
        <f t="shared" si="11"/>
        <v>0.47185857202062231</v>
      </c>
      <c r="AH18" s="2">
        <f t="shared" si="12"/>
        <v>2004</v>
      </c>
      <c r="AI18" s="95">
        <f t="shared" si="4"/>
        <v>681.14008936078596</v>
      </c>
      <c r="AJ18" s="95">
        <f t="shared" si="31"/>
        <v>619.80176832488155</v>
      </c>
      <c r="AK18" s="95">
        <f t="shared" si="49"/>
        <v>16.650340215103967</v>
      </c>
      <c r="AL18" s="95">
        <f t="shared" si="50"/>
        <v>587.16770117293891</v>
      </c>
      <c r="AM18" s="95">
        <f t="shared" si="51"/>
        <v>652.4358354768242</v>
      </c>
      <c r="AN18" s="56">
        <f t="shared" si="13"/>
        <v>0.1194460479566366</v>
      </c>
      <c r="AO18" s="2">
        <f t="shared" si="14"/>
        <v>2004</v>
      </c>
      <c r="AP18" s="95">
        <f t="shared" si="5"/>
        <v>376.34073993949738</v>
      </c>
      <c r="AQ18" s="95">
        <f t="shared" si="32"/>
        <v>251.00750366301764</v>
      </c>
      <c r="AR18" s="95">
        <f t="shared" si="52"/>
        <v>62.433430194222929</v>
      </c>
      <c r="AS18" s="95">
        <f t="shared" si="53"/>
        <v>128.6402290510452</v>
      </c>
      <c r="AT18" s="95">
        <f t="shared" si="54"/>
        <v>373.37477827499009</v>
      </c>
      <c r="AU18" s="56">
        <f t="shared" si="15"/>
        <v>0.10375902405927939</v>
      </c>
      <c r="AV18" s="2">
        <f t="shared" si="16"/>
        <v>2004</v>
      </c>
      <c r="AW18" s="95">
        <f t="shared" si="17"/>
        <v>1863.4899317829795</v>
      </c>
      <c r="AX18" s="95">
        <f t="shared" si="33"/>
        <v>1217.3617441923775</v>
      </c>
      <c r="AY18" s="95">
        <f t="shared" si="55"/>
        <v>425.0104481584886</v>
      </c>
      <c r="AZ18" s="95">
        <f t="shared" si="56"/>
        <v>384.35657274851235</v>
      </c>
      <c r="BA18" s="95">
        <f t="shared" si="57"/>
        <v>2050.3669156362425</v>
      </c>
      <c r="BB18" s="56">
        <f t="shared" si="18"/>
        <v>0.10201598527898526</v>
      </c>
      <c r="BC18" s="2">
        <f t="shared" si="19"/>
        <v>2004</v>
      </c>
      <c r="BD18" s="95">
        <f t="shared" si="0"/>
        <v>597.63099970252586</v>
      </c>
      <c r="BE18" s="95">
        <f t="shared" si="34"/>
        <v>555.19998761251168</v>
      </c>
      <c r="BF18" s="95">
        <f t="shared" si="58"/>
        <v>19.442296056798821</v>
      </c>
      <c r="BG18" s="95">
        <f t="shared" si="59"/>
        <v>517.09378756442084</v>
      </c>
      <c r="BH18" s="95">
        <f t="shared" si="60"/>
        <v>593.30618766060252</v>
      </c>
      <c r="BI18" s="56">
        <f t="shared" si="20"/>
        <v>0.12168904219239773</v>
      </c>
      <c r="BJ18" s="134">
        <f t="shared" si="37"/>
        <v>7.099867997331874E-2</v>
      </c>
      <c r="BL18" s="2">
        <f t="shared" si="21"/>
        <v>2004</v>
      </c>
      <c r="BM18" s="95">
        <f t="shared" si="22"/>
        <v>698.88089245519848</v>
      </c>
      <c r="BN18" s="95">
        <f t="shared" si="35"/>
        <v>622.67481844386816</v>
      </c>
      <c r="BO18" s="95">
        <f t="shared" si="61"/>
        <v>16.574433621109236</v>
      </c>
      <c r="BP18" s="95">
        <f t="shared" si="62"/>
        <v>590.18952548234427</v>
      </c>
      <c r="BQ18" s="95">
        <f t="shared" si="63"/>
        <v>655.16011140539206</v>
      </c>
      <c r="BR18" s="56">
        <f t="shared" si="23"/>
        <v>0.13454381014115979</v>
      </c>
      <c r="BS18" s="134">
        <f t="shared" si="38"/>
        <v>0.10904014522934675</v>
      </c>
      <c r="BU18" s="2">
        <f t="shared" si="24"/>
        <v>2004</v>
      </c>
      <c r="BV18" s="95">
        <f t="shared" si="25"/>
        <v>713.486928606574</v>
      </c>
      <c r="BW18" s="95">
        <f t="shared" si="36"/>
        <v>575.10313560271038</v>
      </c>
      <c r="BX18" s="95">
        <f t="shared" si="64"/>
        <v>73.577730762031933</v>
      </c>
      <c r="BY18" s="95">
        <f t="shared" si="65"/>
        <v>430.89343324494303</v>
      </c>
      <c r="BZ18" s="95">
        <f t="shared" si="66"/>
        <v>719.31283796047774</v>
      </c>
      <c r="CA18" s="56">
        <f t="shared" si="26"/>
        <v>0.28399223693077857</v>
      </c>
      <c r="CB18" s="134">
        <f t="shared" si="39"/>
        <v>0.19395420918800077</v>
      </c>
    </row>
    <row r="19" spans="1:80" ht="15.5">
      <c r="A19" s="2">
        <v>2005</v>
      </c>
      <c r="B19" s="95">
        <v>919.86301040038472</v>
      </c>
      <c r="C19" s="95">
        <v>400.5362568137042</v>
      </c>
      <c r="D19" s="95">
        <v>1906.2853366371291</v>
      </c>
      <c r="E19" s="95">
        <v>675.12940388539357</v>
      </c>
      <c r="F19" s="95">
        <v>317.12613313443995</v>
      </c>
      <c r="G19" s="147">
        <v>1490.1550840395191</v>
      </c>
      <c r="H19" s="95">
        <v>571.94377387630698</v>
      </c>
      <c r="I19" s="95">
        <v>693.71088878781973</v>
      </c>
      <c r="J19" s="95">
        <v>757.53777996045164</v>
      </c>
      <c r="K19" s="95">
        <f t="shared" si="27"/>
        <v>587.63099970252586</v>
      </c>
      <c r="L19" s="2"/>
      <c r="M19" s="2">
        <f t="shared" si="6"/>
        <v>2005</v>
      </c>
      <c r="N19" s="95">
        <f t="shared" si="1"/>
        <v>919.86301040038472</v>
      </c>
      <c r="O19" s="95">
        <f t="shared" si="28"/>
        <v>891.39955062744684</v>
      </c>
      <c r="P19" s="95">
        <f t="shared" si="40"/>
        <v>26.011343276458053</v>
      </c>
      <c r="Q19" s="95">
        <f t="shared" si="41"/>
        <v>840.41825461608096</v>
      </c>
      <c r="R19" s="95">
        <f t="shared" si="42"/>
        <v>942.38084663881273</v>
      </c>
      <c r="S19" s="56">
        <f t="shared" si="7"/>
        <v>-7.1715117510006143E-3</v>
      </c>
      <c r="T19" s="2">
        <f t="shared" si="8"/>
        <v>2005</v>
      </c>
      <c r="U19" s="95">
        <f t="shared" si="2"/>
        <v>400.5362568137042</v>
      </c>
      <c r="V19" s="95">
        <f t="shared" si="29"/>
        <v>378.7820841412975</v>
      </c>
      <c r="W19" s="95">
        <f t="shared" si="43"/>
        <v>24.140997211717242</v>
      </c>
      <c r="X19" s="95">
        <f t="shared" si="44"/>
        <v>331.46659905544988</v>
      </c>
      <c r="Y19" s="95">
        <f t="shared" si="45"/>
        <v>426.09756922714513</v>
      </c>
      <c r="Z19" s="56">
        <f t="shared" si="9"/>
        <v>-1.7018759972202147E-2</v>
      </c>
      <c r="AA19" s="2">
        <f t="shared" si="10"/>
        <v>2005</v>
      </c>
      <c r="AB19" s="95">
        <f t="shared" si="3"/>
        <v>1906.2853366371291</v>
      </c>
      <c r="AC19" s="95">
        <f t="shared" si="30"/>
        <v>1448.5777323072389</v>
      </c>
      <c r="AD19" s="95">
        <f t="shared" si="46"/>
        <v>236.00396006867916</v>
      </c>
      <c r="AE19" s="95">
        <f t="shared" si="47"/>
        <v>986.01847036379877</v>
      </c>
      <c r="AF19" s="95">
        <f t="shared" si="48"/>
        <v>1911.136994250679</v>
      </c>
      <c r="AG19" s="56">
        <f t="shared" si="11"/>
        <v>4.1609607393073844E-2</v>
      </c>
      <c r="AH19" s="2">
        <f t="shared" si="12"/>
        <v>2005</v>
      </c>
      <c r="AI19" s="95">
        <f t="shared" si="4"/>
        <v>675.12940388539357</v>
      </c>
      <c r="AJ19" s="95">
        <f t="shared" si="31"/>
        <v>633.78403945321156</v>
      </c>
      <c r="AK19" s="95">
        <f t="shared" si="49"/>
        <v>26.848719012202672</v>
      </c>
      <c r="AL19" s="95">
        <f t="shared" si="50"/>
        <v>581.16151715825856</v>
      </c>
      <c r="AM19" s="95">
        <f t="shared" si="51"/>
        <v>686.40656174816456</v>
      </c>
      <c r="AN19" s="56">
        <f t="shared" si="13"/>
        <v>-8.8244482585558837E-3</v>
      </c>
      <c r="AO19" s="2">
        <f t="shared" si="14"/>
        <v>2005</v>
      </c>
      <c r="AP19" s="95">
        <f t="shared" si="5"/>
        <v>317.12613313443995</v>
      </c>
      <c r="AQ19" s="95">
        <f t="shared" si="32"/>
        <v>262.72364216316709</v>
      </c>
      <c r="AR19" s="95">
        <f t="shared" si="52"/>
        <v>80.486263268327633</v>
      </c>
      <c r="AS19" s="95">
        <f t="shared" si="53"/>
        <v>104.97346490703589</v>
      </c>
      <c r="AT19" s="95">
        <f t="shared" si="54"/>
        <v>420.47381941929825</v>
      </c>
      <c r="AU19" s="56">
        <f t="shared" si="15"/>
        <v>-0.15734306845062029</v>
      </c>
      <c r="AV19" s="2">
        <f t="shared" si="16"/>
        <v>2005</v>
      </c>
      <c r="AW19" s="95">
        <f t="shared" si="17"/>
        <v>1490.1550840395191</v>
      </c>
      <c r="AX19" s="95">
        <f t="shared" si="33"/>
        <v>1235.9786996927132</v>
      </c>
      <c r="AY19" s="95">
        <f t="shared" si="55"/>
        <v>508.0340949346816</v>
      </c>
      <c r="AZ19" s="95">
        <f t="shared" si="56"/>
        <v>240.2501707023348</v>
      </c>
      <c r="BA19" s="95">
        <f t="shared" si="57"/>
        <v>2231.7072286830917</v>
      </c>
      <c r="BB19" s="56">
        <f t="shared" si="18"/>
        <v>-0.20034175735323412</v>
      </c>
      <c r="BC19" s="2">
        <f t="shared" si="19"/>
        <v>2005</v>
      </c>
      <c r="BD19" s="95">
        <f t="shared" si="0"/>
        <v>571.94377387630698</v>
      </c>
      <c r="BE19" s="95">
        <f t="shared" si="34"/>
        <v>561.38111464981853</v>
      </c>
      <c r="BF19" s="95">
        <f t="shared" si="58"/>
        <v>22.921163326293399</v>
      </c>
      <c r="BG19" s="95">
        <f t="shared" si="59"/>
        <v>516.45646004652315</v>
      </c>
      <c r="BH19" s="95">
        <f t="shared" si="60"/>
        <v>606.30576925311391</v>
      </c>
      <c r="BI19" s="56">
        <f t="shared" si="20"/>
        <v>-4.2981749338646846E-2</v>
      </c>
      <c r="BJ19" s="134">
        <f t="shared" si="37"/>
        <v>1.8468002815907585E-2</v>
      </c>
      <c r="BL19" s="2">
        <f t="shared" si="21"/>
        <v>2005</v>
      </c>
      <c r="BM19" s="95">
        <f t="shared" si="22"/>
        <v>693.71088878781973</v>
      </c>
      <c r="BN19" s="95">
        <f t="shared" si="35"/>
        <v>640.20525019108084</v>
      </c>
      <c r="BO19" s="95">
        <f t="shared" si="61"/>
        <v>30.957694352610744</v>
      </c>
      <c r="BP19" s="95">
        <f t="shared" si="62"/>
        <v>579.52928421556476</v>
      </c>
      <c r="BQ19" s="95">
        <f t="shared" si="63"/>
        <v>700.88121616659691</v>
      </c>
      <c r="BR19" s="56">
        <f t="shared" si="23"/>
        <v>-7.3975461672965981E-3</v>
      </c>
      <c r="BS19" s="134">
        <f t="shared" si="38"/>
        <v>7.7129593122336401E-2</v>
      </c>
      <c r="BU19" s="2">
        <f t="shared" si="24"/>
        <v>2005</v>
      </c>
      <c r="BV19" s="95">
        <f t="shared" si="25"/>
        <v>757.53777996045164</v>
      </c>
      <c r="BW19" s="95">
        <f t="shared" si="36"/>
        <v>590.25955033447724</v>
      </c>
      <c r="BX19" s="95">
        <f t="shared" si="64"/>
        <v>84.763438777215313</v>
      </c>
      <c r="BY19" s="95">
        <f t="shared" si="65"/>
        <v>424.12626312536941</v>
      </c>
      <c r="BZ19" s="95">
        <f t="shared" si="66"/>
        <v>756.39283754358507</v>
      </c>
      <c r="CA19" s="56">
        <f t="shared" si="26"/>
        <v>6.1740235998307691E-2</v>
      </c>
      <c r="CB19" s="134">
        <f t="shared" si="39"/>
        <v>0.22081833282916583</v>
      </c>
    </row>
    <row r="20" spans="1:80" ht="1" customHeight="1">
      <c r="A20" s="2">
        <v>2006</v>
      </c>
      <c r="B20" s="95">
        <v>898.57581152819716</v>
      </c>
      <c r="C20" s="95">
        <v>389.78025516354779</v>
      </c>
      <c r="D20" s="95">
        <v>1867.0910392222877</v>
      </c>
      <c r="E20" s="95">
        <v>704.80077272103563</v>
      </c>
      <c r="F20" s="95">
        <v>318.11092539433054</v>
      </c>
      <c r="G20" s="147">
        <v>1471.2548497665796</v>
      </c>
      <c r="H20" s="95">
        <v>562.43342162720228</v>
      </c>
      <c r="I20" s="95">
        <v>706.13538042020821</v>
      </c>
      <c r="J20" s="95">
        <v>817.19160858970849</v>
      </c>
      <c r="K20" s="95">
        <f t="shared" si="27"/>
        <v>561.94377387630698</v>
      </c>
      <c r="L20" s="2"/>
      <c r="M20" s="2">
        <f t="shared" si="6"/>
        <v>2006</v>
      </c>
      <c r="N20" s="95">
        <f t="shared" si="1"/>
        <v>898.57581152819716</v>
      </c>
      <c r="O20" s="95">
        <f t="shared" si="28"/>
        <v>906.20505120634675</v>
      </c>
      <c r="P20" s="95">
        <f t="shared" si="40"/>
        <v>26.268732348749033</v>
      </c>
      <c r="Q20" s="95">
        <f t="shared" si="41"/>
        <v>854.71928188327638</v>
      </c>
      <c r="R20" s="95">
        <f t="shared" si="42"/>
        <v>957.69082052941712</v>
      </c>
      <c r="S20" s="56">
        <f t="shared" si="7"/>
        <v>-2.3141705483865405E-2</v>
      </c>
      <c r="T20" s="2">
        <f t="shared" si="8"/>
        <v>2006</v>
      </c>
      <c r="U20" s="95">
        <f t="shared" si="2"/>
        <v>389.78025516354779</v>
      </c>
      <c r="V20" s="95">
        <f t="shared" si="29"/>
        <v>381.44912591754075</v>
      </c>
      <c r="W20" s="95">
        <f t="shared" si="43"/>
        <v>24.955831286845473</v>
      </c>
      <c r="X20" s="95">
        <f t="shared" si="44"/>
        <v>332.53659539106576</v>
      </c>
      <c r="Y20" s="95">
        <f t="shared" si="45"/>
        <v>430.36165644401575</v>
      </c>
      <c r="Z20" s="56">
        <f t="shared" si="9"/>
        <v>-2.6854002520823483E-2</v>
      </c>
      <c r="AA20" s="2">
        <f t="shared" si="10"/>
        <v>2006</v>
      </c>
      <c r="AB20" s="95">
        <f t="shared" si="3"/>
        <v>1867.0910392222877</v>
      </c>
      <c r="AC20" s="95">
        <f t="shared" si="30"/>
        <v>1537.1190341524714</v>
      </c>
      <c r="AD20" s="95">
        <f t="shared" si="46"/>
        <v>273.98189748385698</v>
      </c>
      <c r="AE20" s="95">
        <f t="shared" si="47"/>
        <v>1000.1243826681666</v>
      </c>
      <c r="AF20" s="95">
        <f t="shared" si="48"/>
        <v>2074.1136856367762</v>
      </c>
      <c r="AG20" s="56">
        <f t="shared" si="11"/>
        <v>-2.0560561769826124E-2</v>
      </c>
      <c r="AH20" s="2">
        <f t="shared" si="12"/>
        <v>2006</v>
      </c>
      <c r="AI20" s="95">
        <f t="shared" si="4"/>
        <v>704.80077272103563</v>
      </c>
      <c r="AJ20" s="95">
        <f t="shared" si="31"/>
        <v>641.69704064240057</v>
      </c>
      <c r="AK20" s="95">
        <f t="shared" si="49"/>
        <v>28.968816952550551</v>
      </c>
      <c r="AL20" s="95">
        <f t="shared" si="50"/>
        <v>584.91920274066808</v>
      </c>
      <c r="AM20" s="95">
        <f t="shared" si="51"/>
        <v>698.47487854413305</v>
      </c>
      <c r="AN20" s="56">
        <f t="shared" si="13"/>
        <v>4.3949157990871512E-2</v>
      </c>
      <c r="AO20" s="2">
        <f t="shared" si="14"/>
        <v>2006</v>
      </c>
      <c r="AP20" s="95">
        <f t="shared" si="5"/>
        <v>318.11092539433054</v>
      </c>
      <c r="AQ20" s="95">
        <f t="shared" si="32"/>
        <v>283.9440272880226</v>
      </c>
      <c r="AR20" s="95">
        <f t="shared" si="52"/>
        <v>75.914470491510016</v>
      </c>
      <c r="AS20" s="95">
        <f t="shared" si="53"/>
        <v>135.15439921923431</v>
      </c>
      <c r="AT20" s="95">
        <f t="shared" si="54"/>
        <v>432.73365535681091</v>
      </c>
      <c r="AU20" s="56">
        <f t="shared" si="15"/>
        <v>3.1053645757825876E-3</v>
      </c>
      <c r="AV20" s="2">
        <f t="shared" si="16"/>
        <v>2006</v>
      </c>
      <c r="AW20" s="95">
        <f t="shared" si="17"/>
        <v>1471.2548497665796</v>
      </c>
      <c r="AX20" s="95">
        <f t="shared" si="33"/>
        <v>1334.4141344312702</v>
      </c>
      <c r="AY20" s="95">
        <f t="shared" si="55"/>
        <v>458.21166636686434</v>
      </c>
      <c r="AZ20" s="95">
        <f t="shared" si="56"/>
        <v>436.33577105613313</v>
      </c>
      <c r="BA20" s="95">
        <f t="shared" si="57"/>
        <v>2232.4924978064073</v>
      </c>
      <c r="BB20" s="56">
        <f t="shared" si="18"/>
        <v>-1.2683400858992999E-2</v>
      </c>
      <c r="BC20" s="2">
        <f t="shared" si="19"/>
        <v>2006</v>
      </c>
      <c r="BD20" s="95">
        <f t="shared" si="0"/>
        <v>562.43342162720228</v>
      </c>
      <c r="BE20" s="95">
        <f t="shared" si="34"/>
        <v>564.47748392199378</v>
      </c>
      <c r="BF20" s="95">
        <f t="shared" si="58"/>
        <v>20.628148643721854</v>
      </c>
      <c r="BG20" s="95">
        <f t="shared" si="59"/>
        <v>524.04705551256018</v>
      </c>
      <c r="BH20" s="95">
        <f t="shared" si="60"/>
        <v>604.90791233142738</v>
      </c>
      <c r="BI20" s="56">
        <f t="shared" si="20"/>
        <v>-1.6628124447704007E-2</v>
      </c>
      <c r="BJ20" s="134">
        <f t="shared" si="37"/>
        <v>3.6343186876728094E-3</v>
      </c>
      <c r="BL20" s="2">
        <f t="shared" si="21"/>
        <v>2006</v>
      </c>
      <c r="BM20" s="95">
        <f t="shared" si="22"/>
        <v>706.13538042020821</v>
      </c>
      <c r="BN20" s="95">
        <f t="shared" si="35"/>
        <v>652.33203007243912</v>
      </c>
      <c r="BO20" s="95">
        <f t="shared" si="61"/>
        <v>34.82928057794134</v>
      </c>
      <c r="BP20" s="95">
        <f t="shared" si="62"/>
        <v>584.06789453223371</v>
      </c>
      <c r="BQ20" s="95">
        <f t="shared" si="63"/>
        <v>720.59616561264454</v>
      </c>
      <c r="BR20" s="56">
        <f t="shared" si="23"/>
        <v>1.7910186841810782E-2</v>
      </c>
      <c r="BS20" s="134">
        <f t="shared" si="38"/>
        <v>7.6194100790915889E-2</v>
      </c>
      <c r="BU20" s="2">
        <f t="shared" si="24"/>
        <v>2006</v>
      </c>
      <c r="BV20" s="95">
        <f t="shared" si="25"/>
        <v>817.19160858970849</v>
      </c>
      <c r="BW20" s="95">
        <f t="shared" si="36"/>
        <v>625.7009738982008</v>
      </c>
      <c r="BX20" s="95">
        <f t="shared" si="64"/>
        <v>94.515615160332459</v>
      </c>
      <c r="BY20" s="95">
        <f t="shared" si="65"/>
        <v>440.45377220730131</v>
      </c>
      <c r="BZ20" s="95">
        <f t="shared" si="66"/>
        <v>810.94817558910029</v>
      </c>
      <c r="CA20" s="56">
        <f t="shared" si="26"/>
        <v>7.8747001413409512E-2</v>
      </c>
      <c r="CB20" s="134">
        <f t="shared" si="39"/>
        <v>0.23432770561848776</v>
      </c>
    </row>
    <row r="21" spans="1:80" ht="1" customHeight="1">
      <c r="A21" s="2">
        <v>2007</v>
      </c>
      <c r="B21" s="95">
        <v>921.60269241366939</v>
      </c>
      <c r="C21" s="95">
        <v>387.26486770383264</v>
      </c>
      <c r="D21" s="95">
        <v>1794.6407810542585</v>
      </c>
      <c r="E21" s="95">
        <v>712.37587403352256</v>
      </c>
      <c r="F21" s="95">
        <v>445.09395465908955</v>
      </c>
      <c r="G21" s="147">
        <v>2046.3815878296209</v>
      </c>
      <c r="H21" s="95">
        <v>549.07320412415152</v>
      </c>
      <c r="I21" s="95">
        <v>723.41144388655789</v>
      </c>
      <c r="J21" s="95">
        <v>829.46748282204783</v>
      </c>
      <c r="K21" s="95">
        <f t="shared" si="27"/>
        <v>552.43342162720228</v>
      </c>
      <c r="L21" s="2"/>
      <c r="M21" s="2">
        <f t="shared" si="6"/>
        <v>2007</v>
      </c>
      <c r="N21" s="95">
        <f t="shared" si="1"/>
        <v>921.60269241366939</v>
      </c>
      <c r="O21" s="95">
        <f t="shared" si="28"/>
        <v>909.60086559439299</v>
      </c>
      <c r="P21" s="95">
        <f t="shared" si="40"/>
        <v>25.165670918280703</v>
      </c>
      <c r="Q21" s="95">
        <f t="shared" si="41"/>
        <v>860.2770569477758</v>
      </c>
      <c r="R21" s="95">
        <f t="shared" si="42"/>
        <v>958.92467424101017</v>
      </c>
      <c r="S21" s="56">
        <f t="shared" si="7"/>
        <v>2.5625974558908693E-2</v>
      </c>
      <c r="T21" s="2">
        <f t="shared" si="8"/>
        <v>2007</v>
      </c>
      <c r="U21" s="95">
        <f t="shared" si="2"/>
        <v>387.26486770383264</v>
      </c>
      <c r="V21" s="95">
        <f t="shared" si="29"/>
        <v>386.02517767449308</v>
      </c>
      <c r="W21" s="95">
        <f t="shared" si="43"/>
        <v>22.520336373670915</v>
      </c>
      <c r="X21" s="95">
        <f t="shared" si="44"/>
        <v>341.88612946237072</v>
      </c>
      <c r="Y21" s="95">
        <f t="shared" si="45"/>
        <v>430.16422588661544</v>
      </c>
      <c r="Z21" s="56">
        <f t="shared" si="9"/>
        <v>-6.4533475628716364E-3</v>
      </c>
      <c r="AA21" s="2">
        <f t="shared" si="10"/>
        <v>2007</v>
      </c>
      <c r="AB21" s="95">
        <f t="shared" si="3"/>
        <v>1794.6407810542585</v>
      </c>
      <c r="AC21" s="95">
        <f t="shared" si="30"/>
        <v>1641.3055628903487</v>
      </c>
      <c r="AD21" s="95">
        <f t="shared" si="46"/>
        <v>275.23451422419265</v>
      </c>
      <c r="AE21" s="95">
        <f t="shared" si="47"/>
        <v>1101.855827708554</v>
      </c>
      <c r="AF21" s="95">
        <f t="shared" si="48"/>
        <v>2180.7552980721434</v>
      </c>
      <c r="AG21" s="56">
        <f t="shared" si="11"/>
        <v>-3.8803816549945802E-2</v>
      </c>
      <c r="AH21" s="2">
        <f t="shared" si="12"/>
        <v>2007</v>
      </c>
      <c r="AI21" s="95">
        <f t="shared" si="4"/>
        <v>712.37587403352256</v>
      </c>
      <c r="AJ21" s="95">
        <f t="shared" si="31"/>
        <v>654.48789746751959</v>
      </c>
      <c r="AK21" s="95">
        <f t="shared" si="49"/>
        <v>35.444296923638525</v>
      </c>
      <c r="AL21" s="95">
        <f t="shared" si="50"/>
        <v>585.01835203984422</v>
      </c>
      <c r="AM21" s="95">
        <f t="shared" si="51"/>
        <v>723.95744289519496</v>
      </c>
      <c r="AN21" s="56">
        <f t="shared" si="13"/>
        <v>1.0747861815249671E-2</v>
      </c>
      <c r="AO21" s="2">
        <f t="shared" si="14"/>
        <v>2007</v>
      </c>
      <c r="AP21" s="95">
        <f t="shared" si="5"/>
        <v>445.09395465908955</v>
      </c>
      <c r="AQ21" s="95">
        <f t="shared" si="32"/>
        <v>303.20992078971238</v>
      </c>
      <c r="AR21" s="95">
        <f t="shared" si="52"/>
        <v>74.405823790083687</v>
      </c>
      <c r="AS21" s="95">
        <f t="shared" si="53"/>
        <v>157.37718592111486</v>
      </c>
      <c r="AT21" s="95">
        <f t="shared" si="54"/>
        <v>449.04265565830991</v>
      </c>
      <c r="AU21" s="56">
        <f t="shared" si="15"/>
        <v>0.39917845986380618</v>
      </c>
      <c r="AV21" s="2">
        <f t="shared" si="16"/>
        <v>2007</v>
      </c>
      <c r="AW21" s="95">
        <f t="shared" si="17"/>
        <v>2046.3815878296209</v>
      </c>
      <c r="AX21" s="95">
        <f t="shared" si="33"/>
        <v>1446.3134189986672</v>
      </c>
      <c r="AY21" s="95">
        <f t="shared" si="55"/>
        <v>410.20354662374888</v>
      </c>
      <c r="AZ21" s="95">
        <f t="shared" si="56"/>
        <v>642.3292412855227</v>
      </c>
      <c r="BA21" s="95">
        <f t="shared" si="57"/>
        <v>2250.2975967118118</v>
      </c>
      <c r="BB21" s="56">
        <f t="shared" si="18"/>
        <v>0.39090898368442928</v>
      </c>
      <c r="BC21" s="2">
        <f t="shared" si="19"/>
        <v>2007</v>
      </c>
      <c r="BD21" s="95">
        <f t="shared" si="0"/>
        <v>549.07320412415152</v>
      </c>
      <c r="BE21" s="95">
        <f t="shared" si="34"/>
        <v>566.07535593891146</v>
      </c>
      <c r="BF21" s="95">
        <f t="shared" si="58"/>
        <v>19.417791002152999</v>
      </c>
      <c r="BG21" s="95">
        <f t="shared" si="59"/>
        <v>528.01718491536565</v>
      </c>
      <c r="BH21" s="95">
        <f t="shared" si="60"/>
        <v>604.13352696245727</v>
      </c>
      <c r="BI21" s="56">
        <f t="shared" si="20"/>
        <v>-2.3754309380117689E-2</v>
      </c>
      <c r="BJ21" s="134">
        <f t="shared" si="37"/>
        <v>3.0965182214420295E-2</v>
      </c>
      <c r="BL21" s="2">
        <f t="shared" si="21"/>
        <v>2007</v>
      </c>
      <c r="BM21" s="95">
        <f t="shared" si="22"/>
        <v>723.41144388655789</v>
      </c>
      <c r="BN21" s="95">
        <f t="shared" si="35"/>
        <v>664.28665195123335</v>
      </c>
      <c r="BO21" s="95">
        <f t="shared" si="61"/>
        <v>37.787266882984788</v>
      </c>
      <c r="BP21" s="95">
        <f t="shared" si="62"/>
        <v>590.22496978638003</v>
      </c>
      <c r="BQ21" s="95">
        <f t="shared" si="63"/>
        <v>738.34833411608668</v>
      </c>
      <c r="BR21" s="56">
        <f t="shared" si="23"/>
        <v>2.4465653393643816E-2</v>
      </c>
      <c r="BS21" s="134">
        <f t="shared" si="38"/>
        <v>8.1730517860865104E-2</v>
      </c>
      <c r="BU21" s="2">
        <f t="shared" si="24"/>
        <v>2007</v>
      </c>
      <c r="BV21" s="95">
        <f t="shared" si="25"/>
        <v>829.46748282204783</v>
      </c>
      <c r="BW21" s="95">
        <f t="shared" si="36"/>
        <v>676.73752395929478</v>
      </c>
      <c r="BX21" s="95">
        <f t="shared" si="64"/>
        <v>107.24747574175312</v>
      </c>
      <c r="BY21" s="95">
        <f t="shared" si="65"/>
        <v>466.53633407262555</v>
      </c>
      <c r="BZ21" s="95">
        <f t="shared" si="66"/>
        <v>886.938713845964</v>
      </c>
      <c r="CA21" s="56">
        <f t="shared" si="26"/>
        <v>1.5022026784544229E-2</v>
      </c>
      <c r="CB21" s="134">
        <f t="shared" si="39"/>
        <v>0.18413013412307497</v>
      </c>
    </row>
    <row r="22" spans="1:80" ht="1" customHeight="1">
      <c r="A22" s="2">
        <v>2008</v>
      </c>
      <c r="B22" s="95">
        <v>934.78721528610481</v>
      </c>
      <c r="C22" s="95">
        <v>391.48799843886928</v>
      </c>
      <c r="D22" s="95">
        <v>1690.7157184241219</v>
      </c>
      <c r="E22" s="95">
        <v>697.50213522700176</v>
      </c>
      <c r="F22" s="95">
        <v>356.43523817415553</v>
      </c>
      <c r="G22" s="147">
        <v>1607.8651280028391</v>
      </c>
      <c r="H22" s="95">
        <v>542.90262198517496</v>
      </c>
      <c r="I22" s="95">
        <v>713.4351937364969</v>
      </c>
      <c r="J22" s="95">
        <v>781.06983644463719</v>
      </c>
      <c r="K22" s="95">
        <f t="shared" si="27"/>
        <v>539.07320412415152</v>
      </c>
      <c r="L22" s="2"/>
      <c r="M22" s="2">
        <f t="shared" si="6"/>
        <v>2008</v>
      </c>
      <c r="N22" s="95">
        <f t="shared" si="1"/>
        <v>934.78721528610481</v>
      </c>
      <c r="O22" s="95">
        <f t="shared" si="28"/>
        <v>913.79524200494689</v>
      </c>
      <c r="P22" s="95">
        <f t="shared" si="40"/>
        <v>21.215543453042379</v>
      </c>
      <c r="Q22" s="95">
        <f t="shared" si="41"/>
        <v>872.2135409245393</v>
      </c>
      <c r="R22" s="95">
        <f t="shared" si="42"/>
        <v>955.37694308535447</v>
      </c>
      <c r="S22" s="56">
        <f t="shared" si="7"/>
        <v>1.430608111387488E-2</v>
      </c>
      <c r="T22" s="2">
        <f t="shared" si="8"/>
        <v>2008</v>
      </c>
      <c r="U22" s="95">
        <f t="shared" si="2"/>
        <v>391.48799843886928</v>
      </c>
      <c r="V22" s="95">
        <f t="shared" si="29"/>
        <v>385.15526546599102</v>
      </c>
      <c r="W22" s="95">
        <f t="shared" si="43"/>
        <v>22.524600610501956</v>
      </c>
      <c r="X22" s="95">
        <f t="shared" si="44"/>
        <v>341.00785950325826</v>
      </c>
      <c r="Y22" s="95">
        <f t="shared" si="45"/>
        <v>429.30267142872378</v>
      </c>
      <c r="Z22" s="56">
        <f t="shared" si="9"/>
        <v>1.0905018986298476E-2</v>
      </c>
      <c r="AA22" s="2">
        <f t="shared" si="10"/>
        <v>2008</v>
      </c>
      <c r="AB22" s="95">
        <f t="shared" si="3"/>
        <v>1690.7157184241219</v>
      </c>
      <c r="AC22" s="95">
        <f t="shared" si="30"/>
        <v>1728.3136933097401</v>
      </c>
      <c r="AD22" s="95">
        <f t="shared" si="46"/>
        <v>268.70767922726674</v>
      </c>
      <c r="AE22" s="95">
        <f t="shared" si="47"/>
        <v>1201.6563196549557</v>
      </c>
      <c r="AF22" s="95">
        <f t="shared" si="48"/>
        <v>2254.9710669645247</v>
      </c>
      <c r="AG22" s="56">
        <f t="shared" si="11"/>
        <v>-5.7908559599925025E-2</v>
      </c>
      <c r="AH22" s="2">
        <f t="shared" si="12"/>
        <v>2008</v>
      </c>
      <c r="AI22" s="95">
        <f t="shared" si="4"/>
        <v>697.50213522700176</v>
      </c>
      <c r="AJ22" s="95">
        <f t="shared" si="31"/>
        <v>676.38157585453405</v>
      </c>
      <c r="AK22" s="95">
        <f t="shared" si="49"/>
        <v>38.251508601506536</v>
      </c>
      <c r="AL22" s="95">
        <f t="shared" si="50"/>
        <v>601.40999664125718</v>
      </c>
      <c r="AM22" s="95">
        <f t="shared" si="51"/>
        <v>751.35315506781092</v>
      </c>
      <c r="AN22" s="56">
        <f t="shared" si="13"/>
        <v>-2.0879060266744687E-2</v>
      </c>
      <c r="AO22" s="2">
        <f t="shared" si="14"/>
        <v>2008</v>
      </c>
      <c r="AP22" s="95">
        <f t="shared" si="5"/>
        <v>356.43523817415553</v>
      </c>
      <c r="AQ22" s="95">
        <f t="shared" si="32"/>
        <v>359.52690565536091</v>
      </c>
      <c r="AR22" s="95">
        <f t="shared" si="52"/>
        <v>77.000789264980455</v>
      </c>
      <c r="AS22" s="95">
        <f t="shared" si="53"/>
        <v>208.60813191484084</v>
      </c>
      <c r="AT22" s="95">
        <f t="shared" si="54"/>
        <v>510.44567939588097</v>
      </c>
      <c r="AU22" s="56">
        <f t="shared" si="15"/>
        <v>-0.19919101474393275</v>
      </c>
      <c r="AV22" s="2">
        <f t="shared" si="16"/>
        <v>2008</v>
      </c>
      <c r="AW22" s="95">
        <f t="shared" si="17"/>
        <v>1607.8651280028391</v>
      </c>
      <c r="AX22" s="95">
        <f t="shared" si="33"/>
        <v>1712.4528244320632</v>
      </c>
      <c r="AY22" s="95">
        <f t="shared" si="55"/>
        <v>388.4515063552131</v>
      </c>
      <c r="AZ22" s="95">
        <f t="shared" si="56"/>
        <v>951.10186223551375</v>
      </c>
      <c r="BA22" s="95">
        <f t="shared" si="57"/>
        <v>2473.8037866286127</v>
      </c>
      <c r="BB22" s="56">
        <f t="shared" si="18"/>
        <v>-0.21428870472386796</v>
      </c>
      <c r="BC22" s="2">
        <f t="shared" si="19"/>
        <v>2008</v>
      </c>
      <c r="BD22" s="95">
        <f t="shared" si="0"/>
        <v>542.90262198517496</v>
      </c>
      <c r="BE22" s="95">
        <f t="shared" si="34"/>
        <v>562.77540226495569</v>
      </c>
      <c r="BF22" s="95">
        <f t="shared" si="58"/>
        <v>20.360597330461044</v>
      </c>
      <c r="BG22" s="95">
        <f t="shared" si="59"/>
        <v>522.86936479352971</v>
      </c>
      <c r="BH22" s="95">
        <f t="shared" si="60"/>
        <v>602.68143973638166</v>
      </c>
      <c r="BI22" s="56">
        <f t="shared" si="20"/>
        <v>-1.1238177519187986E-2</v>
      </c>
      <c r="BJ22" s="134">
        <f t="shared" si="37"/>
        <v>3.6604686503656989E-2</v>
      </c>
      <c r="BL22" s="2">
        <f t="shared" si="21"/>
        <v>2008</v>
      </c>
      <c r="BM22" s="95">
        <f t="shared" si="22"/>
        <v>713.4351937364969</v>
      </c>
      <c r="BN22" s="95">
        <f t="shared" si="35"/>
        <v>687.62805699971739</v>
      </c>
      <c r="BO22" s="95">
        <f t="shared" si="61"/>
        <v>40.574224772150338</v>
      </c>
      <c r="BP22" s="95">
        <f t="shared" si="62"/>
        <v>608.10403774566987</v>
      </c>
      <c r="BQ22" s="95">
        <f t="shared" si="63"/>
        <v>767.1520762537649</v>
      </c>
      <c r="BR22" s="56">
        <f t="shared" si="23"/>
        <v>-1.3790561698143966E-2</v>
      </c>
      <c r="BS22" s="134">
        <f t="shared" si="38"/>
        <v>3.6173063739144924E-2</v>
      </c>
      <c r="BU22" s="2">
        <f t="shared" si="24"/>
        <v>2008</v>
      </c>
      <c r="BV22" s="95">
        <f t="shared" si="25"/>
        <v>781.06983644463719</v>
      </c>
      <c r="BW22" s="95">
        <f t="shared" si="36"/>
        <v>734.67246753119673</v>
      </c>
      <c r="BX22" s="95">
        <f t="shared" si="64"/>
        <v>111.04655780927003</v>
      </c>
      <c r="BY22" s="95">
        <f t="shared" si="65"/>
        <v>517.0252136178824</v>
      </c>
      <c r="BZ22" s="95">
        <f t="shared" si="66"/>
        <v>952.31972144451106</v>
      </c>
      <c r="CA22" s="56">
        <f t="shared" si="26"/>
        <v>-5.8347852543598422E-2</v>
      </c>
      <c r="CB22" s="134">
        <f t="shared" si="39"/>
        <v>5.9402330942182197E-2</v>
      </c>
    </row>
    <row r="23" spans="1:80" ht="1" customHeight="1">
      <c r="A23" s="2">
        <v>2009</v>
      </c>
      <c r="B23" s="95">
        <v>910.39956186582276</v>
      </c>
      <c r="C23" s="95">
        <v>391.34801783991605</v>
      </c>
      <c r="D23" s="95">
        <v>1620.2567651019049</v>
      </c>
      <c r="E23" s="95">
        <v>664.70746118338116</v>
      </c>
      <c r="F23" s="95">
        <v>289.47363733971213</v>
      </c>
      <c r="G23" s="147">
        <v>1523.6735407225917</v>
      </c>
      <c r="H23" s="95">
        <v>528.42693514697487</v>
      </c>
      <c r="I23" s="95">
        <v>731.88009586148451</v>
      </c>
      <c r="J23" s="95">
        <v>698.91236642799981</v>
      </c>
      <c r="K23" s="95">
        <f t="shared" si="27"/>
        <v>532.90262198517496</v>
      </c>
      <c r="L23" s="2"/>
      <c r="M23" s="2">
        <f t="shared" si="6"/>
        <v>2009</v>
      </c>
      <c r="N23" s="95">
        <f t="shared" si="1"/>
        <v>910.39956186582276</v>
      </c>
      <c r="O23" s="95">
        <f t="shared" si="28"/>
        <v>920.26723984688215</v>
      </c>
      <c r="P23" s="95">
        <f t="shared" si="40"/>
        <v>19.03913658839241</v>
      </c>
      <c r="Q23" s="95">
        <f t="shared" si="41"/>
        <v>882.95121783689422</v>
      </c>
      <c r="R23" s="95">
        <f t="shared" si="42"/>
        <v>957.58326185687008</v>
      </c>
      <c r="S23" s="56">
        <f t="shared" si="7"/>
        <v>-2.6088989046365918E-2</v>
      </c>
      <c r="T23" s="2">
        <f t="shared" si="8"/>
        <v>2009</v>
      </c>
      <c r="U23" s="95">
        <f t="shared" si="2"/>
        <v>391.34801783991605</v>
      </c>
      <c r="V23" s="95">
        <f t="shared" si="29"/>
        <v>395.30805689694716</v>
      </c>
      <c r="W23" s="95">
        <f t="shared" si="43"/>
        <v>15.623770105783201</v>
      </c>
      <c r="X23" s="95">
        <f t="shared" si="44"/>
        <v>364.68603018687855</v>
      </c>
      <c r="Y23" s="95">
        <f t="shared" si="45"/>
        <v>425.93008360701577</v>
      </c>
      <c r="Z23" s="56">
        <f t="shared" si="9"/>
        <v>-3.5756038374468169E-4</v>
      </c>
      <c r="AA23" s="2">
        <f t="shared" si="10"/>
        <v>2009</v>
      </c>
      <c r="AB23" s="95">
        <f t="shared" si="3"/>
        <v>1620.2567651019049</v>
      </c>
      <c r="AC23" s="95">
        <f t="shared" si="30"/>
        <v>1817.7734095181659</v>
      </c>
      <c r="AD23" s="95">
        <f t="shared" si="46"/>
        <v>265.85375547904556</v>
      </c>
      <c r="AE23" s="95">
        <f t="shared" si="47"/>
        <v>1296.7096236245186</v>
      </c>
      <c r="AF23" s="95">
        <f t="shared" si="48"/>
        <v>2338.8371954118129</v>
      </c>
      <c r="AG23" s="56">
        <f t="shared" si="11"/>
        <v>-4.1674039316254907E-2</v>
      </c>
      <c r="AH23" s="2">
        <f t="shared" si="12"/>
        <v>2009</v>
      </c>
      <c r="AI23" s="95">
        <f t="shared" si="4"/>
        <v>664.70746118338116</v>
      </c>
      <c r="AJ23" s="95">
        <f t="shared" si="31"/>
        <v>694.18965504554785</v>
      </c>
      <c r="AK23" s="95">
        <f t="shared" si="49"/>
        <v>37.942761674623618</v>
      </c>
      <c r="AL23" s="95">
        <f t="shared" si="50"/>
        <v>619.82320868929889</v>
      </c>
      <c r="AM23" s="95">
        <f t="shared" si="51"/>
        <v>768.55610140179681</v>
      </c>
      <c r="AN23" s="56">
        <f t="shared" si="13"/>
        <v>-4.7017309893893855E-2</v>
      </c>
      <c r="AO23" s="2">
        <f t="shared" si="14"/>
        <v>2009</v>
      </c>
      <c r="AP23" s="95">
        <f t="shared" si="5"/>
        <v>289.47363733971213</v>
      </c>
      <c r="AQ23" s="95">
        <f t="shared" si="32"/>
        <v>362.62139826030261</v>
      </c>
      <c r="AR23" s="95">
        <f t="shared" si="52"/>
        <v>65.714420708949177</v>
      </c>
      <c r="AS23" s="95">
        <f t="shared" si="53"/>
        <v>233.82350040584916</v>
      </c>
      <c r="AT23" s="95">
        <f t="shared" si="54"/>
        <v>491.41929611475609</v>
      </c>
      <c r="AU23" s="56">
        <f t="shared" si="15"/>
        <v>-0.18786470489689833</v>
      </c>
      <c r="AV23" s="2">
        <f t="shared" si="16"/>
        <v>2009</v>
      </c>
      <c r="AW23" s="95">
        <f t="shared" si="17"/>
        <v>1523.6735407225917</v>
      </c>
      <c r="AX23" s="95">
        <f t="shared" si="33"/>
        <v>1695.8293162843079</v>
      </c>
      <c r="AY23" s="95">
        <f t="shared" si="55"/>
        <v>327.99200667007528</v>
      </c>
      <c r="AZ23" s="95">
        <f t="shared" si="56"/>
        <v>1052.9767959939393</v>
      </c>
      <c r="BA23" s="95">
        <f t="shared" si="57"/>
        <v>2338.6818365746767</v>
      </c>
      <c r="BB23" s="56">
        <f t="shared" si="18"/>
        <v>-5.2362344212803169E-2</v>
      </c>
      <c r="BC23" s="2">
        <f t="shared" si="19"/>
        <v>2009</v>
      </c>
      <c r="BD23" s="95">
        <f t="shared" si="0"/>
        <v>528.42693514697487</v>
      </c>
      <c r="BE23" s="95">
        <f t="shared" si="34"/>
        <v>564.7968042630722</v>
      </c>
      <c r="BF23" s="95">
        <f t="shared" si="58"/>
        <v>20.249290303883857</v>
      </c>
      <c r="BG23" s="95">
        <f t="shared" si="59"/>
        <v>525.10892455496378</v>
      </c>
      <c r="BH23" s="95">
        <f t="shared" si="60"/>
        <v>604.48468397118063</v>
      </c>
      <c r="BI23" s="56">
        <f t="shared" si="20"/>
        <v>-2.6663505114910557E-2</v>
      </c>
      <c r="BJ23" s="134">
        <f t="shared" si="37"/>
        <v>6.8826675358593409E-2</v>
      </c>
      <c r="BL23" s="2">
        <f t="shared" si="21"/>
        <v>2009</v>
      </c>
      <c r="BM23" s="95">
        <f t="shared" si="22"/>
        <v>731.88009586148451</v>
      </c>
      <c r="BN23" s="95">
        <f t="shared" si="35"/>
        <v>707.11475985725622</v>
      </c>
      <c r="BO23" s="95">
        <f t="shared" si="61"/>
        <v>40.562928098645159</v>
      </c>
      <c r="BP23" s="95">
        <f t="shared" si="62"/>
        <v>627.61288167642397</v>
      </c>
      <c r="BQ23" s="95">
        <f t="shared" si="63"/>
        <v>786.61663803808847</v>
      </c>
      <c r="BR23" s="56">
        <f t="shared" si="23"/>
        <v>2.5853647657029022E-2</v>
      </c>
      <c r="BS23" s="134">
        <f t="shared" si="38"/>
        <v>3.3837969011955987E-2</v>
      </c>
      <c r="BU23" s="2">
        <f t="shared" si="24"/>
        <v>2009</v>
      </c>
      <c r="BV23" s="95">
        <f t="shared" si="25"/>
        <v>698.91236642799981</v>
      </c>
      <c r="BW23" s="95">
        <f t="shared" si="36"/>
        <v>779.75072728468388</v>
      </c>
      <c r="BX23" s="95">
        <f t="shared" si="64"/>
        <v>110.70782723082044</v>
      </c>
      <c r="BY23" s="95">
        <f t="shared" si="65"/>
        <v>562.76737310559315</v>
      </c>
      <c r="BZ23" s="95">
        <f t="shared" si="66"/>
        <v>996.7340814637746</v>
      </c>
      <c r="CA23" s="56">
        <f t="shared" si="26"/>
        <v>-0.10518581845460984</v>
      </c>
      <c r="CB23" s="134">
        <f t="shared" si="39"/>
        <v>0.11566308558801532</v>
      </c>
    </row>
    <row r="24" spans="1:80" ht="15.5">
      <c r="A24" s="2">
        <v>2010</v>
      </c>
      <c r="B24" s="95">
        <v>889.47914790018706</v>
      </c>
      <c r="C24" s="95">
        <v>391.03106741154966</v>
      </c>
      <c r="D24" s="95">
        <v>1664.9388174834778</v>
      </c>
      <c r="E24" s="95">
        <v>691.08248870890748</v>
      </c>
      <c r="F24" s="95">
        <v>328.85445751297351</v>
      </c>
      <c r="G24" s="147">
        <v>1776.3301888816188</v>
      </c>
      <c r="H24" s="95">
        <v>526.3129167115593</v>
      </c>
      <c r="I24" s="95">
        <v>678.30262613244281</v>
      </c>
      <c r="J24" s="95">
        <v>876.83309436190905</v>
      </c>
      <c r="K24" s="95">
        <f t="shared" si="27"/>
        <v>518.42693514697487</v>
      </c>
      <c r="L24" s="2"/>
      <c r="M24" s="2">
        <f t="shared" si="6"/>
        <v>2010</v>
      </c>
      <c r="N24" s="95">
        <f t="shared" si="1"/>
        <v>889.47914790018706</v>
      </c>
      <c r="O24" s="95">
        <f t="shared" si="28"/>
        <v>917.04565829883575</v>
      </c>
      <c r="P24" s="95">
        <f t="shared" si="40"/>
        <v>11.171823780795558</v>
      </c>
      <c r="Q24" s="95">
        <f t="shared" si="41"/>
        <v>895.14928604684837</v>
      </c>
      <c r="R24" s="95">
        <f t="shared" si="42"/>
        <v>938.94203055082312</v>
      </c>
      <c r="S24" s="56">
        <f t="shared" si="7"/>
        <v>-2.2979376135419338E-2</v>
      </c>
      <c r="T24" s="2">
        <f t="shared" si="8"/>
        <v>2010</v>
      </c>
      <c r="U24" s="95">
        <f t="shared" si="2"/>
        <v>391.03106741154966</v>
      </c>
      <c r="V24" s="95">
        <f t="shared" si="29"/>
        <v>392.08347919197399</v>
      </c>
      <c r="W24" s="95">
        <f t="shared" si="43"/>
        <v>8.9219206947998817</v>
      </c>
      <c r="X24" s="95">
        <f t="shared" si="44"/>
        <v>374.59683595724363</v>
      </c>
      <c r="Y24" s="95">
        <f t="shared" si="45"/>
        <v>409.57012242670436</v>
      </c>
      <c r="Z24" s="56">
        <f t="shared" si="9"/>
        <v>-8.0989404294373735E-4</v>
      </c>
      <c r="AA24" s="2">
        <f t="shared" si="10"/>
        <v>2010</v>
      </c>
      <c r="AB24" s="95">
        <f t="shared" si="3"/>
        <v>1664.9388174834778</v>
      </c>
      <c r="AC24" s="95">
        <f t="shared" si="30"/>
        <v>1775.7979280879404</v>
      </c>
      <c r="AD24" s="95">
        <f t="shared" si="46"/>
        <v>215.40605053270968</v>
      </c>
      <c r="AE24" s="95">
        <f t="shared" si="47"/>
        <v>1353.6098269918145</v>
      </c>
      <c r="AF24" s="95">
        <f t="shared" si="48"/>
        <v>2197.986029184066</v>
      </c>
      <c r="AG24" s="56">
        <f t="shared" si="11"/>
        <v>2.7577142922012632E-2</v>
      </c>
      <c r="AH24" s="2">
        <f t="shared" si="12"/>
        <v>2010</v>
      </c>
      <c r="AI24" s="95">
        <f t="shared" si="4"/>
        <v>691.08248870890748</v>
      </c>
      <c r="AJ24" s="95">
        <f t="shared" si="31"/>
        <v>690.90312941006687</v>
      </c>
      <c r="AK24" s="95">
        <f t="shared" si="49"/>
        <v>33.59131848701491</v>
      </c>
      <c r="AL24" s="95">
        <f t="shared" si="50"/>
        <v>625.06535498230312</v>
      </c>
      <c r="AM24" s="95">
        <f t="shared" si="51"/>
        <v>756.74090383783061</v>
      </c>
      <c r="AN24" s="56">
        <f t="shared" si="13"/>
        <v>3.9679150702732757E-2</v>
      </c>
      <c r="AO24" s="2">
        <f t="shared" si="14"/>
        <v>2010</v>
      </c>
      <c r="AP24" s="95">
        <f t="shared" si="5"/>
        <v>328.85445751297351</v>
      </c>
      <c r="AQ24" s="95">
        <f t="shared" si="32"/>
        <v>345.2479777403455</v>
      </c>
      <c r="AR24" s="95">
        <f t="shared" si="52"/>
        <v>48.567185600101141</v>
      </c>
      <c r="AS24" s="95">
        <f t="shared" si="53"/>
        <v>250.05804313367497</v>
      </c>
      <c r="AT24" s="95">
        <f t="shared" si="54"/>
        <v>440.43791234701604</v>
      </c>
      <c r="AU24" s="56">
        <f t="shared" si="15"/>
        <v>0.13604285535351179</v>
      </c>
      <c r="AV24" s="2">
        <f t="shared" si="16"/>
        <v>2010</v>
      </c>
      <c r="AW24" s="95">
        <f t="shared" si="17"/>
        <v>1776.3301888816188</v>
      </c>
      <c r="AX24" s="95">
        <f t="shared" si="33"/>
        <v>1627.8660380722299</v>
      </c>
      <c r="AY24" s="95">
        <f t="shared" si="55"/>
        <v>176.05653200141359</v>
      </c>
      <c r="AZ24" s="95">
        <f t="shared" si="56"/>
        <v>1282.801576106436</v>
      </c>
      <c r="BA24" s="95">
        <f t="shared" si="57"/>
        <v>1972.9305000380239</v>
      </c>
      <c r="BB24" s="56">
        <f t="shared" si="18"/>
        <v>0.165820723013413</v>
      </c>
      <c r="BC24" s="2">
        <f t="shared" si="19"/>
        <v>2010</v>
      </c>
      <c r="BD24" s="95">
        <f t="shared" si="0"/>
        <v>526.3129167115593</v>
      </c>
      <c r="BE24" s="95">
        <f t="shared" si="34"/>
        <v>550.9559913519621</v>
      </c>
      <c r="BF24" s="95">
        <f t="shared" si="58"/>
        <v>15.771322051164912</v>
      </c>
      <c r="BG24" s="95">
        <f t="shared" si="59"/>
        <v>520.04476814309646</v>
      </c>
      <c r="BH24" s="95">
        <f t="shared" si="60"/>
        <v>581.86721456082773</v>
      </c>
      <c r="BI24" s="56">
        <f t="shared" si="20"/>
        <v>-4.0005879617540652E-3</v>
      </c>
      <c r="BJ24" s="134">
        <f t="shared" si="37"/>
        <v>4.6822097383386468E-2</v>
      </c>
      <c r="BL24" s="2">
        <f t="shared" si="21"/>
        <v>2010</v>
      </c>
      <c r="BM24" s="95">
        <f t="shared" si="22"/>
        <v>678.30262613244281</v>
      </c>
      <c r="BN24" s="95">
        <f t="shared" si="35"/>
        <v>713.71460053851331</v>
      </c>
      <c r="BO24" s="95">
        <f t="shared" si="61"/>
        <v>31.980962790077058</v>
      </c>
      <c r="BP24" s="95">
        <f t="shared" si="62"/>
        <v>651.0330652790467</v>
      </c>
      <c r="BQ24" s="95">
        <f t="shared" si="63"/>
        <v>776.39613579797992</v>
      </c>
      <c r="BR24" s="56">
        <f t="shared" si="23"/>
        <v>-7.3205255931952262E-2</v>
      </c>
      <c r="BS24" s="134">
        <f t="shared" si="38"/>
        <v>5.2206748200258467E-2</v>
      </c>
      <c r="BU24" s="2">
        <f t="shared" si="24"/>
        <v>2010</v>
      </c>
      <c r="BV24" s="95">
        <f t="shared" si="25"/>
        <v>876.83309436190905</v>
      </c>
      <c r="BW24" s="95">
        <f t="shared" si="36"/>
        <v>776.83581484896899</v>
      </c>
      <c r="BX24" s="95">
        <f t="shared" si="64"/>
        <v>102.14518305710453</v>
      </c>
      <c r="BY24" s="95">
        <f t="shared" si="65"/>
        <v>576.63493486279322</v>
      </c>
      <c r="BZ24" s="95">
        <f t="shared" si="66"/>
        <v>977.03669483514477</v>
      </c>
      <c r="CA24" s="56">
        <f t="shared" si="26"/>
        <v>0.25456800663468893</v>
      </c>
      <c r="CB24" s="134">
        <f t="shared" si="39"/>
        <v>0.11404368762530605</v>
      </c>
    </row>
    <row r="25" spans="1:80" ht="1" customHeight="1">
      <c r="A25" s="2">
        <v>2011</v>
      </c>
      <c r="B25" s="95">
        <v>873.69470071894705</v>
      </c>
      <c r="C25" s="95">
        <v>384.33883950500382</v>
      </c>
      <c r="D25" s="95">
        <v>1629.8630145789484</v>
      </c>
      <c r="E25" s="95">
        <v>621.24716692697336</v>
      </c>
      <c r="F25" s="95">
        <v>286.90120177760105</v>
      </c>
      <c r="G25" s="147">
        <v>1635.4924702244148</v>
      </c>
      <c r="H25" s="95">
        <v>523.27715367380472</v>
      </c>
      <c r="I25" s="95">
        <v>661.28697740645339</v>
      </c>
      <c r="J25" s="95">
        <v>884.35918816637638</v>
      </c>
      <c r="K25" s="95">
        <f t="shared" si="27"/>
        <v>516.3129167115593</v>
      </c>
      <c r="L25" s="2"/>
      <c r="M25" s="2">
        <f t="shared" si="6"/>
        <v>2011</v>
      </c>
      <c r="N25" s="95">
        <f t="shared" si="1"/>
        <v>873.69470071894705</v>
      </c>
      <c r="O25" s="95">
        <f t="shared" si="28"/>
        <v>910.96888579879612</v>
      </c>
      <c r="P25" s="95">
        <f t="shared" si="40"/>
        <v>13.411317746967702</v>
      </c>
      <c r="Q25" s="95">
        <f t="shared" si="41"/>
        <v>884.68318602951661</v>
      </c>
      <c r="R25" s="95">
        <f t="shared" si="42"/>
        <v>937.25458556807564</v>
      </c>
      <c r="S25" s="56">
        <f t="shared" si="7"/>
        <v>-1.7745719186900266E-2</v>
      </c>
      <c r="T25" s="2">
        <f t="shared" si="8"/>
        <v>2011</v>
      </c>
      <c r="U25" s="95">
        <f t="shared" si="2"/>
        <v>384.33883950500382</v>
      </c>
      <c r="V25" s="95">
        <f t="shared" si="29"/>
        <v>390.18244131154313</v>
      </c>
      <c r="W25" s="95">
        <f t="shared" si="43"/>
        <v>2.6231639228926329</v>
      </c>
      <c r="X25" s="95">
        <f t="shared" si="44"/>
        <v>385.04113449712878</v>
      </c>
      <c r="Y25" s="95">
        <f t="shared" si="45"/>
        <v>395.32374812595748</v>
      </c>
      <c r="Z25" s="56">
        <f t="shared" si="9"/>
        <v>-1.7114312555381872E-2</v>
      </c>
      <c r="AA25" s="2">
        <f t="shared" si="10"/>
        <v>2011</v>
      </c>
      <c r="AB25" s="95">
        <f t="shared" si="3"/>
        <v>1629.8630145789484</v>
      </c>
      <c r="AC25" s="95">
        <f t="shared" si="30"/>
        <v>1727.5286242572104</v>
      </c>
      <c r="AD25" s="95">
        <f t="shared" si="46"/>
        <v>141.16129643233003</v>
      </c>
      <c r="AE25" s="95">
        <f t="shared" si="47"/>
        <v>1450.8575672388611</v>
      </c>
      <c r="AF25" s="95">
        <f t="shared" si="48"/>
        <v>2004.1996812755597</v>
      </c>
      <c r="AG25" s="56">
        <f t="shared" si="11"/>
        <v>-2.1067322436235658E-2</v>
      </c>
      <c r="AH25" s="2">
        <f t="shared" si="12"/>
        <v>2011</v>
      </c>
      <c r="AI25" s="95">
        <f t="shared" si="4"/>
        <v>621.24716692697336</v>
      </c>
      <c r="AJ25" s="95">
        <f t="shared" si="31"/>
        <v>694.09374637476981</v>
      </c>
      <c r="AK25" s="95">
        <f t="shared" si="49"/>
        <v>30.110556783955797</v>
      </c>
      <c r="AL25" s="95">
        <f t="shared" si="50"/>
        <v>635.0781395237683</v>
      </c>
      <c r="AM25" s="95">
        <f t="shared" si="51"/>
        <v>753.10935322577132</v>
      </c>
      <c r="AN25" s="56">
        <f t="shared" si="13"/>
        <v>-0.10105207833062257</v>
      </c>
      <c r="AO25" s="2">
        <f t="shared" si="14"/>
        <v>2011</v>
      </c>
      <c r="AP25" s="95">
        <f t="shared" si="5"/>
        <v>286.90120177760105</v>
      </c>
      <c r="AQ25" s="95">
        <f t="shared" si="32"/>
        <v>347.59364261605225</v>
      </c>
      <c r="AR25" s="95">
        <f t="shared" si="52"/>
        <v>46.997792491771278</v>
      </c>
      <c r="AS25" s="95">
        <f t="shared" si="53"/>
        <v>255.47966197929361</v>
      </c>
      <c r="AT25" s="95">
        <f t="shared" si="54"/>
        <v>439.70762325281089</v>
      </c>
      <c r="AU25" s="56">
        <f t="shared" si="15"/>
        <v>-0.12757393058513544</v>
      </c>
      <c r="AV25" s="2">
        <f t="shared" si="16"/>
        <v>2011</v>
      </c>
      <c r="AW25" s="95">
        <f t="shared" si="17"/>
        <v>1635.4924702244148</v>
      </c>
      <c r="AX25" s="95">
        <f t="shared" si="33"/>
        <v>1685.1010590406499</v>
      </c>
      <c r="AY25" s="95">
        <f t="shared" si="55"/>
        <v>166.76152017086261</v>
      </c>
      <c r="AZ25" s="95">
        <f t="shared" si="56"/>
        <v>1358.2544854986095</v>
      </c>
      <c r="BA25" s="95">
        <f t="shared" si="57"/>
        <v>2011.9476325826904</v>
      </c>
      <c r="BB25" s="56">
        <f t="shared" si="18"/>
        <v>-7.9285776675267705E-2</v>
      </c>
      <c r="BC25" s="2">
        <f t="shared" si="19"/>
        <v>2011</v>
      </c>
      <c r="BD25" s="95">
        <f t="shared" si="0"/>
        <v>523.27715367380472</v>
      </c>
      <c r="BE25" s="95">
        <f t="shared" si="34"/>
        <v>541.82981991901261</v>
      </c>
      <c r="BF25" s="95">
        <f t="shared" si="58"/>
        <v>16.903856339163557</v>
      </c>
      <c r="BG25" s="95">
        <f t="shared" si="59"/>
        <v>508.69887029441293</v>
      </c>
      <c r="BH25" s="95">
        <f t="shared" si="60"/>
        <v>574.96076954361229</v>
      </c>
      <c r="BI25" s="56">
        <f t="shared" si="20"/>
        <v>-5.7679812548060427E-3</v>
      </c>
      <c r="BJ25" s="134">
        <f t="shared" si="37"/>
        <v>3.5454760665460015E-2</v>
      </c>
      <c r="BL25" s="2">
        <f t="shared" si="21"/>
        <v>2011</v>
      </c>
      <c r="BM25" s="95">
        <f t="shared" si="22"/>
        <v>661.28697740645339</v>
      </c>
      <c r="BN25" s="95">
        <f t="shared" si="35"/>
        <v>710.63294800743802</v>
      </c>
      <c r="BO25" s="95">
        <f t="shared" si="61"/>
        <v>29.822641294341555</v>
      </c>
      <c r="BP25" s="95">
        <f t="shared" si="62"/>
        <v>652.1816451466716</v>
      </c>
      <c r="BQ25" s="95">
        <f t="shared" si="63"/>
        <v>769.08425086820444</v>
      </c>
      <c r="BR25" s="56">
        <f t="shared" si="23"/>
        <v>-2.5085630027720129E-2</v>
      </c>
      <c r="BS25" s="134">
        <f t="shared" si="38"/>
        <v>7.4621113505845771E-2</v>
      </c>
      <c r="BU25" s="2">
        <f t="shared" si="24"/>
        <v>2011</v>
      </c>
      <c r="BV25" s="95">
        <f t="shared" si="25"/>
        <v>884.35918816637638</v>
      </c>
      <c r="BW25" s="95">
        <f t="shared" si="36"/>
        <v>800.6948777292605</v>
      </c>
      <c r="BX25" s="95">
        <f t="shared" si="64"/>
        <v>90.093592123026752</v>
      </c>
      <c r="BY25" s="95">
        <f t="shared" si="65"/>
        <v>624.11468193028657</v>
      </c>
      <c r="BZ25" s="95">
        <f t="shared" si="66"/>
        <v>977.27507352823443</v>
      </c>
      <c r="CA25" s="56">
        <f t="shared" si="26"/>
        <v>8.5832684154607541E-3</v>
      </c>
      <c r="CB25" s="134">
        <f t="shared" si="39"/>
        <v>9.4604445293981543E-2</v>
      </c>
    </row>
    <row r="26" spans="1:80" ht="1" customHeight="1">
      <c r="A26" s="2">
        <v>2012</v>
      </c>
      <c r="B26" s="95">
        <v>862.45307697388535</v>
      </c>
      <c r="C26" s="95">
        <v>387.78837684033346</v>
      </c>
      <c r="D26" s="95">
        <v>1495.8769747691595</v>
      </c>
      <c r="E26" s="95">
        <v>637.77602239044882</v>
      </c>
      <c r="F26" s="95">
        <v>262.74072767413492</v>
      </c>
      <c r="G26" s="147">
        <v>1710.661406639191</v>
      </c>
      <c r="H26" s="95">
        <v>532.20039547814781</v>
      </c>
      <c r="I26" s="95">
        <v>723.69720986405696</v>
      </c>
      <c r="J26" s="95">
        <v>837.08002114387205</v>
      </c>
      <c r="K26" s="95">
        <f t="shared" si="27"/>
        <v>513.27715367380472</v>
      </c>
      <c r="L26" s="2"/>
      <c r="M26" s="2">
        <f t="shared" si="6"/>
        <v>2012</v>
      </c>
      <c r="N26" s="95">
        <f t="shared" si="1"/>
        <v>862.45307697388535</v>
      </c>
      <c r="O26" s="95">
        <f t="shared" si="28"/>
        <v>905.99266363694619</v>
      </c>
      <c r="P26" s="95">
        <f t="shared" si="40"/>
        <v>19.083625494337081</v>
      </c>
      <c r="Q26" s="95">
        <f t="shared" si="41"/>
        <v>868.58944497359516</v>
      </c>
      <c r="R26" s="95">
        <f t="shared" si="42"/>
        <v>943.39588230029722</v>
      </c>
      <c r="S26" s="56">
        <f t="shared" si="7"/>
        <v>-1.2866764255078045E-2</v>
      </c>
      <c r="T26" s="2">
        <f t="shared" si="8"/>
        <v>2012</v>
      </c>
      <c r="U26" s="95">
        <f t="shared" si="2"/>
        <v>387.78837684033346</v>
      </c>
      <c r="V26" s="95">
        <f t="shared" si="29"/>
        <v>389.09415817983427</v>
      </c>
      <c r="W26" s="95">
        <f t="shared" si="43"/>
        <v>2.9297574501044652</v>
      </c>
      <c r="X26" s="95">
        <f t="shared" si="44"/>
        <v>383.35193909419161</v>
      </c>
      <c r="Y26" s="95">
        <f t="shared" si="45"/>
        <v>394.83637726547693</v>
      </c>
      <c r="Z26" s="56">
        <f t="shared" si="9"/>
        <v>8.9752504320728121E-3</v>
      </c>
      <c r="AA26" s="2">
        <f t="shared" si="10"/>
        <v>2012</v>
      </c>
      <c r="AB26" s="95">
        <f t="shared" si="3"/>
        <v>1495.8769747691595</v>
      </c>
      <c r="AC26" s="95">
        <f t="shared" si="30"/>
        <v>1680.0830193285424</v>
      </c>
      <c r="AD26" s="95">
        <f t="shared" si="46"/>
        <v>101.16869635108424</v>
      </c>
      <c r="AE26" s="95">
        <f t="shared" si="47"/>
        <v>1481.7960181175486</v>
      </c>
      <c r="AF26" s="95">
        <f t="shared" si="48"/>
        <v>1878.3700205395362</v>
      </c>
      <c r="AG26" s="56">
        <f t="shared" si="11"/>
        <v>-8.2206933104990054E-2</v>
      </c>
      <c r="AH26" s="2">
        <f t="shared" si="12"/>
        <v>2012</v>
      </c>
      <c r="AI26" s="95">
        <f t="shared" si="4"/>
        <v>637.77602239044882</v>
      </c>
      <c r="AJ26" s="95">
        <f t="shared" si="31"/>
        <v>677.38302521595722</v>
      </c>
      <c r="AK26" s="95">
        <f t="shared" si="49"/>
        <v>32.103200210459221</v>
      </c>
      <c r="AL26" s="95">
        <f t="shared" si="50"/>
        <v>614.46190901497846</v>
      </c>
      <c r="AM26" s="95">
        <f t="shared" si="51"/>
        <v>740.30414141693598</v>
      </c>
      <c r="AN26" s="56">
        <f t="shared" si="13"/>
        <v>2.6605924893365884E-2</v>
      </c>
      <c r="AO26" s="2">
        <f t="shared" si="14"/>
        <v>2012</v>
      </c>
      <c r="AP26" s="95">
        <f t="shared" si="5"/>
        <v>262.74072767413492</v>
      </c>
      <c r="AQ26" s="95">
        <f t="shared" si="32"/>
        <v>341.35169789270634</v>
      </c>
      <c r="AR26" s="95">
        <f t="shared" si="52"/>
        <v>52.510530533317237</v>
      </c>
      <c r="AS26" s="95">
        <f t="shared" si="53"/>
        <v>238.43294923831374</v>
      </c>
      <c r="AT26" s="95">
        <f t="shared" si="54"/>
        <v>444.27044654709891</v>
      </c>
      <c r="AU26" s="56">
        <f t="shared" si="15"/>
        <v>-8.4211826070337503E-2</v>
      </c>
      <c r="AV26" s="2">
        <f t="shared" si="16"/>
        <v>2012</v>
      </c>
      <c r="AW26" s="95">
        <f t="shared" si="17"/>
        <v>1710.661406639191</v>
      </c>
      <c r="AX26" s="95">
        <f t="shared" si="33"/>
        <v>1717.948583132217</v>
      </c>
      <c r="AY26" s="95">
        <f t="shared" si="55"/>
        <v>170.4253259557386</v>
      </c>
      <c r="AZ26" s="95">
        <f t="shared" si="56"/>
        <v>1383.9210822054702</v>
      </c>
      <c r="BA26" s="95">
        <f t="shared" si="57"/>
        <v>2051.9760840589638</v>
      </c>
      <c r="BB26" s="56">
        <f t="shared" si="18"/>
        <v>4.5961040960623922E-2</v>
      </c>
      <c r="BC26" s="2">
        <f t="shared" si="19"/>
        <v>2012</v>
      </c>
      <c r="BD26" s="95">
        <f t="shared" si="0"/>
        <v>532.20039547814781</v>
      </c>
      <c r="BE26" s="95">
        <f t="shared" si="34"/>
        <v>533.99856632833303</v>
      </c>
      <c r="BF26" s="95">
        <f t="shared" si="58"/>
        <v>17.495066730100088</v>
      </c>
      <c r="BG26" s="95">
        <f t="shared" si="59"/>
        <v>499.7088656302119</v>
      </c>
      <c r="BH26" s="95">
        <f t="shared" si="60"/>
        <v>568.28826702645415</v>
      </c>
      <c r="BI26" s="56">
        <f t="shared" si="20"/>
        <v>1.7052611109992233E-2</v>
      </c>
      <c r="BJ26" s="134">
        <f t="shared" si="37"/>
        <v>3.378747677497824E-3</v>
      </c>
      <c r="BL26" s="2">
        <f t="shared" si="21"/>
        <v>2012</v>
      </c>
      <c r="BM26" s="95">
        <f t="shared" si="22"/>
        <v>723.69720986405696</v>
      </c>
      <c r="BN26" s="95">
        <f t="shared" si="35"/>
        <v>701.66326740468708</v>
      </c>
      <c r="BO26" s="95">
        <f t="shared" si="61"/>
        <v>29.41386879826015</v>
      </c>
      <c r="BP26" s="95">
        <f t="shared" si="62"/>
        <v>644.01314391411074</v>
      </c>
      <c r="BQ26" s="95">
        <f t="shared" si="63"/>
        <v>759.31339089526341</v>
      </c>
      <c r="BR26" s="56">
        <f t="shared" si="23"/>
        <v>9.4376926493206614E-2</v>
      </c>
      <c r="BS26" s="134">
        <f t="shared" si="38"/>
        <v>3.0446355408097887E-2</v>
      </c>
      <c r="BU26" s="2">
        <f t="shared" si="24"/>
        <v>2012</v>
      </c>
      <c r="BV26" s="95">
        <f t="shared" si="25"/>
        <v>837.08002114387205</v>
      </c>
      <c r="BW26" s="95">
        <f t="shared" si="36"/>
        <v>814.1283936445941</v>
      </c>
      <c r="BX26" s="95">
        <f t="shared" si="64"/>
        <v>71.818230718871007</v>
      </c>
      <c r="BY26" s="95">
        <f t="shared" si="65"/>
        <v>673.36724800221873</v>
      </c>
      <c r="BZ26" s="95">
        <f t="shared" si="66"/>
        <v>954.88953928696947</v>
      </c>
      <c r="CA26" s="56">
        <f t="shared" si="26"/>
        <v>-5.3461498060004997E-2</v>
      </c>
      <c r="CB26" s="134">
        <f t="shared" si="39"/>
        <v>2.7418677927487135E-2</v>
      </c>
    </row>
    <row r="27" spans="1:80" ht="1" customHeight="1">
      <c r="A27" s="2">
        <v>2013</v>
      </c>
      <c r="B27" s="95">
        <v>877.65336236047153</v>
      </c>
      <c r="C27" s="95">
        <v>372.78582123158014</v>
      </c>
      <c r="D27" s="95">
        <v>1606.0201425642711</v>
      </c>
      <c r="E27" s="95">
        <v>565.12038940152206</v>
      </c>
      <c r="F27" s="95">
        <v>194.54606868526571</v>
      </c>
      <c r="G27" s="147">
        <v>1644.6643620579669</v>
      </c>
      <c r="H27" s="95">
        <v>508.5175238657676</v>
      </c>
      <c r="I27" s="95">
        <v>626.69909243354834</v>
      </c>
      <c r="J27" s="95">
        <v>791.89274972394253</v>
      </c>
      <c r="K27" s="95">
        <f t="shared" si="27"/>
        <v>522.20039547814781</v>
      </c>
      <c r="L27" s="2"/>
      <c r="M27" s="2">
        <f t="shared" si="6"/>
        <v>2013</v>
      </c>
      <c r="N27" s="95">
        <f t="shared" si="1"/>
        <v>877.65336236047153</v>
      </c>
      <c r="O27" s="95">
        <f t="shared" si="28"/>
        <v>894.16274054898929</v>
      </c>
      <c r="P27" s="95">
        <f t="shared" si="40"/>
        <v>23.51795183344916</v>
      </c>
      <c r="Q27" s="95">
        <f t="shared" si="41"/>
        <v>848.06840196528117</v>
      </c>
      <c r="R27" s="95">
        <f t="shared" si="42"/>
        <v>940.25707913269741</v>
      </c>
      <c r="S27" s="56">
        <f t="shared" si="7"/>
        <v>1.762447812224166E-2</v>
      </c>
      <c r="T27" s="2">
        <f t="shared" si="8"/>
        <v>2013</v>
      </c>
      <c r="U27" s="95">
        <f t="shared" si="2"/>
        <v>372.78582123158014</v>
      </c>
      <c r="V27" s="95">
        <f t="shared" si="29"/>
        <v>389.19886000713444</v>
      </c>
      <c r="W27" s="95">
        <f t="shared" si="43"/>
        <v>2.8445187552250624</v>
      </c>
      <c r="X27" s="95">
        <f t="shared" si="44"/>
        <v>383.62370569354459</v>
      </c>
      <c r="Y27" s="95">
        <f t="shared" si="45"/>
        <v>394.77401432072429</v>
      </c>
      <c r="Z27" s="56">
        <f t="shared" si="9"/>
        <v>-3.8687481380934807E-2</v>
      </c>
      <c r="AA27" s="2">
        <f t="shared" si="10"/>
        <v>2013</v>
      </c>
      <c r="AB27" s="95">
        <f t="shared" si="3"/>
        <v>1606.0201425642711</v>
      </c>
      <c r="AC27" s="95">
        <f t="shared" si="30"/>
        <v>1620.3302580715224</v>
      </c>
      <c r="AD27" s="95">
        <f t="shared" si="46"/>
        <v>111.59288755378506</v>
      </c>
      <c r="AE27" s="95">
        <f t="shared" si="47"/>
        <v>1401.6122175352757</v>
      </c>
      <c r="AF27" s="95">
        <f t="shared" si="48"/>
        <v>1839.0482986077691</v>
      </c>
      <c r="AG27" s="56">
        <f t="shared" si="11"/>
        <v>7.3631167303787493E-2</v>
      </c>
      <c r="AH27" s="2">
        <f t="shared" si="12"/>
        <v>2013</v>
      </c>
      <c r="AI27" s="95">
        <f t="shared" si="4"/>
        <v>565.12038940152206</v>
      </c>
      <c r="AJ27" s="95">
        <f t="shared" si="31"/>
        <v>662.46305488734254</v>
      </c>
      <c r="AK27" s="95">
        <f t="shared" si="49"/>
        <v>29.889588123187295</v>
      </c>
      <c r="AL27" s="95">
        <f t="shared" si="50"/>
        <v>603.88053865315931</v>
      </c>
      <c r="AM27" s="95">
        <f t="shared" si="51"/>
        <v>721.04557112152577</v>
      </c>
      <c r="AN27" s="56">
        <f t="shared" si="13"/>
        <v>-0.11392029558685213</v>
      </c>
      <c r="AO27" s="2">
        <f t="shared" si="14"/>
        <v>2013</v>
      </c>
      <c r="AP27" s="95">
        <f t="shared" si="5"/>
        <v>194.54606868526571</v>
      </c>
      <c r="AQ27" s="95">
        <f t="shared" si="32"/>
        <v>304.88105249571538</v>
      </c>
      <c r="AR27" s="95">
        <f t="shared" si="52"/>
        <v>40.597699898674108</v>
      </c>
      <c r="AS27" s="95">
        <f t="shared" si="53"/>
        <v>225.31102283914873</v>
      </c>
      <c r="AT27" s="95">
        <f t="shared" si="54"/>
        <v>384.45108215228203</v>
      </c>
      <c r="AU27" s="56">
        <f t="shared" si="15"/>
        <v>-0.25955115368884818</v>
      </c>
      <c r="AV27" s="2">
        <f t="shared" si="16"/>
        <v>2013</v>
      </c>
      <c r="AW27" s="95">
        <f t="shared" si="17"/>
        <v>1644.6643620579669</v>
      </c>
      <c r="AX27" s="95">
        <f t="shared" si="33"/>
        <v>1650.8045468941309</v>
      </c>
      <c r="AY27" s="95">
        <f t="shared" si="55"/>
        <v>86.369419669135695</v>
      </c>
      <c r="AZ27" s="95">
        <f t="shared" si="56"/>
        <v>1481.5235949769997</v>
      </c>
      <c r="BA27" s="95">
        <f t="shared" si="57"/>
        <v>1820.0854988112621</v>
      </c>
      <c r="BB27" s="56">
        <f t="shared" si="18"/>
        <v>-3.8579840712536839E-2</v>
      </c>
      <c r="BC27" s="2">
        <f t="shared" si="19"/>
        <v>2013</v>
      </c>
      <c r="BD27" s="95">
        <f t="shared" si="0"/>
        <v>508.5175238657676</v>
      </c>
      <c r="BE27" s="95">
        <f t="shared" si="34"/>
        <v>530.62400459913226</v>
      </c>
      <c r="BF27" s="95">
        <f t="shared" si="58"/>
        <v>16.401960698446153</v>
      </c>
      <c r="BG27" s="95">
        <f t="shared" si="59"/>
        <v>498.47675235433638</v>
      </c>
      <c r="BH27" s="95">
        <f t="shared" si="60"/>
        <v>562.7712568439282</v>
      </c>
      <c r="BI27" s="56">
        <f t="shared" si="20"/>
        <v>-4.4499913591951934E-2</v>
      </c>
      <c r="BJ27" s="134">
        <f t="shared" si="37"/>
        <v>4.3472406939510051E-2</v>
      </c>
      <c r="BL27" s="2">
        <f t="shared" si="21"/>
        <v>2013</v>
      </c>
      <c r="BM27" s="95">
        <f t="shared" si="22"/>
        <v>626.69909243354834</v>
      </c>
      <c r="BN27" s="95">
        <f t="shared" si="35"/>
        <v>701.7204206001868</v>
      </c>
      <c r="BO27" s="95">
        <f t="shared" si="61"/>
        <v>26.564664039515197</v>
      </c>
      <c r="BP27" s="95">
        <f t="shared" si="62"/>
        <v>649.65463582133066</v>
      </c>
      <c r="BQ27" s="95">
        <f t="shared" si="63"/>
        <v>753.78620537904294</v>
      </c>
      <c r="BR27" s="56">
        <f t="shared" si="23"/>
        <v>-0.13403135469974969</v>
      </c>
      <c r="BS27" s="134">
        <f t="shared" si="38"/>
        <v>0.11970869125615224</v>
      </c>
      <c r="BU27" s="2">
        <f t="shared" si="24"/>
        <v>2013</v>
      </c>
      <c r="BV27" s="95">
        <f t="shared" si="25"/>
        <v>791.89274972394253</v>
      </c>
      <c r="BW27" s="95">
        <f t="shared" si="36"/>
        <v>815.65090130895896</v>
      </c>
      <c r="BX27" s="95">
        <f t="shared" si="64"/>
        <v>58.757814069026267</v>
      </c>
      <c r="BY27" s="95">
        <f t="shared" si="65"/>
        <v>700.48770192336656</v>
      </c>
      <c r="BZ27" s="95">
        <f t="shared" si="66"/>
        <v>930.81410069455137</v>
      </c>
      <c r="CA27" s="56">
        <f t="shared" si="26"/>
        <v>-5.3982021167081506E-2</v>
      </c>
      <c r="CB27" s="134">
        <f t="shared" si="39"/>
        <v>3.0001728887274995E-2</v>
      </c>
    </row>
    <row r="28" spans="1:80" ht="1" customHeight="1">
      <c r="A28" s="2">
        <v>2014</v>
      </c>
      <c r="B28" s="95">
        <v>876.4342238953144</v>
      </c>
      <c r="C28" s="95">
        <v>376.45818709320525</v>
      </c>
      <c r="D28" s="95">
        <v>1793.9296662706413</v>
      </c>
      <c r="E28" s="95">
        <v>583.61797920133347</v>
      </c>
      <c r="F28" s="95">
        <v>183.62156330786357</v>
      </c>
      <c r="G28" s="147">
        <v>1586.7827352181505</v>
      </c>
      <c r="H28" s="95">
        <v>516.53669026369857</v>
      </c>
      <c r="I28" s="95">
        <v>688.74475782906984</v>
      </c>
      <c r="J28" s="95">
        <v>831.64573564172849</v>
      </c>
      <c r="K28" s="95">
        <f t="shared" si="27"/>
        <v>498.5175238657676</v>
      </c>
      <c r="L28" s="2"/>
      <c r="M28" s="2">
        <f t="shared" si="6"/>
        <v>2014</v>
      </c>
      <c r="N28" s="95">
        <f t="shared" si="1"/>
        <v>876.4342238953144</v>
      </c>
      <c r="O28" s="95">
        <f t="shared" si="28"/>
        <v>882.73596996386277</v>
      </c>
      <c r="P28" s="95">
        <f t="shared" si="40"/>
        <v>22.717717779286698</v>
      </c>
      <c r="Q28" s="95">
        <f t="shared" si="41"/>
        <v>838.21006130551564</v>
      </c>
      <c r="R28" s="95">
        <f t="shared" si="42"/>
        <v>927.26187862220991</v>
      </c>
      <c r="S28" s="56">
        <f t="shared" si="7"/>
        <v>-1.3890888105051458E-3</v>
      </c>
      <c r="T28" s="2">
        <f t="shared" si="8"/>
        <v>2014</v>
      </c>
      <c r="U28" s="95">
        <f t="shared" si="2"/>
        <v>376.45818709320525</v>
      </c>
      <c r="V28" s="95">
        <f t="shared" si="29"/>
        <v>385.45842456567664</v>
      </c>
      <c r="W28" s="95">
        <f t="shared" si="43"/>
        <v>6.1066924498349655</v>
      </c>
      <c r="X28" s="95">
        <f t="shared" si="44"/>
        <v>373.48952729933745</v>
      </c>
      <c r="Y28" s="95">
        <f t="shared" si="45"/>
        <v>397.42732183201582</v>
      </c>
      <c r="Z28" s="56">
        <f t="shared" si="9"/>
        <v>9.8511414664126384E-3</v>
      </c>
      <c r="AA28" s="2">
        <f t="shared" si="10"/>
        <v>2014</v>
      </c>
      <c r="AB28" s="95">
        <f t="shared" si="3"/>
        <v>1793.9296662706413</v>
      </c>
      <c r="AC28" s="95">
        <f t="shared" si="30"/>
        <v>1603.3911428995523</v>
      </c>
      <c r="AD28" s="95">
        <f t="shared" si="46"/>
        <v>96.050109355529813</v>
      </c>
      <c r="AE28" s="95">
        <f t="shared" si="47"/>
        <v>1415.1363878515801</v>
      </c>
      <c r="AF28" s="95">
        <f t="shared" si="48"/>
        <v>1791.6458979475244</v>
      </c>
      <c r="AG28" s="56">
        <f t="shared" si="11"/>
        <v>0.11700321728614327</v>
      </c>
      <c r="AH28" s="2">
        <f t="shared" si="12"/>
        <v>2014</v>
      </c>
      <c r="AI28" s="95">
        <f t="shared" si="4"/>
        <v>583.61797920133347</v>
      </c>
      <c r="AJ28" s="95">
        <f t="shared" si="31"/>
        <v>635.9867057222466</v>
      </c>
      <c r="AK28" s="95">
        <f t="shared" si="49"/>
        <v>43.538487926856988</v>
      </c>
      <c r="AL28" s="95">
        <f t="shared" si="50"/>
        <v>550.65283744427495</v>
      </c>
      <c r="AM28" s="95">
        <f t="shared" si="51"/>
        <v>721.32057400021824</v>
      </c>
      <c r="AN28" s="56">
        <f t="shared" si="13"/>
        <v>3.2732122476417658E-2</v>
      </c>
      <c r="AO28" s="2">
        <f t="shared" si="14"/>
        <v>2014</v>
      </c>
      <c r="AP28" s="95">
        <f t="shared" si="5"/>
        <v>183.62156330786357</v>
      </c>
      <c r="AQ28" s="95">
        <f t="shared" si="32"/>
        <v>272.50321859793746</v>
      </c>
      <c r="AR28" s="95">
        <f t="shared" si="52"/>
        <v>53.441397495217799</v>
      </c>
      <c r="AS28" s="95">
        <f t="shared" si="53"/>
        <v>167.76000422382154</v>
      </c>
      <c r="AT28" s="95">
        <f t="shared" si="54"/>
        <v>377.24643297205341</v>
      </c>
      <c r="AU28" s="56">
        <f t="shared" si="15"/>
        <v>-5.6153822337452031E-2</v>
      </c>
      <c r="AV28" s="2">
        <f t="shared" si="16"/>
        <v>2014</v>
      </c>
      <c r="AW28" s="95">
        <f t="shared" si="17"/>
        <v>1586.7827352181505</v>
      </c>
      <c r="AX28" s="95">
        <f t="shared" si="33"/>
        <v>1658.1643937051565</v>
      </c>
      <c r="AY28" s="95">
        <f t="shared" si="55"/>
        <v>77.127084353518583</v>
      </c>
      <c r="AZ28" s="95">
        <f t="shared" si="56"/>
        <v>1506.9980861396773</v>
      </c>
      <c r="BA28" s="95">
        <f t="shared" si="57"/>
        <v>1809.3307012706357</v>
      </c>
      <c r="BB28" s="56">
        <f t="shared" si="18"/>
        <v>-3.5193580024673987E-2</v>
      </c>
      <c r="BC28" s="2">
        <f t="shared" si="19"/>
        <v>2014</v>
      </c>
      <c r="BD28" s="95">
        <f t="shared" si="0"/>
        <v>516.53669026369857</v>
      </c>
      <c r="BE28" s="95">
        <f t="shared" si="34"/>
        <v>523.74698497525083</v>
      </c>
      <c r="BF28" s="95">
        <f t="shared" si="58"/>
        <v>14.8169014428411</v>
      </c>
      <c r="BG28" s="95">
        <f t="shared" si="59"/>
        <v>494.70639178480269</v>
      </c>
      <c r="BH28" s="95">
        <f t="shared" si="60"/>
        <v>552.78757816569896</v>
      </c>
      <c r="BI28" s="56">
        <f t="shared" si="20"/>
        <v>1.5769695283987417E-2</v>
      </c>
      <c r="BJ28" s="134">
        <f t="shared" si="37"/>
        <v>1.3958920726175916E-2</v>
      </c>
      <c r="BL28" s="2">
        <f t="shared" si="21"/>
        <v>2014</v>
      </c>
      <c r="BM28" s="95">
        <f t="shared" si="22"/>
        <v>688.74475782906984</v>
      </c>
      <c r="BN28" s="95">
        <f t="shared" si="35"/>
        <v>684.37320033959725</v>
      </c>
      <c r="BO28" s="95">
        <f t="shared" si="61"/>
        <v>36.91818445156337</v>
      </c>
      <c r="BP28" s="95">
        <f t="shared" si="62"/>
        <v>612.01488843992649</v>
      </c>
      <c r="BQ28" s="95">
        <f t="shared" si="63"/>
        <v>756.731512239268</v>
      </c>
      <c r="BR28" s="56">
        <f t="shared" si="23"/>
        <v>9.9003917740794423E-2</v>
      </c>
      <c r="BS28" s="134">
        <f t="shared" si="38"/>
        <v>6.3471372228687227E-3</v>
      </c>
      <c r="BU28" s="2">
        <f t="shared" si="24"/>
        <v>2014</v>
      </c>
      <c r="BV28" s="95">
        <f t="shared" si="25"/>
        <v>831.64573564172849</v>
      </c>
      <c r="BW28" s="95">
        <f t="shared" si="36"/>
        <v>817.81548396482003</v>
      </c>
      <c r="BX28" s="95">
        <f t="shared" si="64"/>
        <v>59.887647595140351</v>
      </c>
      <c r="BY28" s="95">
        <f t="shared" si="65"/>
        <v>700.43785155951821</v>
      </c>
      <c r="BZ28" s="95">
        <f t="shared" si="66"/>
        <v>935.19311637012186</v>
      </c>
      <c r="CA28" s="56">
        <f t="shared" si="26"/>
        <v>5.0199961966622464E-2</v>
      </c>
      <c r="CB28" s="134">
        <f t="shared" si="39"/>
        <v>1.6629979670654511E-2</v>
      </c>
    </row>
    <row r="29" spans="1:80" ht="15.5">
      <c r="A29" s="2">
        <v>2015</v>
      </c>
      <c r="B29" s="95">
        <v>899.77381817586729</v>
      </c>
      <c r="C29" s="95">
        <v>367.51640695193237</v>
      </c>
      <c r="D29" s="95">
        <v>1624.8209309418553</v>
      </c>
      <c r="E29" s="95">
        <v>561.75420141910467</v>
      </c>
      <c r="F29" s="95">
        <v>176.90253325274094</v>
      </c>
      <c r="G29" s="147">
        <v>1590.0608793030674</v>
      </c>
      <c r="H29" s="95">
        <v>492.30278179801905</v>
      </c>
      <c r="I29" s="95">
        <v>616.9859015481336</v>
      </c>
      <c r="J29" s="95">
        <v>795.83431996527554</v>
      </c>
      <c r="K29" s="95">
        <f t="shared" si="27"/>
        <v>506.53669026369857</v>
      </c>
      <c r="L29" s="2"/>
      <c r="M29" s="2">
        <f t="shared" si="6"/>
        <v>2015</v>
      </c>
      <c r="N29" s="95">
        <f t="shared" si="1"/>
        <v>899.77381817586729</v>
      </c>
      <c r="O29" s="95">
        <f t="shared" si="28"/>
        <v>875.94290236976099</v>
      </c>
      <c r="P29" s="95">
        <f t="shared" si="40"/>
        <v>22.523517951426498</v>
      </c>
      <c r="Q29" s="95">
        <f t="shared" si="41"/>
        <v>831.79761837982369</v>
      </c>
      <c r="R29" s="95">
        <f t="shared" si="42"/>
        <v>920.08818635969828</v>
      </c>
      <c r="S29" s="56">
        <f t="shared" si="7"/>
        <v>2.6630172172898536E-2</v>
      </c>
      <c r="T29" s="2">
        <f t="shared" si="8"/>
        <v>2015</v>
      </c>
      <c r="U29" s="95">
        <f t="shared" si="2"/>
        <v>367.51640695193237</v>
      </c>
      <c r="V29" s="95">
        <f t="shared" si="29"/>
        <v>382.4804584163345</v>
      </c>
      <c r="W29" s="95">
        <f t="shared" si="43"/>
        <v>6.6661129884419275</v>
      </c>
      <c r="X29" s="95">
        <f t="shared" si="44"/>
        <v>369.41511704211365</v>
      </c>
      <c r="Y29" s="95">
        <f t="shared" si="45"/>
        <v>395.54579979055535</v>
      </c>
      <c r="Z29" s="56">
        <f t="shared" si="9"/>
        <v>-2.3752385916524177E-2</v>
      </c>
      <c r="AA29" s="2">
        <f t="shared" si="10"/>
        <v>2015</v>
      </c>
      <c r="AB29" s="95">
        <f t="shared" si="3"/>
        <v>1624.8209309418553</v>
      </c>
      <c r="AC29" s="95">
        <f t="shared" si="30"/>
        <v>1638.1257231332995</v>
      </c>
      <c r="AD29" s="95">
        <f t="shared" si="46"/>
        <v>96.135251443101509</v>
      </c>
      <c r="AE29" s="95">
        <f t="shared" si="47"/>
        <v>1449.7040926601182</v>
      </c>
      <c r="AF29" s="95">
        <f t="shared" si="48"/>
        <v>1826.5473536064808</v>
      </c>
      <c r="AG29" s="56">
        <f t="shared" si="11"/>
        <v>-9.4267204845517871E-2</v>
      </c>
      <c r="AH29" s="2">
        <f t="shared" si="12"/>
        <v>2015</v>
      </c>
      <c r="AI29" s="95">
        <f t="shared" si="4"/>
        <v>561.75420141910467</v>
      </c>
      <c r="AJ29" s="95">
        <f t="shared" si="31"/>
        <v>619.76880932583708</v>
      </c>
      <c r="AK29" s="95">
        <f t="shared" si="49"/>
        <v>44.9414488854854</v>
      </c>
      <c r="AL29" s="95">
        <f t="shared" si="50"/>
        <v>531.68518809723798</v>
      </c>
      <c r="AM29" s="95">
        <f t="shared" si="51"/>
        <v>707.85243055443618</v>
      </c>
      <c r="AN29" s="56">
        <f t="shared" si="13"/>
        <v>-3.7462481557111738E-2</v>
      </c>
      <c r="AO29" s="2">
        <f t="shared" si="14"/>
        <v>2015</v>
      </c>
      <c r="AP29" s="95">
        <f t="shared" si="5"/>
        <v>176.90253325274094</v>
      </c>
      <c r="AQ29" s="95">
        <f t="shared" si="32"/>
        <v>251.33280379156776</v>
      </c>
      <c r="AR29" s="95">
        <f t="shared" si="52"/>
        <v>56.131898011604157</v>
      </c>
      <c r="AS29" s="95">
        <f t="shared" si="53"/>
        <v>141.31630530494817</v>
      </c>
      <c r="AT29" s="95">
        <f t="shared" si="54"/>
        <v>361.34930227818734</v>
      </c>
      <c r="AU29" s="56">
        <f t="shared" si="15"/>
        <v>-3.6591726669146007E-2</v>
      </c>
      <c r="AV29" s="2">
        <f t="shared" si="16"/>
        <v>2015</v>
      </c>
      <c r="AW29" s="95">
        <f t="shared" si="17"/>
        <v>1590.0608793030674</v>
      </c>
      <c r="AX29" s="95">
        <f t="shared" si="33"/>
        <v>1670.7862326042687</v>
      </c>
      <c r="AY29" s="95">
        <f t="shared" si="55"/>
        <v>72.032557602127468</v>
      </c>
      <c r="AZ29" s="95">
        <f t="shared" si="56"/>
        <v>1529.605013989792</v>
      </c>
      <c r="BA29" s="95">
        <f t="shared" si="57"/>
        <v>1811.9674512187453</v>
      </c>
      <c r="BB29" s="56">
        <f t="shared" si="18"/>
        <v>2.0659060702890031E-3</v>
      </c>
      <c r="BC29" s="2">
        <f t="shared" si="19"/>
        <v>2015</v>
      </c>
      <c r="BD29" s="95">
        <f t="shared" si="0"/>
        <v>492.30278179801905</v>
      </c>
      <c r="BE29" s="95">
        <f t="shared" si="34"/>
        <v>521.36893599859559</v>
      </c>
      <c r="BF29" s="95">
        <f t="shared" si="58"/>
        <v>11.076958672752104</v>
      </c>
      <c r="BG29" s="95">
        <f t="shared" si="59"/>
        <v>499.65849594176285</v>
      </c>
      <c r="BH29" s="95">
        <f t="shared" si="60"/>
        <v>543.07937605542827</v>
      </c>
      <c r="BI29" s="56">
        <f t="shared" si="20"/>
        <v>-4.6916141529671052E-2</v>
      </c>
      <c r="BJ29" s="134">
        <f t="shared" si="37"/>
        <v>5.904121462490889E-2</v>
      </c>
      <c r="BL29" s="2">
        <f t="shared" si="21"/>
        <v>2015</v>
      </c>
      <c r="BM29" s="95">
        <f t="shared" si="22"/>
        <v>616.9859015481336</v>
      </c>
      <c r="BN29" s="95">
        <f t="shared" si="35"/>
        <v>675.74613273311422</v>
      </c>
      <c r="BO29" s="95">
        <f t="shared" si="61"/>
        <v>36.479420911123569</v>
      </c>
      <c r="BP29" s="95">
        <f t="shared" si="62"/>
        <v>604.24778157043477</v>
      </c>
      <c r="BQ29" s="95">
        <f t="shared" si="63"/>
        <v>747.24448389579368</v>
      </c>
      <c r="BR29" s="56">
        <f t="shared" si="23"/>
        <v>-0.10418788014753222</v>
      </c>
      <c r="BS29" s="134">
        <f t="shared" si="38"/>
        <v>9.5237558974265307E-2</v>
      </c>
      <c r="BU29" s="2">
        <f t="shared" si="24"/>
        <v>2015</v>
      </c>
      <c r="BV29" s="95">
        <f t="shared" si="25"/>
        <v>795.83431996527554</v>
      </c>
      <c r="BW29" s="95">
        <f t="shared" si="36"/>
        <v>844.36215780756561</v>
      </c>
      <c r="BX29" s="95">
        <f t="shared" si="64"/>
        <v>49.03528372770559</v>
      </c>
      <c r="BY29" s="95">
        <f t="shared" si="65"/>
        <v>748.25476772955972</v>
      </c>
      <c r="BZ29" s="95">
        <f t="shared" si="66"/>
        <v>940.4695478855715</v>
      </c>
      <c r="CA29" s="56">
        <f t="shared" si="26"/>
        <v>-4.3060902186698002E-2</v>
      </c>
      <c r="CB29" s="134">
        <f t="shared" si="39"/>
        <v>6.0977312268221194E-2</v>
      </c>
    </row>
    <row r="30" spans="1:80" ht="1" customHeight="1">
      <c r="A30" s="2">
        <v>2016</v>
      </c>
      <c r="B30" s="95">
        <v>895.42888298184539</v>
      </c>
      <c r="C30" s="95">
        <v>370.33463685932185</v>
      </c>
      <c r="D30" s="95">
        <v>1639.4677875182267</v>
      </c>
      <c r="E30" s="95">
        <v>547.63710139238685</v>
      </c>
      <c r="F30" s="95">
        <v>183.294886922594</v>
      </c>
      <c r="G30" s="147">
        <v>1611.8541258735404</v>
      </c>
      <c r="H30" s="95">
        <v>470.66104108873679</v>
      </c>
      <c r="I30" s="95">
        <v>565.62539343130481</v>
      </c>
      <c r="J30" s="95">
        <v>814.96455054368664</v>
      </c>
      <c r="K30" s="95">
        <f t="shared" si="27"/>
        <v>482.30278179801905</v>
      </c>
      <c r="L30" s="2"/>
      <c r="M30" s="2">
        <f t="shared" si="6"/>
        <v>2016</v>
      </c>
      <c r="N30" s="95">
        <f t="shared" si="1"/>
        <v>895.42888298184539</v>
      </c>
      <c r="O30" s="95">
        <f t="shared" si="28"/>
        <v>878.00183642489719</v>
      </c>
      <c r="P30" s="95">
        <f t="shared" si="40"/>
        <v>22.57766444499882</v>
      </c>
      <c r="Q30" s="95">
        <f t="shared" si="41"/>
        <v>833.750427257669</v>
      </c>
      <c r="R30" s="95">
        <f t="shared" si="42"/>
        <v>922.25324559212538</v>
      </c>
      <c r="S30" s="56">
        <f t="shared" si="7"/>
        <v>-4.8289193420080201E-3</v>
      </c>
      <c r="T30" s="2">
        <f t="shared" si="8"/>
        <v>2016</v>
      </c>
      <c r="U30" s="95">
        <f t="shared" si="2"/>
        <v>370.33463685932185</v>
      </c>
      <c r="V30" s="95">
        <f t="shared" si="29"/>
        <v>377.77752632441099</v>
      </c>
      <c r="W30" s="95">
        <f t="shared" si="43"/>
        <v>8.0840053982170801</v>
      </c>
      <c r="X30" s="95">
        <f t="shared" si="44"/>
        <v>361.93316689307812</v>
      </c>
      <c r="Y30" s="95">
        <f t="shared" si="45"/>
        <v>393.62188575574385</v>
      </c>
      <c r="Z30" s="56">
        <f t="shared" si="9"/>
        <v>7.6683104592880635E-3</v>
      </c>
      <c r="AA30" s="2">
        <f t="shared" si="10"/>
        <v>2016</v>
      </c>
      <c r="AB30" s="95">
        <f t="shared" si="3"/>
        <v>1639.4677875182267</v>
      </c>
      <c r="AC30" s="95">
        <f t="shared" si="30"/>
        <v>1630.102145824975</v>
      </c>
      <c r="AD30" s="95">
        <f t="shared" si="46"/>
        <v>92.000369747963788</v>
      </c>
      <c r="AE30" s="95">
        <f t="shared" si="47"/>
        <v>1449.7847345545977</v>
      </c>
      <c r="AF30" s="95">
        <f t="shared" si="48"/>
        <v>1810.4195570953523</v>
      </c>
      <c r="AG30" s="56">
        <f t="shared" si="11"/>
        <v>9.0144435595627126E-3</v>
      </c>
      <c r="AH30" s="2">
        <f t="shared" si="12"/>
        <v>2016</v>
      </c>
      <c r="AI30" s="95">
        <f t="shared" si="4"/>
        <v>547.63710139238685</v>
      </c>
      <c r="AJ30" s="95">
        <f t="shared" si="31"/>
        <v>593.90315186787643</v>
      </c>
      <c r="AK30" s="95">
        <f t="shared" si="49"/>
        <v>47.165997247722544</v>
      </c>
      <c r="AL30" s="95">
        <f t="shared" si="50"/>
        <v>501.45949596742497</v>
      </c>
      <c r="AM30" s="95">
        <f t="shared" si="51"/>
        <v>686.34680776832795</v>
      </c>
      <c r="AN30" s="56">
        <f t="shared" si="13"/>
        <v>-2.5130386192137366E-2</v>
      </c>
      <c r="AO30" s="2">
        <f t="shared" si="14"/>
        <v>2016</v>
      </c>
      <c r="AP30" s="95">
        <f t="shared" si="5"/>
        <v>183.294886922594</v>
      </c>
      <c r="AQ30" s="95">
        <f t="shared" si="32"/>
        <v>220.94241893952122</v>
      </c>
      <c r="AR30" s="95">
        <f t="shared" si="52"/>
        <v>58.893640310143645</v>
      </c>
      <c r="AS30" s="95">
        <f t="shared" si="53"/>
        <v>105.51300501318336</v>
      </c>
      <c r="AT30" s="95">
        <f t="shared" si="54"/>
        <v>336.37183286585906</v>
      </c>
      <c r="AU30" s="56">
        <f t="shared" si="15"/>
        <v>3.6134890509003093E-2</v>
      </c>
      <c r="AV30" s="2">
        <f t="shared" si="16"/>
        <v>2016</v>
      </c>
      <c r="AW30" s="95">
        <f t="shared" si="17"/>
        <v>1611.8541258735404</v>
      </c>
      <c r="AX30" s="95">
        <f t="shared" si="33"/>
        <v>1633.5323706885581</v>
      </c>
      <c r="AY30" s="95">
        <f t="shared" si="55"/>
        <v>62.466732274479504</v>
      </c>
      <c r="AZ30" s="95">
        <f t="shared" si="56"/>
        <v>1511.0998251986725</v>
      </c>
      <c r="BA30" s="95">
        <f t="shared" si="57"/>
        <v>1755.9649161784437</v>
      </c>
      <c r="BB30" s="56">
        <f t="shared" si="18"/>
        <v>1.3705919599773519E-2</v>
      </c>
      <c r="BC30" s="2">
        <f t="shared" si="19"/>
        <v>2016</v>
      </c>
      <c r="BD30" s="95">
        <f t="shared" si="0"/>
        <v>470.66104108873679</v>
      </c>
      <c r="BE30" s="95">
        <f t="shared" si="34"/>
        <v>514.56690901588752</v>
      </c>
      <c r="BF30" s="95">
        <f t="shared" si="58"/>
        <v>13.178862946500709</v>
      </c>
      <c r="BG30" s="95">
        <f t="shared" si="59"/>
        <v>488.73681228355673</v>
      </c>
      <c r="BH30" s="95">
        <f t="shared" si="60"/>
        <v>540.39700574821836</v>
      </c>
      <c r="BI30" s="56">
        <f t="shared" si="20"/>
        <v>-4.396022429578994E-2</v>
      </c>
      <c r="BJ30" s="134">
        <f t="shared" si="37"/>
        <v>9.3285536923955567E-2</v>
      </c>
      <c r="BL30" s="2">
        <f t="shared" si="21"/>
        <v>2016</v>
      </c>
      <c r="BM30" s="95">
        <f t="shared" si="22"/>
        <v>565.62539343130481</v>
      </c>
      <c r="BN30" s="95">
        <f t="shared" si="35"/>
        <v>663.48278781625254</v>
      </c>
      <c r="BO30" s="95">
        <f t="shared" si="61"/>
        <v>39.421951930730657</v>
      </c>
      <c r="BP30" s="95">
        <f t="shared" si="62"/>
        <v>586.21718183175119</v>
      </c>
      <c r="BQ30" s="95">
        <f t="shared" si="63"/>
        <v>740.74839380075389</v>
      </c>
      <c r="BR30" s="56">
        <f t="shared" si="23"/>
        <v>-8.3244216744589483E-2</v>
      </c>
      <c r="BS30" s="134">
        <f t="shared" si="38"/>
        <v>0.17300742774525468</v>
      </c>
      <c r="BU30" s="2">
        <f t="shared" si="24"/>
        <v>2016</v>
      </c>
      <c r="BV30" s="95">
        <f t="shared" si="25"/>
        <v>814.96455054368664</v>
      </c>
      <c r="BW30" s="95">
        <f t="shared" si="36"/>
        <v>828.16240292823898</v>
      </c>
      <c r="BX30" s="95">
        <f t="shared" si="64"/>
        <v>38.132327931410309</v>
      </c>
      <c r="BY30" s="95">
        <f t="shared" si="65"/>
        <v>753.42441353600407</v>
      </c>
      <c r="BZ30" s="95">
        <f t="shared" si="66"/>
        <v>902.90039232047388</v>
      </c>
      <c r="CA30" s="56">
        <f t="shared" si="26"/>
        <v>2.4037956266130589E-2</v>
      </c>
      <c r="CB30" s="134">
        <f t="shared" si="39"/>
        <v>1.6194388302838033E-2</v>
      </c>
    </row>
    <row r="31" spans="1:80" ht="1" customHeight="1">
      <c r="A31" s="2">
        <v>2017</v>
      </c>
      <c r="B31" s="95">
        <v>870.03937835503643</v>
      </c>
      <c r="C31" s="95">
        <v>370.77783966316287</v>
      </c>
      <c r="D31" s="95">
        <v>1498.3587269450604</v>
      </c>
      <c r="E31" s="95">
        <v>546.99833065966607</v>
      </c>
      <c r="F31" s="95">
        <v>177.58834984887446</v>
      </c>
      <c r="G31" s="147">
        <v>1570.2526208586301</v>
      </c>
      <c r="H31" s="95">
        <v>450.18648326345703</v>
      </c>
      <c r="I31" s="95">
        <v>566.91165923634912</v>
      </c>
      <c r="J31" s="95">
        <v>778.36355542980914</v>
      </c>
      <c r="K31" s="95">
        <f t="shared" si="27"/>
        <v>460.66104108873679</v>
      </c>
      <c r="L31" s="2"/>
      <c r="M31" s="2">
        <f t="shared" si="6"/>
        <v>2017</v>
      </c>
      <c r="N31" s="95">
        <f t="shared" si="1"/>
        <v>870.03937835503643</v>
      </c>
      <c r="O31" s="95">
        <f t="shared" si="28"/>
        <v>882.3486728774767</v>
      </c>
      <c r="P31" s="95">
        <f t="shared" si="40"/>
        <v>18.31222622554014</v>
      </c>
      <c r="Q31" s="95">
        <f t="shared" si="41"/>
        <v>846.45736899866813</v>
      </c>
      <c r="R31" s="95">
        <f t="shared" si="42"/>
        <v>918.23997675628527</v>
      </c>
      <c r="S31" s="56">
        <f t="shared" si="7"/>
        <v>-2.8354574114540565E-2</v>
      </c>
      <c r="T31" s="2">
        <f t="shared" si="8"/>
        <v>2017</v>
      </c>
      <c r="U31" s="95">
        <f t="shared" si="2"/>
        <v>370.77783966316287</v>
      </c>
      <c r="V31" s="95">
        <f t="shared" si="29"/>
        <v>374.97668579527459</v>
      </c>
      <c r="W31" s="95">
        <f t="shared" si="43"/>
        <v>8.0708274546864569</v>
      </c>
      <c r="X31" s="95">
        <f t="shared" si="44"/>
        <v>359.15815465865205</v>
      </c>
      <c r="Y31" s="95">
        <f t="shared" si="45"/>
        <v>390.79521693189713</v>
      </c>
      <c r="Z31" s="56">
        <f t="shared" si="9"/>
        <v>1.1967630346425562E-3</v>
      </c>
      <c r="AA31" s="2">
        <f t="shared" si="10"/>
        <v>2017</v>
      </c>
      <c r="AB31" s="95">
        <f t="shared" si="3"/>
        <v>1498.3587269450604</v>
      </c>
      <c r="AC31" s="95">
        <f t="shared" si="30"/>
        <v>1632.0231004128307</v>
      </c>
      <c r="AD31" s="95">
        <f t="shared" si="46"/>
        <v>89.279017308501182</v>
      </c>
      <c r="AE31" s="95">
        <f t="shared" si="47"/>
        <v>1457.0394419130403</v>
      </c>
      <c r="AF31" s="95">
        <f t="shared" si="48"/>
        <v>1807.0067589126211</v>
      </c>
      <c r="AG31" s="56">
        <f t="shared" si="11"/>
        <v>-8.6070041538768294E-2</v>
      </c>
      <c r="AH31" s="2">
        <f t="shared" si="12"/>
        <v>2017</v>
      </c>
      <c r="AI31" s="95">
        <f t="shared" si="4"/>
        <v>546.99833065966607</v>
      </c>
      <c r="AJ31" s="95">
        <f t="shared" si="31"/>
        <v>579.18113876095913</v>
      </c>
      <c r="AK31" s="95">
        <f t="shared" si="49"/>
        <v>42.348431351184331</v>
      </c>
      <c r="AL31" s="95">
        <f t="shared" si="50"/>
        <v>496.17973851087095</v>
      </c>
      <c r="AM31" s="95">
        <f t="shared" si="51"/>
        <v>662.18253901104731</v>
      </c>
      <c r="AN31" s="56">
        <f t="shared" si="13"/>
        <v>-1.1664124492235528E-3</v>
      </c>
      <c r="AO31" s="2">
        <f t="shared" si="14"/>
        <v>2017</v>
      </c>
      <c r="AP31" s="95">
        <f t="shared" si="5"/>
        <v>177.58834984887446</v>
      </c>
      <c r="AQ31" s="95">
        <f t="shared" si="32"/>
        <v>200.22115596851981</v>
      </c>
      <c r="AR31" s="95">
        <f t="shared" si="52"/>
        <v>54.155233175634741</v>
      </c>
      <c r="AS31" s="95">
        <f t="shared" si="53"/>
        <v>94.078849369907047</v>
      </c>
      <c r="AT31" s="95">
        <f t="shared" si="54"/>
        <v>306.36346256713256</v>
      </c>
      <c r="AU31" s="56">
        <f t="shared" si="15"/>
        <v>-3.113309470617931E-2</v>
      </c>
      <c r="AV31" s="2">
        <f t="shared" si="16"/>
        <v>2017</v>
      </c>
      <c r="AW31" s="95">
        <f t="shared" si="17"/>
        <v>1570.2526208586301</v>
      </c>
      <c r="AX31" s="95">
        <f t="shared" si="33"/>
        <v>1628.8047018183831</v>
      </c>
      <c r="AY31" s="95">
        <f t="shared" si="55"/>
        <v>50.987792017805894</v>
      </c>
      <c r="AZ31" s="95">
        <f t="shared" si="56"/>
        <v>1528.8704658122647</v>
      </c>
      <c r="BA31" s="95">
        <f t="shared" si="57"/>
        <v>1728.7389378245016</v>
      </c>
      <c r="BB31" s="56">
        <f t="shared" si="18"/>
        <v>-2.5809720834609973E-2</v>
      </c>
      <c r="BC31" s="2">
        <f t="shared" si="19"/>
        <v>2017</v>
      </c>
      <c r="BD31" s="95">
        <f t="shared" si="0"/>
        <v>450.18648326345703</v>
      </c>
      <c r="BE31" s="95">
        <f t="shared" si="34"/>
        <v>504.04368649887402</v>
      </c>
      <c r="BF31" s="95">
        <f t="shared" si="58"/>
        <v>19.3280338787137</v>
      </c>
      <c r="BG31" s="95">
        <f t="shared" si="59"/>
        <v>466.16143620462515</v>
      </c>
      <c r="BH31" s="95">
        <f t="shared" si="60"/>
        <v>541.9259367931229</v>
      </c>
      <c r="BI31" s="56">
        <f t="shared" si="20"/>
        <v>-4.350170512927487E-2</v>
      </c>
      <c r="BJ31" s="134">
        <f t="shared" si="37"/>
        <v>0.11963309703347715</v>
      </c>
      <c r="BL31" s="2">
        <f t="shared" si="21"/>
        <v>2017</v>
      </c>
      <c r="BM31" s="95">
        <f t="shared" si="22"/>
        <v>566.91165923634912</v>
      </c>
      <c r="BN31" s="95">
        <f t="shared" si="35"/>
        <v>644.35047102122269</v>
      </c>
      <c r="BO31" s="95">
        <f t="shared" si="61"/>
        <v>49.67463038143579</v>
      </c>
      <c r="BP31" s="95">
        <f t="shared" si="62"/>
        <v>546.98998452826936</v>
      </c>
      <c r="BQ31" s="95">
        <f t="shared" si="63"/>
        <v>741.71095751417602</v>
      </c>
      <c r="BR31" s="56">
        <f t="shared" si="23"/>
        <v>2.2740595100254613E-3</v>
      </c>
      <c r="BS31" s="134">
        <f t="shared" si="38"/>
        <v>0.13659767006589085</v>
      </c>
      <c r="BU31" s="2">
        <f t="shared" si="24"/>
        <v>2017</v>
      </c>
      <c r="BV31" s="95">
        <f t="shared" si="25"/>
        <v>778.36355542980914</v>
      </c>
      <c r="BW31" s="95">
        <f t="shared" si="36"/>
        <v>814.283475403701</v>
      </c>
      <c r="BX31" s="95">
        <f t="shared" si="64"/>
        <v>21.626241150641849</v>
      </c>
      <c r="BY31" s="95">
        <f t="shared" si="65"/>
        <v>771.89682162746499</v>
      </c>
      <c r="BZ31" s="95">
        <f t="shared" si="66"/>
        <v>856.67012917993702</v>
      </c>
      <c r="CA31" s="56">
        <f t="shared" si="26"/>
        <v>-4.4911149926042726E-2</v>
      </c>
      <c r="CB31" s="134">
        <f t="shared" si="39"/>
        <v>4.6147998224373488E-2</v>
      </c>
    </row>
    <row r="32" spans="1:80" ht="1" customHeight="1">
      <c r="A32" s="2">
        <v>2018</v>
      </c>
      <c r="B32" s="95">
        <v>884.45511791307888</v>
      </c>
      <c r="C32" s="95">
        <v>369.471765657204</v>
      </c>
      <c r="D32" s="95">
        <v>1651.213965273753</v>
      </c>
      <c r="E32" s="95">
        <v>543.19532532520293</v>
      </c>
      <c r="F32" s="95">
        <v>179.4885777542064</v>
      </c>
      <c r="G32" s="147">
        <v>1584.0604622578774</v>
      </c>
      <c r="H32" s="95">
        <v>449.51733448035259</v>
      </c>
      <c r="I32" s="95">
        <v>519.37285205413082</v>
      </c>
      <c r="J32" s="95">
        <v>819.43832212653774</v>
      </c>
      <c r="K32" s="95">
        <f t="shared" si="27"/>
        <v>440.18648326345703</v>
      </c>
      <c r="L32" s="2"/>
      <c r="M32" s="2">
        <f t="shared" si="6"/>
        <v>2018</v>
      </c>
      <c r="N32" s="95">
        <f t="shared" si="1"/>
        <v>884.45511791307888</v>
      </c>
      <c r="O32" s="95">
        <f t="shared" si="28"/>
        <v>883.86593315370703</v>
      </c>
      <c r="P32" s="95">
        <f t="shared" si="40"/>
        <v>13.132851938792026</v>
      </c>
      <c r="Q32" s="95">
        <f t="shared" si="41"/>
        <v>858.12601633937766</v>
      </c>
      <c r="R32" s="95">
        <f t="shared" si="42"/>
        <v>909.60584996803641</v>
      </c>
      <c r="S32" s="56">
        <f t="shared" si="7"/>
        <v>1.6569065627004109E-2</v>
      </c>
      <c r="T32" s="2">
        <f t="shared" si="8"/>
        <v>2018</v>
      </c>
      <c r="U32" s="95">
        <f t="shared" si="2"/>
        <v>369.471765657204</v>
      </c>
      <c r="V32" s="95">
        <f t="shared" si="29"/>
        <v>371.57457835984053</v>
      </c>
      <c r="W32" s="95">
        <f t="shared" si="43"/>
        <v>8.0540251899725011</v>
      </c>
      <c r="X32" s="95">
        <f t="shared" si="44"/>
        <v>355.78897905691605</v>
      </c>
      <c r="Y32" s="95">
        <f t="shared" si="45"/>
        <v>387.36017766276501</v>
      </c>
      <c r="Z32" s="56">
        <f t="shared" si="9"/>
        <v>-3.5225244506127407E-3</v>
      </c>
      <c r="AA32" s="2">
        <f t="shared" si="10"/>
        <v>2018</v>
      </c>
      <c r="AB32" s="95">
        <f t="shared" si="3"/>
        <v>1651.213965273753</v>
      </c>
      <c r="AC32" s="95">
        <f t="shared" si="30"/>
        <v>1632.5194508480113</v>
      </c>
      <c r="AD32" s="95">
        <f t="shared" si="46"/>
        <v>92.048025259952055</v>
      </c>
      <c r="AE32" s="95">
        <f t="shared" si="47"/>
        <v>1452.1086364904722</v>
      </c>
      <c r="AF32" s="95">
        <f t="shared" si="48"/>
        <v>1812.9302652055503</v>
      </c>
      <c r="AG32" s="56">
        <f t="shared" si="11"/>
        <v>0.10201511532578222</v>
      </c>
      <c r="AH32" s="2">
        <f t="shared" si="12"/>
        <v>2018</v>
      </c>
      <c r="AI32" s="95">
        <f t="shared" si="4"/>
        <v>543.19532532520293</v>
      </c>
      <c r="AJ32" s="95">
        <f t="shared" si="31"/>
        <v>561.02560041480262</v>
      </c>
      <c r="AK32" s="95">
        <f t="shared" si="49"/>
        <v>41.362453778301266</v>
      </c>
      <c r="AL32" s="95">
        <f t="shared" si="50"/>
        <v>479.95668069712951</v>
      </c>
      <c r="AM32" s="95">
        <f t="shared" si="51"/>
        <v>642.09452013247574</v>
      </c>
      <c r="AN32" s="56">
        <f t="shared" si="13"/>
        <v>-6.9524989772397072E-3</v>
      </c>
      <c r="AO32" s="2">
        <f t="shared" si="14"/>
        <v>2018</v>
      </c>
      <c r="AP32" s="95">
        <f t="shared" si="5"/>
        <v>179.4885777542064</v>
      </c>
      <c r="AQ32" s="95">
        <f t="shared" si="32"/>
        <v>183.19068040346775</v>
      </c>
      <c r="AR32" s="95">
        <f t="shared" si="52"/>
        <v>50.83212671748344</v>
      </c>
      <c r="AS32" s="95">
        <f t="shared" si="53"/>
        <v>83.561542779623991</v>
      </c>
      <c r="AT32" s="95">
        <f t="shared" si="54"/>
        <v>282.8198180273115</v>
      </c>
      <c r="AU32" s="56">
        <f t="shared" si="15"/>
        <v>1.0700183356335158E-2</v>
      </c>
      <c r="AV32" s="2">
        <f t="shared" si="16"/>
        <v>2018</v>
      </c>
      <c r="AW32" s="95">
        <f t="shared" si="17"/>
        <v>1584.0604622578774</v>
      </c>
      <c r="AX32" s="95">
        <f t="shared" si="33"/>
        <v>1600.7229446622709</v>
      </c>
      <c r="AY32" s="95">
        <f t="shared" si="55"/>
        <v>45.484880231598027</v>
      </c>
      <c r="AZ32" s="95">
        <f t="shared" si="56"/>
        <v>1511.574217567221</v>
      </c>
      <c r="BA32" s="95">
        <f t="shared" si="57"/>
        <v>1689.8716717573209</v>
      </c>
      <c r="BB32" s="56">
        <f t="shared" si="18"/>
        <v>8.7933885387798671E-3</v>
      </c>
      <c r="BC32" s="2">
        <f t="shared" si="19"/>
        <v>2018</v>
      </c>
      <c r="BD32" s="95">
        <f t="shared" si="0"/>
        <v>449.51733448035259</v>
      </c>
      <c r="BE32" s="95">
        <f t="shared" si="34"/>
        <v>487.64090405593578</v>
      </c>
      <c r="BF32" s="95">
        <f t="shared" si="58"/>
        <v>25.566435405742993</v>
      </c>
      <c r="BG32" s="95">
        <f t="shared" si="59"/>
        <v>437.53161144760986</v>
      </c>
      <c r="BH32" s="95">
        <f t="shared" si="60"/>
        <v>537.75019666426169</v>
      </c>
      <c r="BI32" s="56">
        <f t="shared" si="20"/>
        <v>-1.4863813285856953E-3</v>
      </c>
      <c r="BJ32" s="134">
        <f t="shared" si="37"/>
        <v>8.4810009873489065E-2</v>
      </c>
      <c r="BL32" s="2">
        <f t="shared" si="21"/>
        <v>2018</v>
      </c>
      <c r="BM32" s="95">
        <f t="shared" si="22"/>
        <v>519.37285205413082</v>
      </c>
      <c r="BN32" s="95">
        <f t="shared" si="35"/>
        <v>612.99336089568112</v>
      </c>
      <c r="BO32" s="95">
        <f t="shared" si="61"/>
        <v>52.87416851191599</v>
      </c>
      <c r="BP32" s="95">
        <f t="shared" si="62"/>
        <v>509.36189489982405</v>
      </c>
      <c r="BQ32" s="95">
        <f t="shared" si="63"/>
        <v>716.62482689153819</v>
      </c>
      <c r="BR32" s="56">
        <f t="shared" si="23"/>
        <v>-8.3855758490228971E-2</v>
      </c>
      <c r="BS32" s="134">
        <f t="shared" si="38"/>
        <v>0.1802568395157336</v>
      </c>
      <c r="BU32" s="2">
        <f t="shared" si="24"/>
        <v>2018</v>
      </c>
      <c r="BV32" s="95">
        <f t="shared" si="25"/>
        <v>819.43832212653774</v>
      </c>
      <c r="BW32" s="95">
        <f t="shared" si="36"/>
        <v>802.54018226088851</v>
      </c>
      <c r="BX32" s="95">
        <f t="shared" si="64"/>
        <v>22.198079374390826</v>
      </c>
      <c r="BY32" s="95">
        <f t="shared" si="65"/>
        <v>759.03274616112105</v>
      </c>
      <c r="BZ32" s="95">
        <f t="shared" si="66"/>
        <v>846.04761836065597</v>
      </c>
      <c r="CA32" s="56">
        <f t="shared" si="26"/>
        <v>5.2770670479358905E-2</v>
      </c>
      <c r="CB32" s="134">
        <f t="shared" si="39"/>
        <v>2.06216128894199E-2</v>
      </c>
    </row>
    <row r="33" spans="1:80" ht="1" customHeight="1">
      <c r="A33" s="2">
        <v>2019</v>
      </c>
      <c r="B33" s="95">
        <v>908.87712567892527</v>
      </c>
      <c r="C33" s="95">
        <v>369.47090361206028</v>
      </c>
      <c r="D33" s="95">
        <v>1414.4751904845905</v>
      </c>
      <c r="E33" s="95">
        <v>535.24302028429724</v>
      </c>
      <c r="F33" s="95">
        <v>181.9174386739914</v>
      </c>
      <c r="G33" s="147">
        <v>1647.3993874722655</v>
      </c>
      <c r="H33" s="95">
        <v>420.57379487934037</v>
      </c>
      <c r="I33" s="95">
        <v>522.77184670124836</v>
      </c>
      <c r="J33" s="95">
        <v>787.31711903079804</v>
      </c>
      <c r="K33" s="95">
        <f t="shared" si="27"/>
        <v>439.51733448035259</v>
      </c>
      <c r="L33" s="2"/>
      <c r="M33" s="2">
        <f t="shared" si="6"/>
        <v>2019</v>
      </c>
      <c r="N33" s="95">
        <f t="shared" si="1"/>
        <v>908.87712567892527</v>
      </c>
      <c r="O33" s="95">
        <f t="shared" si="28"/>
        <v>885.2262842642283</v>
      </c>
      <c r="P33" s="95">
        <f t="shared" si="40"/>
        <v>12.93924880139695</v>
      </c>
      <c r="Q33" s="95">
        <f t="shared" si="41"/>
        <v>859.86582262648722</v>
      </c>
      <c r="R33" s="95">
        <f t="shared" si="42"/>
        <v>910.58674590196938</v>
      </c>
      <c r="S33" s="56">
        <f t="shared" si="7"/>
        <v>2.7612489623522585E-2</v>
      </c>
      <c r="T33" s="2">
        <f t="shared" si="8"/>
        <v>2019</v>
      </c>
      <c r="U33" s="95">
        <f t="shared" si="2"/>
        <v>369.47090361206028</v>
      </c>
      <c r="V33" s="95">
        <f t="shared" si="29"/>
        <v>370.91176724496529</v>
      </c>
      <c r="W33" s="95">
        <f t="shared" si="43"/>
        <v>5.758738370736415</v>
      </c>
      <c r="X33" s="95">
        <f t="shared" si="44"/>
        <v>359.62484744193307</v>
      </c>
      <c r="Y33" s="95">
        <f t="shared" si="45"/>
        <v>382.19868704799751</v>
      </c>
      <c r="Z33" s="56">
        <f t="shared" si="9"/>
        <v>-2.3331827323502807E-6</v>
      </c>
      <c r="AA33" s="2">
        <f t="shared" si="10"/>
        <v>2019</v>
      </c>
      <c r="AB33" s="95">
        <f t="shared" si="3"/>
        <v>1414.4751904845905</v>
      </c>
      <c r="AC33" s="95">
        <f t="shared" si="30"/>
        <v>1641.5582153899074</v>
      </c>
      <c r="AD33" s="95">
        <f t="shared" si="46"/>
        <v>92.141756698975684</v>
      </c>
      <c r="AE33" s="95">
        <f t="shared" si="47"/>
        <v>1460.9636907876629</v>
      </c>
      <c r="AF33" s="95">
        <f t="shared" si="48"/>
        <v>1822.152739992152</v>
      </c>
      <c r="AG33" s="56">
        <f t="shared" si="11"/>
        <v>-0.14337256089637895</v>
      </c>
      <c r="AH33" s="2">
        <f t="shared" si="12"/>
        <v>2019</v>
      </c>
      <c r="AI33" s="95">
        <f t="shared" si="4"/>
        <v>535.24302028429724</v>
      </c>
      <c r="AJ33" s="95">
        <f t="shared" si="31"/>
        <v>556.64058759953878</v>
      </c>
      <c r="AK33" s="95">
        <f t="shared" si="49"/>
        <v>27.250699813279041</v>
      </c>
      <c r="AL33" s="95">
        <f t="shared" si="50"/>
        <v>503.23019741199948</v>
      </c>
      <c r="AM33" s="95">
        <f t="shared" si="51"/>
        <v>610.05097778707807</v>
      </c>
      <c r="AN33" s="56">
        <f t="shared" si="13"/>
        <v>-1.4639862808364157E-2</v>
      </c>
      <c r="AO33" s="2">
        <f t="shared" si="14"/>
        <v>2019</v>
      </c>
      <c r="AP33" s="95">
        <f t="shared" si="5"/>
        <v>181.9174386739914</v>
      </c>
      <c r="AQ33" s="95">
        <f t="shared" si="32"/>
        <v>180.17918221725589</v>
      </c>
      <c r="AR33" s="95">
        <f t="shared" si="52"/>
        <v>36.993743376763256</v>
      </c>
      <c r="AS33" s="95">
        <f t="shared" si="53"/>
        <v>107.67277754548276</v>
      </c>
      <c r="AT33" s="95">
        <f t="shared" si="54"/>
        <v>252.68558688902903</v>
      </c>
      <c r="AU33" s="56">
        <f t="shared" si="15"/>
        <v>1.3532119704637191E-2</v>
      </c>
      <c r="AV33" s="2">
        <f t="shared" si="16"/>
        <v>2019</v>
      </c>
      <c r="AW33" s="95">
        <f t="shared" si="17"/>
        <v>1647.3993874722655</v>
      </c>
      <c r="AX33" s="95">
        <f t="shared" si="33"/>
        <v>1588.602164702253</v>
      </c>
      <c r="AY33" s="95">
        <f t="shared" si="55"/>
        <v>45.128146106464889</v>
      </c>
      <c r="AZ33" s="95">
        <f t="shared" si="56"/>
        <v>1500.1526236445204</v>
      </c>
      <c r="BA33" s="95">
        <f t="shared" si="57"/>
        <v>1677.0517057599857</v>
      </c>
      <c r="BB33" s="56">
        <f t="shared" si="18"/>
        <v>3.9985168952519912E-2</v>
      </c>
      <c r="BC33" s="2">
        <f t="shared" si="19"/>
        <v>2019</v>
      </c>
      <c r="BD33" s="95">
        <f t="shared" si="0"/>
        <v>420.57379487934037</v>
      </c>
      <c r="BE33" s="95">
        <f t="shared" si="34"/>
        <v>475.84086617885276</v>
      </c>
      <c r="BF33" s="95">
        <f t="shared" si="58"/>
        <v>27.310089462236572</v>
      </c>
      <c r="BG33" s="95">
        <f t="shared" si="59"/>
        <v>422.31407441830225</v>
      </c>
      <c r="BH33" s="95">
        <f t="shared" si="60"/>
        <v>529.36765793940333</v>
      </c>
      <c r="BI33" s="56">
        <f t="shared" si="20"/>
        <v>-6.4388038860550889E-2</v>
      </c>
      <c r="BJ33" s="134">
        <f t="shared" si="37"/>
        <v>0.13140873723568089</v>
      </c>
      <c r="BL33" s="2">
        <f t="shared" si="21"/>
        <v>2019</v>
      </c>
      <c r="BM33" s="95">
        <f t="shared" si="22"/>
        <v>522.77184670124836</v>
      </c>
      <c r="BN33" s="95">
        <f t="shared" si="35"/>
        <v>591.52811281979757</v>
      </c>
      <c r="BO33" s="95">
        <f t="shared" si="61"/>
        <v>56.317790106741995</v>
      </c>
      <c r="BP33" s="95">
        <f t="shared" si="62"/>
        <v>481.14727252169712</v>
      </c>
      <c r="BQ33" s="95">
        <f t="shared" si="63"/>
        <v>701.90895311789802</v>
      </c>
      <c r="BR33" s="56">
        <f t="shared" si="23"/>
        <v>6.5444210910803324E-3</v>
      </c>
      <c r="BS33" s="134">
        <f t="shared" si="38"/>
        <v>0.13152251130662315</v>
      </c>
      <c r="BU33" s="2">
        <f t="shared" si="24"/>
        <v>2019</v>
      </c>
      <c r="BV33" s="95">
        <f t="shared" si="25"/>
        <v>787.31711903079804</v>
      </c>
      <c r="BW33" s="95">
        <f t="shared" si="36"/>
        <v>808.04929674140749</v>
      </c>
      <c r="BX33" s="95">
        <f t="shared" si="64"/>
        <v>19.603547578225502</v>
      </c>
      <c r="BY33" s="95">
        <f t="shared" si="65"/>
        <v>769.62704951886815</v>
      </c>
      <c r="BZ33" s="95">
        <f t="shared" si="66"/>
        <v>846.47154396394683</v>
      </c>
      <c r="CA33" s="56">
        <f t="shared" si="26"/>
        <v>-3.9199049188206714E-2</v>
      </c>
      <c r="CB33" s="134">
        <f t="shared" si="39"/>
        <v>2.6332690106028869E-2</v>
      </c>
    </row>
    <row r="34" spans="1:80" ht="15.5">
      <c r="A34" s="2">
        <v>2020</v>
      </c>
      <c r="B34" s="95">
        <v>927.18176589332518</v>
      </c>
      <c r="C34" s="95">
        <v>371.67283210895351</v>
      </c>
      <c r="D34" s="95">
        <v>1382.3869362837449</v>
      </c>
      <c r="E34" s="95">
        <v>516.95116729375934</v>
      </c>
      <c r="F34" s="95">
        <v>176.12107418379031</v>
      </c>
      <c r="G34" s="147">
        <v>1615.5511777705419</v>
      </c>
      <c r="H34" s="95">
        <v>405.19183200859817</v>
      </c>
      <c r="I34" s="95">
        <v>509.30334397004083</v>
      </c>
      <c r="J34" s="95">
        <v>729.15822032630717</v>
      </c>
      <c r="K34" s="95">
        <f t="shared" si="27"/>
        <v>410.57379487934037</v>
      </c>
      <c r="L34" s="2"/>
      <c r="M34" s="2">
        <f t="shared" si="6"/>
        <v>2020</v>
      </c>
      <c r="N34" s="95">
        <f t="shared" si="1"/>
        <v>927.18176589332518</v>
      </c>
      <c r="O34" s="95">
        <f t="shared" si="28"/>
        <v>891.71486462095072</v>
      </c>
      <c r="P34" s="95">
        <f t="shared" si="40"/>
        <v>15.042756432933823</v>
      </c>
      <c r="Q34" s="95">
        <f t="shared" si="41"/>
        <v>862.2316037841922</v>
      </c>
      <c r="R34" s="95">
        <f t="shared" si="42"/>
        <v>921.19812545770924</v>
      </c>
      <c r="S34" s="56">
        <f t="shared" si="7"/>
        <v>2.0139840356006911E-2</v>
      </c>
      <c r="T34" s="2">
        <f t="shared" si="8"/>
        <v>2020</v>
      </c>
      <c r="U34" s="95">
        <f t="shared" si="2"/>
        <v>371.67283210895351</v>
      </c>
      <c r="V34" s="95">
        <f t="shared" si="29"/>
        <v>369.51431054873626</v>
      </c>
      <c r="W34" s="95">
        <f t="shared" si="43"/>
        <v>5.0901762324250859</v>
      </c>
      <c r="X34" s="95">
        <f t="shared" si="44"/>
        <v>359.5377484582213</v>
      </c>
      <c r="Y34" s="95">
        <f t="shared" si="45"/>
        <v>379.49087263925122</v>
      </c>
      <c r="Z34" s="56">
        <f t="shared" si="9"/>
        <v>5.9596803844808033E-3</v>
      </c>
      <c r="AA34" s="2">
        <f t="shared" si="10"/>
        <v>2020</v>
      </c>
      <c r="AB34" s="95">
        <f t="shared" si="3"/>
        <v>1382.3869362837449</v>
      </c>
      <c r="AC34" s="95">
        <f t="shared" si="30"/>
        <v>1565.6673202326972</v>
      </c>
      <c r="AD34" s="95">
        <f t="shared" si="46"/>
        <v>90.592171889728377</v>
      </c>
      <c r="AE34" s="95">
        <f t="shared" si="47"/>
        <v>1388.1099260475678</v>
      </c>
      <c r="AF34" s="95">
        <f t="shared" si="48"/>
        <v>1743.2247144178266</v>
      </c>
      <c r="AG34" s="56">
        <f t="shared" si="11"/>
        <v>-2.2685625323588976E-2</v>
      </c>
      <c r="AH34" s="2">
        <f t="shared" si="12"/>
        <v>2020</v>
      </c>
      <c r="AI34" s="95">
        <f t="shared" si="4"/>
        <v>516.95116729375934</v>
      </c>
      <c r="AJ34" s="95">
        <f t="shared" si="31"/>
        <v>546.96559581613144</v>
      </c>
      <c r="AK34" s="95">
        <f t="shared" si="49"/>
        <v>22.554553686455741</v>
      </c>
      <c r="AL34" s="95">
        <f t="shared" si="50"/>
        <v>502.75948290330308</v>
      </c>
      <c r="AM34" s="95">
        <f t="shared" si="51"/>
        <v>591.17170872895974</v>
      </c>
      <c r="AN34" s="56">
        <f t="shared" si="13"/>
        <v>-3.4174855714740771E-2</v>
      </c>
      <c r="AO34" s="2">
        <f t="shared" si="14"/>
        <v>2020</v>
      </c>
      <c r="AP34" s="95">
        <f t="shared" si="5"/>
        <v>176.12107418379031</v>
      </c>
      <c r="AQ34" s="95">
        <f t="shared" si="32"/>
        <v>179.83835729048147</v>
      </c>
      <c r="AR34" s="95">
        <f t="shared" si="52"/>
        <v>21.270616994748</v>
      </c>
      <c r="AS34" s="95">
        <f t="shared" si="53"/>
        <v>138.14871405182981</v>
      </c>
      <c r="AT34" s="95">
        <f t="shared" si="54"/>
        <v>221.52800052913312</v>
      </c>
      <c r="AU34" s="56">
        <f t="shared" si="15"/>
        <v>-3.1862610492161658E-2</v>
      </c>
      <c r="AV34" s="2">
        <f t="shared" si="16"/>
        <v>2020</v>
      </c>
      <c r="AW34" s="95">
        <f t="shared" si="17"/>
        <v>1615.5511777705419</v>
      </c>
      <c r="AX34" s="95">
        <f t="shared" si="33"/>
        <v>1600.7254951530763</v>
      </c>
      <c r="AY34" s="95">
        <f t="shared" si="55"/>
        <v>32.571805311207179</v>
      </c>
      <c r="AZ34" s="95">
        <f t="shared" si="56"/>
        <v>1536.8859298316597</v>
      </c>
      <c r="BA34" s="95">
        <f t="shared" si="57"/>
        <v>1664.5650604744928</v>
      </c>
      <c r="BB34" s="56">
        <f t="shared" si="18"/>
        <v>-1.9332415650943569E-2</v>
      </c>
      <c r="BC34" s="2">
        <f t="shared" si="19"/>
        <v>2020</v>
      </c>
      <c r="BD34" s="95">
        <f t="shared" si="0"/>
        <v>405.19183200859817</v>
      </c>
      <c r="BE34" s="95">
        <f t="shared" si="34"/>
        <v>456.64828710198117</v>
      </c>
      <c r="BF34" s="95">
        <f t="shared" si="58"/>
        <v>31.64561050906039</v>
      </c>
      <c r="BG34" s="95">
        <f t="shared" si="59"/>
        <v>394.62403023544056</v>
      </c>
      <c r="BH34" s="95">
        <f t="shared" si="60"/>
        <v>518.67254396852172</v>
      </c>
      <c r="BI34" s="56">
        <f t="shared" si="20"/>
        <v>-3.6573754851167539E-2</v>
      </c>
      <c r="BJ34" s="134">
        <f t="shared" si="37"/>
        <v>0.12699282420947491</v>
      </c>
      <c r="BL34" s="2">
        <f t="shared" si="21"/>
        <v>2020</v>
      </c>
      <c r="BM34" s="95">
        <f t="shared" si="22"/>
        <v>509.30334397004083</v>
      </c>
      <c r="BN34" s="95">
        <f t="shared" si="35"/>
        <v>558.33353059423337</v>
      </c>
      <c r="BO34" s="95">
        <f t="shared" si="61"/>
        <v>58.230810606507305</v>
      </c>
      <c r="BP34" s="95">
        <f t="shared" si="62"/>
        <v>444.2032390149061</v>
      </c>
      <c r="BQ34" s="95">
        <f t="shared" si="63"/>
        <v>672.46382217356063</v>
      </c>
      <c r="BR34" s="56">
        <f t="shared" si="23"/>
        <v>-2.5763634396525736E-2</v>
      </c>
      <c r="BS34" s="134">
        <f t="shared" si="38"/>
        <v>9.6269123705334789E-2</v>
      </c>
      <c r="BU34" s="2">
        <f t="shared" si="24"/>
        <v>2020</v>
      </c>
      <c r="BV34" s="95">
        <f t="shared" si="25"/>
        <v>729.15822032630717</v>
      </c>
      <c r="BW34" s="95">
        <f t="shared" si="36"/>
        <v>799.18357341922137</v>
      </c>
      <c r="BX34" s="95">
        <f t="shared" si="64"/>
        <v>19.496670153190223</v>
      </c>
      <c r="BY34" s="95">
        <f t="shared" si="65"/>
        <v>760.97080210051149</v>
      </c>
      <c r="BZ34" s="95">
        <f t="shared" si="66"/>
        <v>837.39634473793126</v>
      </c>
      <c r="CA34" s="56">
        <f t="shared" si="26"/>
        <v>-7.3869724534994963E-2</v>
      </c>
      <c r="CB34" s="134">
        <f t="shared" si="39"/>
        <v>9.6035882392681529E-2</v>
      </c>
    </row>
    <row r="35" spans="1:80" ht="15.5">
      <c r="A35" s="2">
        <v>2021</v>
      </c>
      <c r="B35" s="95">
        <v>934.77312959760673</v>
      </c>
      <c r="C35" s="95">
        <v>372.62496473739247</v>
      </c>
      <c r="D35" s="95">
        <v>1745.815487030382</v>
      </c>
      <c r="E35" s="95">
        <v>521.23430915876861</v>
      </c>
      <c r="F35" s="95">
        <v>176.99569679563109</v>
      </c>
      <c r="G35" s="147">
        <v>1595.5872747041751</v>
      </c>
      <c r="H35" s="95">
        <v>410.84231967688788</v>
      </c>
      <c r="I35" s="95">
        <v>589.96187093270316</v>
      </c>
      <c r="J35" s="95">
        <v>819.9996135641444</v>
      </c>
      <c r="K35" s="95">
        <f t="shared" si="27"/>
        <v>395.19183200859817</v>
      </c>
      <c r="L35" s="2"/>
      <c r="M35" s="2">
        <f t="shared" si="6"/>
        <v>2021</v>
      </c>
      <c r="N35" s="95">
        <f t="shared" si="1"/>
        <v>934.77312959760673</v>
      </c>
      <c r="O35" s="95">
        <f t="shared" si="28"/>
        <v>897.19645416444223</v>
      </c>
      <c r="P35" s="95">
        <f t="shared" si="40"/>
        <v>17.6438223501404</v>
      </c>
      <c r="Q35" s="95">
        <f t="shared" si="41"/>
        <v>862.61519780854417</v>
      </c>
      <c r="R35" s="95">
        <f t="shared" si="42"/>
        <v>931.77771052034029</v>
      </c>
      <c r="S35" s="56">
        <f t="shared" si="7"/>
        <v>8.1875679435599036E-3</v>
      </c>
      <c r="T35" s="2">
        <f t="shared" si="8"/>
        <v>2021</v>
      </c>
      <c r="U35" s="95">
        <f t="shared" si="2"/>
        <v>372.62496473739247</v>
      </c>
      <c r="V35" s="95">
        <f t="shared" si="29"/>
        <v>370.34559558014053</v>
      </c>
      <c r="W35" s="95">
        <f t="shared" si="43"/>
        <v>2.2812477468651138</v>
      </c>
      <c r="X35" s="95">
        <f t="shared" si="44"/>
        <v>365.87443215647176</v>
      </c>
      <c r="Y35" s="95">
        <f t="shared" si="45"/>
        <v>374.8167590038093</v>
      </c>
      <c r="Z35" s="56">
        <f t="shared" si="9"/>
        <v>2.5617493294742832E-3</v>
      </c>
      <c r="AA35" s="2">
        <f t="shared" si="10"/>
        <v>2021</v>
      </c>
      <c r="AB35" s="95">
        <f t="shared" si="3"/>
        <v>1745.815487030382</v>
      </c>
      <c r="AC35" s="95">
        <f t="shared" si="30"/>
        <v>1517.1805213010753</v>
      </c>
      <c r="AD35" s="95">
        <f t="shared" si="46"/>
        <v>108.78982247404674</v>
      </c>
      <c r="AE35" s="95">
        <f t="shared" si="47"/>
        <v>1303.9563873674376</v>
      </c>
      <c r="AF35" s="95">
        <f t="shared" si="48"/>
        <v>1730.4046552347129</v>
      </c>
      <c r="AG35" s="56">
        <f t="shared" si="11"/>
        <v>0.26289929484116636</v>
      </c>
      <c r="AH35" s="2">
        <f t="shared" si="12"/>
        <v>2021</v>
      </c>
      <c r="AI35" s="95">
        <f t="shared" si="4"/>
        <v>521.23430915876861</v>
      </c>
      <c r="AJ35" s="95">
        <f t="shared" si="31"/>
        <v>538.00498899106253</v>
      </c>
      <c r="AK35" s="95">
        <f t="shared" si="49"/>
        <v>19.764856959160237</v>
      </c>
      <c r="AL35" s="95">
        <f t="shared" si="50"/>
        <v>499.26658119152262</v>
      </c>
      <c r="AM35" s="95">
        <f t="shared" si="51"/>
        <v>576.74339679060245</v>
      </c>
      <c r="AN35" s="56">
        <f t="shared" si="13"/>
        <v>8.2853896770009872E-3</v>
      </c>
      <c r="AO35" s="2">
        <f t="shared" si="14"/>
        <v>2021</v>
      </c>
      <c r="AP35" s="95">
        <f t="shared" si="5"/>
        <v>176.99569679563109</v>
      </c>
      <c r="AQ35" s="95">
        <f t="shared" si="32"/>
        <v>179.68206547669132</v>
      </c>
      <c r="AR35" s="95">
        <f t="shared" si="52"/>
        <v>8.1898090865386362</v>
      </c>
      <c r="AS35" s="95">
        <f t="shared" si="53"/>
        <v>163.6303346268167</v>
      </c>
      <c r="AT35" s="95">
        <f t="shared" si="54"/>
        <v>195.73379632656594</v>
      </c>
      <c r="AU35" s="56">
        <f t="shared" si="15"/>
        <v>4.9660304190972671E-3</v>
      </c>
      <c r="AV35" s="2">
        <f t="shared" si="16"/>
        <v>2021</v>
      </c>
      <c r="AW35" s="95">
        <f t="shared" si="17"/>
        <v>1595.5872747041751</v>
      </c>
      <c r="AX35" s="95">
        <f t="shared" si="33"/>
        <v>1605.8235548465709</v>
      </c>
      <c r="AY35" s="95">
        <f t="shared" si="55"/>
        <v>26.493276847638505</v>
      </c>
      <c r="AZ35" s="95">
        <f t="shared" si="56"/>
        <v>1553.8976863927505</v>
      </c>
      <c r="BA35" s="95">
        <f t="shared" si="57"/>
        <v>1657.7494233003913</v>
      </c>
      <c r="BB35" s="56">
        <f t="shared" si="18"/>
        <v>-1.2357332494979834E-2</v>
      </c>
      <c r="BC35" s="2">
        <f t="shared" si="19"/>
        <v>2021</v>
      </c>
      <c r="BD35" s="95">
        <f t="shared" si="0"/>
        <v>410.84231967688788</v>
      </c>
      <c r="BE35" s="95">
        <f t="shared" si="34"/>
        <v>439.22609714409703</v>
      </c>
      <c r="BF35" s="95">
        <f t="shared" si="58"/>
        <v>33.67451013747867</v>
      </c>
      <c r="BG35" s="95">
        <f t="shared" si="59"/>
        <v>373.22527007760993</v>
      </c>
      <c r="BH35" s="95">
        <f t="shared" si="60"/>
        <v>505.22692421058412</v>
      </c>
      <c r="BI35" s="56">
        <f t="shared" si="20"/>
        <v>1.3945216122149828E-2</v>
      </c>
      <c r="BJ35" s="134">
        <f t="shared" si="37"/>
        <v>6.9086790984755231E-2</v>
      </c>
      <c r="BL35" s="2">
        <f t="shared" si="21"/>
        <v>2021</v>
      </c>
      <c r="BM35" s="95">
        <f t="shared" si="22"/>
        <v>589.96187093270316</v>
      </c>
      <c r="BN35" s="95">
        <f t="shared" si="35"/>
        <v>536.79701907861477</v>
      </c>
      <c r="BO35" s="95">
        <f t="shared" si="61"/>
        <v>55.76392787062268</v>
      </c>
      <c r="BP35" s="95">
        <f t="shared" si="62"/>
        <v>427.50172881570501</v>
      </c>
      <c r="BQ35" s="95">
        <f t="shared" si="63"/>
        <v>646.09230934152458</v>
      </c>
      <c r="BR35" s="56">
        <f t="shared" si="23"/>
        <v>0.15837030704319699</v>
      </c>
      <c r="BS35" s="134">
        <f t="shared" si="38"/>
        <v>9.011574217506152E-2</v>
      </c>
      <c r="BU35" s="2">
        <f t="shared" si="24"/>
        <v>2021</v>
      </c>
      <c r="BV35" s="95">
        <f t="shared" si="25"/>
        <v>819.9996135641444</v>
      </c>
      <c r="BW35" s="95">
        <f t="shared" si="36"/>
        <v>785.84835349142782</v>
      </c>
      <c r="BX35" s="95">
        <f t="shared" si="64"/>
        <v>28.528115905297209</v>
      </c>
      <c r="BY35" s="95">
        <f t="shared" si="65"/>
        <v>729.93427377026103</v>
      </c>
      <c r="BZ35" s="95">
        <f t="shared" si="66"/>
        <v>841.7624332125946</v>
      </c>
      <c r="CA35" s="56">
        <f>(+BV35/BV34-1)</f>
        <v>0.12458392527918649</v>
      </c>
      <c r="CB35" s="134">
        <f t="shared" si="39"/>
        <v>4.1647897764582428E-2</v>
      </c>
    </row>
    <row r="36" spans="1:80" ht="15.5">
      <c r="A36" s="2">
        <v>2022</v>
      </c>
      <c r="B36" s="95">
        <v>932.31341784665949</v>
      </c>
      <c r="C36" s="95">
        <v>369.59996818488389</v>
      </c>
      <c r="D36" s="95">
        <v>1603.1342918827713</v>
      </c>
      <c r="E36" s="95">
        <v>536.59845075152919</v>
      </c>
      <c r="F36" s="95">
        <v>193.30927917316615</v>
      </c>
      <c r="G36" s="147">
        <v>1614.518837669845</v>
      </c>
      <c r="H36" s="95">
        <v>435.08334003427979</v>
      </c>
      <c r="I36" s="95">
        <v>578.82792367844831</v>
      </c>
      <c r="J36" s="95">
        <v>721.66447000041308</v>
      </c>
      <c r="K36" s="95">
        <f t="shared" si="27"/>
        <v>400.84231967688788</v>
      </c>
      <c r="L36" s="2"/>
      <c r="M36" s="2">
        <f t="shared" si="6"/>
        <v>2022</v>
      </c>
      <c r="N36" s="95">
        <f t="shared" si="1"/>
        <v>932.31341784665949</v>
      </c>
      <c r="O36" s="95">
        <f t="shared" si="28"/>
        <v>905.06530348759441</v>
      </c>
      <c r="P36" s="95">
        <f t="shared" si="40"/>
        <v>21.297818533478356</v>
      </c>
      <c r="Q36" s="95">
        <f t="shared" si="41"/>
        <v>863.3223462127072</v>
      </c>
      <c r="R36" s="95">
        <f t="shared" si="42"/>
        <v>946.80826076248161</v>
      </c>
      <c r="S36" s="56">
        <f t="shared" si="7"/>
        <v>-2.6313462305084245E-3</v>
      </c>
      <c r="T36" s="2">
        <f t="shared" si="8"/>
        <v>2022</v>
      </c>
      <c r="U36" s="95">
        <f t="shared" si="2"/>
        <v>369.59996818488389</v>
      </c>
      <c r="V36" s="95">
        <f t="shared" si="29"/>
        <v>370.80366115575464</v>
      </c>
      <c r="W36" s="95">
        <f t="shared" si="43"/>
        <v>1.2481173683266011</v>
      </c>
      <c r="X36" s="95">
        <f t="shared" si="44"/>
        <v>368.3573960653556</v>
      </c>
      <c r="Y36" s="95">
        <f t="shared" si="45"/>
        <v>373.24992624615368</v>
      </c>
      <c r="Z36" s="56">
        <f t="shared" si="9"/>
        <v>-8.1180726971432637E-3</v>
      </c>
      <c r="AA36" s="2">
        <f t="shared" si="10"/>
        <v>2022</v>
      </c>
      <c r="AB36" s="95">
        <f t="shared" si="3"/>
        <v>1603.1342918827713</v>
      </c>
      <c r="AC36" s="95">
        <f t="shared" si="30"/>
        <v>1538.4500612035063</v>
      </c>
      <c r="AD36" s="95">
        <f t="shared" si="46"/>
        <v>142.91334705473611</v>
      </c>
      <c r="AE36" s="95">
        <f t="shared" si="47"/>
        <v>1258.3450480661502</v>
      </c>
      <c r="AF36" s="95">
        <f t="shared" si="48"/>
        <v>1818.5550743408623</v>
      </c>
      <c r="AG36" s="56">
        <f t="shared" si="11"/>
        <v>-8.1727534328561946E-2</v>
      </c>
      <c r="AH36" s="2">
        <f t="shared" si="12"/>
        <v>2022</v>
      </c>
      <c r="AI36" s="95">
        <f t="shared" si="4"/>
        <v>536.59845075152919</v>
      </c>
      <c r="AJ36" s="95">
        <f t="shared" si="31"/>
        <v>532.72443054433893</v>
      </c>
      <c r="AK36" s="95">
        <f t="shared" si="49"/>
        <v>14.766478585130447</v>
      </c>
      <c r="AL36" s="95">
        <f t="shared" si="50"/>
        <v>503.78266433900126</v>
      </c>
      <c r="AM36" s="95">
        <f t="shared" si="51"/>
        <v>561.6661967496766</v>
      </c>
      <c r="AN36" s="56">
        <f t="shared" si="13"/>
        <v>2.9476458711164E-2</v>
      </c>
      <c r="AO36" s="2">
        <f t="shared" si="14"/>
        <v>2022</v>
      </c>
      <c r="AP36" s="95">
        <f t="shared" si="5"/>
        <v>193.30927917316615</v>
      </c>
      <c r="AQ36" s="95">
        <f t="shared" si="32"/>
        <v>178.42222745129874</v>
      </c>
      <c r="AR36" s="95">
        <f t="shared" si="52"/>
        <v>3.1906510390905303</v>
      </c>
      <c r="AS36" s="95">
        <f t="shared" si="53"/>
        <v>172.168666327446</v>
      </c>
      <c r="AT36" s="95">
        <f t="shared" si="54"/>
        <v>184.67578857515147</v>
      </c>
      <c r="AU36" s="56">
        <f t="shared" si="15"/>
        <v>9.2169372888040391E-2</v>
      </c>
      <c r="AV36" s="2">
        <f t="shared" si="16"/>
        <v>2022</v>
      </c>
      <c r="AW36" s="95">
        <f t="shared" si="17"/>
        <v>1614.518837669845</v>
      </c>
      <c r="AX36" s="95">
        <f t="shared" si="33"/>
        <v>1602.5701846126979</v>
      </c>
      <c r="AY36" s="95">
        <f t="shared" si="55"/>
        <v>25.576972442244827</v>
      </c>
      <c r="AZ36" s="95">
        <f t="shared" si="56"/>
        <v>1552.4402397923245</v>
      </c>
      <c r="BA36" s="95">
        <f t="shared" si="57"/>
        <v>1652.7001294330712</v>
      </c>
      <c r="BB36" s="56">
        <f t="shared" si="18"/>
        <v>1.1864949831202232E-2</v>
      </c>
      <c r="BC36" s="2">
        <f t="shared" si="19"/>
        <v>2022</v>
      </c>
      <c r="BD36" s="95">
        <f t="shared" si="0"/>
        <v>435.08334003427979</v>
      </c>
      <c r="BE36" s="95">
        <f t="shared" si="34"/>
        <v>427.26235286172721</v>
      </c>
      <c r="BF36" s="95">
        <f t="shared" si="58"/>
        <v>31.064705503860928</v>
      </c>
      <c r="BG36" s="95">
        <f t="shared" si="59"/>
        <v>366.37664888381659</v>
      </c>
      <c r="BH36" s="95">
        <f t="shared" si="60"/>
        <v>488.14805683963783</v>
      </c>
      <c r="BI36" s="56">
        <f t="shared" si="20"/>
        <v>5.9003221421922936E-2</v>
      </c>
      <c r="BJ36" s="134">
        <f t="shared" si="37"/>
        <v>1.7975836932612427E-2</v>
      </c>
      <c r="BL36" s="2">
        <f t="shared" si="21"/>
        <v>2022</v>
      </c>
      <c r="BM36" s="95">
        <f t="shared" si="22"/>
        <v>578.82792367844831</v>
      </c>
      <c r="BN36" s="95">
        <f t="shared" si="35"/>
        <v>541.6643145788945</v>
      </c>
      <c r="BO36" s="95">
        <f t="shared" si="61"/>
        <v>48.338585759227129</v>
      </c>
      <c r="BP36" s="95">
        <f t="shared" si="62"/>
        <v>446.92242742720862</v>
      </c>
      <c r="BQ36" s="95">
        <f t="shared" si="63"/>
        <v>636.40620173058039</v>
      </c>
      <c r="BR36" s="56">
        <f t="shared" si="23"/>
        <v>-1.8872316674724332E-2</v>
      </c>
      <c r="BS36" s="134">
        <f t="shared" si="38"/>
        <v>6.4204934798893734E-2</v>
      </c>
      <c r="BU36" s="2">
        <f t="shared" si="24"/>
        <v>2022</v>
      </c>
      <c r="BV36" s="95">
        <f t="shared" si="25"/>
        <v>721.66447000041308</v>
      </c>
      <c r="BW36" s="95">
        <f t="shared" si="36"/>
        <v>786.85536609551934</v>
      </c>
      <c r="BX36" s="95">
        <f t="shared" si="64"/>
        <v>32.14761036980979</v>
      </c>
      <c r="BY36" s="95">
        <f t="shared" si="65"/>
        <v>723.84720758166577</v>
      </c>
      <c r="BZ36" s="95">
        <f t="shared" si="66"/>
        <v>849.86352460937292</v>
      </c>
      <c r="CA36" s="56">
        <f t="shared" si="26"/>
        <v>-0.11992096329937973</v>
      </c>
      <c r="CB36" s="134">
        <f t="shared" si="39"/>
        <v>9.0334080178658308E-2</v>
      </c>
    </row>
    <row r="37" spans="1:80" ht="15.5">
      <c r="A37" s="2">
        <v>2023</v>
      </c>
      <c r="B37" s="95">
        <v>917.12156981121166</v>
      </c>
      <c r="C37" s="95">
        <v>371.88898839494607</v>
      </c>
      <c r="D37" s="95">
        <v>1382.7474154987133</v>
      </c>
      <c r="E37" s="95">
        <v>537.96976351225942</v>
      </c>
      <c r="F37" s="95">
        <v>217.27750481068546</v>
      </c>
      <c r="G37" s="147">
        <v>1665.9397853433486</v>
      </c>
      <c r="H37" s="95">
        <v>414.90312101526052</v>
      </c>
      <c r="I37" s="95">
        <v>553.8110108134872</v>
      </c>
      <c r="J37" s="95">
        <v>738.50643615099534</v>
      </c>
      <c r="K37" s="95">
        <f t="shared" si="27"/>
        <v>425.08334003427979</v>
      </c>
      <c r="L37" s="2"/>
      <c r="M37" s="2">
        <f t="shared" si="6"/>
        <v>2023</v>
      </c>
      <c r="N37" s="95">
        <f t="shared" si="1"/>
        <v>917.12156981121166</v>
      </c>
      <c r="O37" s="95">
        <f t="shared" si="28"/>
        <v>917.52011138591911</v>
      </c>
      <c r="P37" s="95">
        <f t="shared" si="40"/>
        <v>21.427336138053246</v>
      </c>
      <c r="Q37" s="95">
        <f t="shared" si="41"/>
        <v>875.52330427070115</v>
      </c>
      <c r="R37" s="95">
        <f t="shared" si="42"/>
        <v>959.51691850113707</v>
      </c>
      <c r="S37" s="56">
        <f t="shared" si="7"/>
        <v>-1.6294786436235165E-2</v>
      </c>
      <c r="T37" s="2">
        <f t="shared" si="8"/>
        <v>2023</v>
      </c>
      <c r="U37" s="95">
        <f t="shared" si="2"/>
        <v>371.88898839494607</v>
      </c>
      <c r="V37" s="95">
        <f t="shared" si="29"/>
        <v>370.56808686009884</v>
      </c>
      <c r="W37" s="95">
        <f t="shared" si="43"/>
        <v>1.272119966363938</v>
      </c>
      <c r="X37" s="95">
        <f t="shared" si="44"/>
        <v>368.07477754201125</v>
      </c>
      <c r="Y37" s="95">
        <f t="shared" si="45"/>
        <v>373.06139617818644</v>
      </c>
      <c r="Z37" s="56">
        <f t="shared" si="9"/>
        <v>6.1932370321988728E-3</v>
      </c>
      <c r="AA37" s="2">
        <f t="shared" si="10"/>
        <v>2023</v>
      </c>
      <c r="AB37" s="95">
        <f t="shared" si="3"/>
        <v>1382.7474154987133</v>
      </c>
      <c r="AC37" s="95">
        <f t="shared" si="30"/>
        <v>1559.4051741910484</v>
      </c>
      <c r="AD37" s="95">
        <f t="shared" si="46"/>
        <v>131.17489068253118</v>
      </c>
      <c r="AE37" s="95">
        <f t="shared" si="47"/>
        <v>1302.3071127773087</v>
      </c>
      <c r="AF37" s="95">
        <f t="shared" si="48"/>
        <v>1816.5032356047882</v>
      </c>
      <c r="AG37" s="56">
        <f t="shared" si="11"/>
        <v>-0.13747249840512665</v>
      </c>
      <c r="AH37" s="2">
        <f t="shared" si="12"/>
        <v>2023</v>
      </c>
      <c r="AI37" s="95">
        <f t="shared" si="4"/>
        <v>537.96976351225942</v>
      </c>
      <c r="AJ37" s="95">
        <f t="shared" si="31"/>
        <v>530.64445456271142</v>
      </c>
      <c r="AK37" s="95">
        <f t="shared" si="49"/>
        <v>13.630335453382415</v>
      </c>
      <c r="AL37" s="95">
        <f t="shared" si="50"/>
        <v>503.92948797688246</v>
      </c>
      <c r="AM37" s="95">
        <f t="shared" si="51"/>
        <v>557.35942114854038</v>
      </c>
      <c r="AN37" s="56">
        <f t="shared" si="13"/>
        <v>2.5555660080822662E-3</v>
      </c>
      <c r="AO37" s="2">
        <f t="shared" si="14"/>
        <v>2023</v>
      </c>
      <c r="AP37" s="95">
        <f t="shared" si="5"/>
        <v>217.27750481068546</v>
      </c>
      <c r="AQ37" s="95">
        <f t="shared" si="32"/>
        <v>181.56641331615708</v>
      </c>
      <c r="AR37" s="95">
        <f t="shared" si="52"/>
        <v>5.6108833735701014</v>
      </c>
      <c r="AS37" s="95">
        <f t="shared" si="53"/>
        <v>170.56928398250508</v>
      </c>
      <c r="AT37" s="95">
        <f t="shared" si="54"/>
        <v>192.56354264980908</v>
      </c>
      <c r="AU37" s="56">
        <f t="shared" si="15"/>
        <v>0.12398900735669605</v>
      </c>
      <c r="AV37" s="2">
        <f t="shared" si="16"/>
        <v>2023</v>
      </c>
      <c r="AW37" s="95">
        <f t="shared" si="17"/>
        <v>1665.9397853433486</v>
      </c>
      <c r="AX37" s="95">
        <f t="shared" si="33"/>
        <v>1611.423427974941</v>
      </c>
      <c r="AY37" s="95">
        <f t="shared" si="55"/>
        <v>21.688930471728369</v>
      </c>
      <c r="AZ37" s="95">
        <f t="shared" si="56"/>
        <v>1568.91390538716</v>
      </c>
      <c r="BA37" s="95">
        <f t="shared" si="57"/>
        <v>1653.932950562722</v>
      </c>
      <c r="BB37" s="56">
        <f t="shared" si="18"/>
        <v>3.1849084986655729E-2</v>
      </c>
      <c r="BC37" s="2">
        <f t="shared" si="19"/>
        <v>2023</v>
      </c>
      <c r="BD37" s="95">
        <f t="shared" si="0"/>
        <v>414.90312101526052</v>
      </c>
      <c r="BE37" s="95">
        <f t="shared" si="34"/>
        <v>424.24172421589174</v>
      </c>
      <c r="BF37" s="95">
        <f t="shared" si="58"/>
        <v>26.607467511439321</v>
      </c>
      <c r="BG37" s="95">
        <f t="shared" si="59"/>
        <v>372.09204617365111</v>
      </c>
      <c r="BH37" s="95">
        <f t="shared" si="60"/>
        <v>476.39140225813236</v>
      </c>
      <c r="BI37" s="56">
        <f t="shared" si="20"/>
        <v>-4.6382421853774725E-2</v>
      </c>
      <c r="BJ37" s="134">
        <f t="shared" si="37"/>
        <v>2.2507912637002626E-2</v>
      </c>
      <c r="BL37" s="2">
        <f t="shared" si="21"/>
        <v>2023</v>
      </c>
      <c r="BM37" s="95">
        <f t="shared" si="22"/>
        <v>553.8110108134872</v>
      </c>
      <c r="BN37" s="95">
        <f t="shared" si="35"/>
        <v>544.04756746731425</v>
      </c>
      <c r="BO37" s="95">
        <f t="shared" si="61"/>
        <v>46.409577279618631</v>
      </c>
      <c r="BP37" s="95">
        <f t="shared" si="62"/>
        <v>453.0864674615334</v>
      </c>
      <c r="BQ37" s="95">
        <f t="shared" si="63"/>
        <v>635.0086674730951</v>
      </c>
      <c r="BR37" s="56">
        <f t="shared" si="23"/>
        <v>-4.3219948177307677E-2</v>
      </c>
      <c r="BS37" s="134">
        <f t="shared" si="38"/>
        <v>1.7629558018052997E-2</v>
      </c>
      <c r="BU37" s="2">
        <f t="shared" si="24"/>
        <v>2023</v>
      </c>
      <c r="BV37" s="95">
        <f t="shared" si="25"/>
        <v>738.50643615099534</v>
      </c>
      <c r="BW37" s="95">
        <f t="shared" si="36"/>
        <v>775.51554900964015</v>
      </c>
      <c r="BX37" s="95">
        <f t="shared" si="64"/>
        <v>38.685329746492428</v>
      </c>
      <c r="BY37" s="95">
        <f t="shared" si="65"/>
        <v>699.69369597645903</v>
      </c>
      <c r="BZ37" s="95">
        <f t="shared" si="66"/>
        <v>851.33740204282128</v>
      </c>
      <c r="CA37" s="56">
        <f t="shared" si="26"/>
        <v>2.3337668474343154E-2</v>
      </c>
      <c r="CB37" s="134">
        <f t="shared" si="39"/>
        <v>5.0113460150099376E-2</v>
      </c>
    </row>
    <row r="38" spans="1:80" ht="15.5">
      <c r="A38" s="2">
        <v>2024</v>
      </c>
      <c r="B38" s="95">
        <v>862.41226324509489</v>
      </c>
      <c r="C38" s="95">
        <v>370.55863419222806</v>
      </c>
      <c r="D38" s="95">
        <v>1326.825564321329</v>
      </c>
      <c r="E38" s="95">
        <v>497.18780223654159</v>
      </c>
      <c r="F38" s="95">
        <v>188.80209980681815</v>
      </c>
      <c r="G38" s="147">
        <v>1592.5388647610607</v>
      </c>
      <c r="H38" s="95">
        <v>370.69254703068754</v>
      </c>
      <c r="I38" s="95">
        <v>476.57116503399055</v>
      </c>
      <c r="J38" s="95">
        <v>684.79537230176857</v>
      </c>
      <c r="K38" s="95">
        <f t="shared" si="27"/>
        <v>404.90312101526052</v>
      </c>
      <c r="L38" s="2"/>
      <c r="M38" s="773">
        <f t="shared" si="6"/>
        <v>2024</v>
      </c>
      <c r="N38" s="779">
        <f t="shared" si="1"/>
        <v>862.41226324509489</v>
      </c>
      <c r="O38" s="779">
        <f t="shared" si="28"/>
        <v>924.05340176554569</v>
      </c>
      <c r="P38" s="779">
        <f t="shared" si="40"/>
        <v>21.647675471364561</v>
      </c>
      <c r="Q38" s="779">
        <f t="shared" si="41"/>
        <v>881.62473749265996</v>
      </c>
      <c r="R38" s="779">
        <f t="shared" si="42"/>
        <v>966.48206603843141</v>
      </c>
      <c r="S38" s="56">
        <f>(+N38/N37-1)</f>
        <v>-5.9653276476071326E-2</v>
      </c>
      <c r="T38" s="773">
        <f t="shared" si="8"/>
        <v>2024</v>
      </c>
      <c r="U38" s="779">
        <f t="shared" si="2"/>
        <v>370.55863419222806</v>
      </c>
      <c r="V38" s="779">
        <f t="shared" si="29"/>
        <v>371.05153140764725</v>
      </c>
      <c r="W38" s="779">
        <f t="shared" si="43"/>
        <v>1.1592390328943833</v>
      </c>
      <c r="X38" s="779">
        <f t="shared" si="44"/>
        <v>368.77946465370121</v>
      </c>
      <c r="Y38" s="779">
        <f t="shared" si="45"/>
        <v>373.32359816159328</v>
      </c>
      <c r="Z38" s="56">
        <f>(+U38/U37-1)</f>
        <v>-3.5772885033776847E-3</v>
      </c>
      <c r="AA38" s="773">
        <f t="shared" si="10"/>
        <v>2024</v>
      </c>
      <c r="AB38" s="779">
        <f t="shared" si="3"/>
        <v>1326.825564321329</v>
      </c>
      <c r="AC38" s="779">
        <f t="shared" si="30"/>
        <v>1505.7118642360406</v>
      </c>
      <c r="AD38" s="779">
        <f t="shared" si="46"/>
        <v>142.16981527407668</v>
      </c>
      <c r="AE38" s="779">
        <f t="shared" si="47"/>
        <v>1227.0641466101379</v>
      </c>
      <c r="AF38" s="779">
        <f t="shared" si="48"/>
        <v>1784.3595818619433</v>
      </c>
      <c r="AG38" s="56">
        <f>(+AB38/AB37-1)</f>
        <v>-4.0442564238830969E-2</v>
      </c>
      <c r="AH38" s="773">
        <f t="shared" si="12"/>
        <v>2024</v>
      </c>
      <c r="AI38" s="779">
        <f t="shared" si="4"/>
        <v>497.18780223654159</v>
      </c>
      <c r="AJ38" s="779">
        <f t="shared" si="31"/>
        <v>529.59934220012269</v>
      </c>
      <c r="AK38" s="779">
        <f t="shared" si="49"/>
        <v>12.79233440913473</v>
      </c>
      <c r="AL38" s="779">
        <f t="shared" si="50"/>
        <v>504.52682748002616</v>
      </c>
      <c r="AM38" s="779">
        <f t="shared" si="51"/>
        <v>554.67185692021928</v>
      </c>
      <c r="AN38" s="56">
        <f>(+AI38/AI37-1)</f>
        <v>-7.5807162487094848E-2</v>
      </c>
      <c r="AO38" s="773">
        <f t="shared" si="14"/>
        <v>2024</v>
      </c>
      <c r="AP38" s="779">
        <f t="shared" si="5"/>
        <v>188.80209980681815</v>
      </c>
      <c r="AQ38" s="779">
        <f t="shared" si="32"/>
        <v>189.12419872745286</v>
      </c>
      <c r="AR38" s="779">
        <f t="shared" si="52"/>
        <v>13.780724001668595</v>
      </c>
      <c r="AS38" s="779">
        <f t="shared" si="53"/>
        <v>162.11447600329572</v>
      </c>
      <c r="AT38" s="779">
        <f t="shared" si="54"/>
        <v>216.13392145161001</v>
      </c>
      <c r="AU38" s="56">
        <f>(+AP38/AP37-1)</f>
        <v>-0.13105546765496046</v>
      </c>
      <c r="AV38" s="773">
        <f t="shared" si="16"/>
        <v>2024</v>
      </c>
      <c r="AW38" s="95">
        <f t="shared" si="17"/>
        <v>1592.5388647610607</v>
      </c>
      <c r="AX38" s="779">
        <f t="shared" si="33"/>
        <v>1627.7992925920353</v>
      </c>
      <c r="AY38" s="779">
        <f t="shared" si="55"/>
        <v>27.517698491178631</v>
      </c>
      <c r="AZ38" s="779">
        <f t="shared" si="56"/>
        <v>1573.8655946118929</v>
      </c>
      <c r="BA38" s="779">
        <f t="shared" si="57"/>
        <v>1681.7329905721776</v>
      </c>
      <c r="BB38" s="56">
        <f>(+AW38/AW37-1)</f>
        <v>-4.4059768082890249E-2</v>
      </c>
      <c r="BC38" s="773">
        <f t="shared" si="19"/>
        <v>2024</v>
      </c>
      <c r="BD38" s="779">
        <f t="shared" si="0"/>
        <v>370.69254703068754</v>
      </c>
      <c r="BE38" s="779">
        <f t="shared" si="34"/>
        <v>417.31888152287337</v>
      </c>
      <c r="BF38" s="779">
        <f t="shared" si="58"/>
        <v>23.885954930082626</v>
      </c>
      <c r="BG38" s="779">
        <f t="shared" si="59"/>
        <v>370.5032701235645</v>
      </c>
      <c r="BH38" s="779">
        <f t="shared" si="60"/>
        <v>464.13449292218223</v>
      </c>
      <c r="BI38" s="56">
        <f>(+BD38/BD37-1)</f>
        <v>-0.10655637845381949</v>
      </c>
      <c r="BJ38" s="134">
        <f t="shared" si="37"/>
        <v>0.12578168853318192</v>
      </c>
      <c r="BL38" s="773">
        <f t="shared" si="21"/>
        <v>2024</v>
      </c>
      <c r="BM38" s="95">
        <f t="shared" si="22"/>
        <v>476.57116503399055</v>
      </c>
      <c r="BN38" s="779">
        <f t="shared" si="35"/>
        <v>550.93519921918562</v>
      </c>
      <c r="BO38" s="779">
        <f t="shared" si="61"/>
        <v>33.380032811634628</v>
      </c>
      <c r="BP38" s="779">
        <f t="shared" si="62"/>
        <v>485.51153710561647</v>
      </c>
      <c r="BQ38" s="779">
        <f t="shared" si="63"/>
        <v>616.35886133275471</v>
      </c>
      <c r="BR38" s="56">
        <f>(+BM38/BM37-1)</f>
        <v>-0.13946968238504298</v>
      </c>
      <c r="BS38" s="134">
        <f t="shared" si="38"/>
        <v>0.15603972636466831</v>
      </c>
      <c r="BU38" s="773">
        <f t="shared" si="24"/>
        <v>2024</v>
      </c>
      <c r="BV38" s="95">
        <f t="shared" si="25"/>
        <v>684.79537230176857</v>
      </c>
      <c r="BW38" s="779">
        <f t="shared" si="36"/>
        <v>759.32917181453161</v>
      </c>
      <c r="BX38" s="779">
        <f t="shared" si="64"/>
        <v>39.463020941799734</v>
      </c>
      <c r="BY38" s="779">
        <f t="shared" si="65"/>
        <v>681.98307204745424</v>
      </c>
      <c r="BZ38" s="779">
        <f t="shared" si="66"/>
        <v>836.67527158160897</v>
      </c>
      <c r="CA38" s="56">
        <f>(+BV38/BV37-1)</f>
        <v>-7.2729310429794247E-2</v>
      </c>
      <c r="CB38" s="134">
        <f t="shared" si="39"/>
        <v>0.10884098013430829</v>
      </c>
    </row>
    <row r="39" spans="1:80" ht="15.5">
      <c r="A39" s="117"/>
      <c r="B39" s="117"/>
      <c r="C39" s="117"/>
      <c r="D39" s="117"/>
      <c r="E39" s="117"/>
      <c r="F39" s="117"/>
      <c r="G39" s="2"/>
      <c r="H39" s="2"/>
      <c r="I39" s="2"/>
      <c r="J39" s="2"/>
      <c r="K39" s="95">
        <f t="shared" si="27"/>
        <v>360.69254703068754</v>
      </c>
      <c r="L39" s="2"/>
      <c r="M39" s="2"/>
      <c r="N39" s="95"/>
      <c r="O39" s="95">
        <f>AVERAGE(N34:N38)</f>
        <v>914.76042927877972</v>
      </c>
      <c r="P39" s="95">
        <f>SQRT(SUMXMY2(N34:N38,O35:O39)/5)</f>
        <v>30.948009787499288</v>
      </c>
      <c r="Q39" s="95">
        <f t="shared" si="41"/>
        <v>854.10344470208804</v>
      </c>
      <c r="R39" s="95">
        <f t="shared" si="42"/>
        <v>975.41741385547141</v>
      </c>
      <c r="S39" s="780"/>
      <c r="T39" s="2"/>
      <c r="U39" s="95"/>
      <c r="V39" s="95">
        <f>AVERAGE(U34:U38)</f>
        <v>371.26907752368078</v>
      </c>
      <c r="W39" s="95">
        <f>SQRT(SUMXMY2(U34:U38,V35:V39)/5)</f>
        <v>1.2018337024716503</v>
      </c>
      <c r="X39" s="95">
        <f t="shared" si="44"/>
        <v>368.91352675142991</v>
      </c>
      <c r="Y39" s="95">
        <f t="shared" si="45"/>
        <v>373.62462829593164</v>
      </c>
      <c r="Z39" s="2"/>
      <c r="AA39" s="2"/>
      <c r="AB39" s="95"/>
      <c r="AC39" s="95">
        <f>AVERAGE(AB34:AB38)</f>
        <v>1488.1819390033879</v>
      </c>
      <c r="AD39" s="95">
        <f>SQRT(SUMXMY2(AB34:AB38,AC35:AC39)/5)</f>
        <v>144.38705026981754</v>
      </c>
      <c r="AE39" s="95">
        <f t="shared" si="47"/>
        <v>1205.1885206405714</v>
      </c>
      <c r="AF39" s="95">
        <f t="shared" si="48"/>
        <v>1771.1753573662045</v>
      </c>
      <c r="AH39" s="2"/>
      <c r="AI39" s="95"/>
      <c r="AJ39" s="95">
        <f>AVERAGE(AI34:AI38)</f>
        <v>521.98829859057162</v>
      </c>
      <c r="AK39" s="95">
        <f>SQRT(SUMXMY2(AI34:AI38,AJ35:AJ39)/5)</f>
        <v>16.098850520968018</v>
      </c>
      <c r="AL39" s="95">
        <f t="shared" si="50"/>
        <v>490.43513137698039</v>
      </c>
      <c r="AM39" s="95">
        <f t="shared" si="51"/>
        <v>553.54146580416284</v>
      </c>
      <c r="AO39" s="2"/>
      <c r="AP39" s="95"/>
      <c r="AQ39" s="95">
        <f>AVERAGE(AP34:AP38)</f>
        <v>190.50113095401827</v>
      </c>
      <c r="AR39" s="95">
        <f>SQRT(SUMXMY2(AP34:AP38,AQ35:AQ39)/5)</f>
        <v>13.770300632090231</v>
      </c>
      <c r="AS39" s="95">
        <f t="shared" si="53"/>
        <v>163.51183765883229</v>
      </c>
      <c r="AT39" s="95">
        <f t="shared" si="54"/>
        <v>217.49042424920424</v>
      </c>
      <c r="AV39" s="2"/>
      <c r="AW39" s="95"/>
      <c r="AX39" s="95">
        <f>AVERAGE(AW34:AW38)</f>
        <v>1616.8271880497944</v>
      </c>
      <c r="AY39" s="95">
        <f>SQRT(SUMXMY2(AW34:AW38,AX35:AX39)/5)</f>
        <v>20.964680179825507</v>
      </c>
      <c r="AZ39" s="95">
        <f t="shared" si="56"/>
        <v>1575.7371699499356</v>
      </c>
      <c r="BA39" s="95">
        <f t="shared" si="57"/>
        <v>1657.9172061496531</v>
      </c>
      <c r="BC39" s="2"/>
      <c r="BD39" s="95"/>
      <c r="BE39" s="95">
        <f>AVERAGE(BD34:BD38)</f>
        <v>407.34263195314281</v>
      </c>
      <c r="BF39" s="95">
        <f>SQRT(SUMXMY2(BD34:BD38,BE35:BE39)/5)</f>
        <v>24.060565040378851</v>
      </c>
      <c r="BG39" s="95">
        <f t="shared" si="59"/>
        <v>360.18479102631676</v>
      </c>
      <c r="BH39" s="95">
        <f t="shared" si="60"/>
        <v>454.50047287996887</v>
      </c>
      <c r="BL39" s="2"/>
      <c r="BM39" s="95"/>
      <c r="BN39" s="95">
        <f>AVERAGE(BM34:BM38)</f>
        <v>541.69506288573405</v>
      </c>
      <c r="BO39" s="95">
        <f>SQRT(SUMXMY2(BM34:BM38,BN35:BN39)/5)</f>
        <v>41.346394431990689</v>
      </c>
      <c r="BP39" s="95">
        <f t="shared" si="62"/>
        <v>460.65761890844487</v>
      </c>
      <c r="BQ39" s="95">
        <f t="shared" si="63"/>
        <v>622.73250686302322</v>
      </c>
      <c r="BU39" s="2"/>
      <c r="BV39" s="95"/>
      <c r="BW39" s="95">
        <f>AVERAGE(BV34:BV38)</f>
        <v>738.82482246872564</v>
      </c>
      <c r="BX39" s="95">
        <f>SQRT(SUMXMY2(BV34:BV38,BW35:BW39)/5)</f>
        <v>45.967420756130728</v>
      </c>
      <c r="BY39" s="95">
        <f t="shared" si="65"/>
        <v>648.73033332451053</v>
      </c>
      <c r="BZ39" s="95">
        <f t="shared" si="66"/>
        <v>828.91931161294076</v>
      </c>
    </row>
    <row r="40" spans="1:80" ht="15.5">
      <c r="L40" s="2"/>
      <c r="M40" s="2"/>
      <c r="N40" s="2"/>
      <c r="O40" s="2"/>
      <c r="P40" s="2"/>
      <c r="Q40" s="2"/>
      <c r="R40" s="2"/>
      <c r="S40" s="2"/>
      <c r="T40" s="2"/>
      <c r="U40" s="2"/>
      <c r="V40" s="2"/>
      <c r="W40" s="2"/>
      <c r="X40" s="2"/>
      <c r="Y40" s="2"/>
      <c r="Z40" s="2"/>
      <c r="AA40" s="2"/>
      <c r="AB40" s="2"/>
      <c r="AC40" s="2"/>
      <c r="AD40" s="2"/>
      <c r="AE40" s="2"/>
      <c r="AF40" s="2"/>
      <c r="AH40" s="2"/>
      <c r="AI40" s="2"/>
      <c r="AJ40" s="2"/>
      <c r="AK40" s="2"/>
      <c r="AL40" s="2"/>
      <c r="AM40" s="2"/>
      <c r="AO40" s="2"/>
      <c r="AP40" s="2"/>
      <c r="AQ40" s="2"/>
      <c r="AR40" s="2"/>
      <c r="AS40" s="2"/>
      <c r="AT40" s="2"/>
      <c r="AV40" s="2"/>
      <c r="AW40" s="2"/>
      <c r="AX40" s="2"/>
      <c r="AY40" s="2"/>
      <c r="AZ40" s="2"/>
      <c r="BA40" s="2"/>
      <c r="BC40" s="2"/>
      <c r="BD40" s="2"/>
      <c r="BE40" s="2"/>
      <c r="BF40" s="2"/>
      <c r="BG40" s="2"/>
      <c r="BH40" s="2"/>
      <c r="BL40" s="2"/>
      <c r="BM40" s="2"/>
      <c r="BN40" s="2"/>
      <c r="BO40" s="2"/>
      <c r="BP40" s="2"/>
      <c r="BQ40" s="2"/>
      <c r="BU40" s="2"/>
      <c r="BV40" s="2"/>
      <c r="BW40" s="2"/>
      <c r="BX40" s="2"/>
      <c r="BY40" s="2"/>
      <c r="BZ40" s="2"/>
    </row>
    <row r="41" spans="1:80" ht="15.5">
      <c r="A41" s="117" t="s">
        <v>698</v>
      </c>
      <c r="B41" s="147">
        <f t="shared" ref="B41:H41" si="67">AVERAGE(B4:B38)</f>
        <v>888.59223906031139</v>
      </c>
      <c r="C41" s="147">
        <f t="shared" si="67"/>
        <v>389.119217210854</v>
      </c>
      <c r="D41" s="147">
        <f t="shared" si="67"/>
        <v>1622.0596169606713</v>
      </c>
      <c r="E41" s="147">
        <f t="shared" si="67"/>
        <v>603.91297248278772</v>
      </c>
      <c r="F41" s="147">
        <f t="shared" si="67"/>
        <v>300.49951955514439</v>
      </c>
      <c r="G41" s="147">
        <f t="shared" si="67"/>
        <v>1517.0400014236084</v>
      </c>
      <c r="H41" s="147">
        <f t="shared" si="67"/>
        <v>530.34902695660935</v>
      </c>
      <c r="I41" s="147"/>
      <c r="J41" s="147"/>
      <c r="K41" s="147"/>
      <c r="L41" s="2"/>
      <c r="M41" s="2"/>
      <c r="N41" s="774" t="s">
        <v>591</v>
      </c>
      <c r="O41" s="774" t="s">
        <v>592</v>
      </c>
      <c r="P41" s="781" t="s">
        <v>593</v>
      </c>
      <c r="Q41" s="2"/>
      <c r="R41" s="2"/>
      <c r="S41" s="2"/>
      <c r="T41" s="2"/>
      <c r="U41" s="774" t="s">
        <v>591</v>
      </c>
      <c r="V41" s="774" t="s">
        <v>592</v>
      </c>
      <c r="W41" s="781" t="s">
        <v>593</v>
      </c>
      <c r="X41" s="2"/>
      <c r="Y41" s="2"/>
      <c r="Z41" s="2"/>
      <c r="AA41" s="2"/>
      <c r="AB41" s="774" t="s">
        <v>591</v>
      </c>
      <c r="AC41" s="774" t="s">
        <v>592</v>
      </c>
      <c r="AD41" s="781" t="s">
        <v>593</v>
      </c>
      <c r="AE41" s="2"/>
      <c r="AF41" s="2"/>
      <c r="AH41" s="2"/>
      <c r="AI41" s="774" t="s">
        <v>591</v>
      </c>
      <c r="AJ41" s="774" t="s">
        <v>592</v>
      </c>
      <c r="AK41" s="781" t="s">
        <v>593</v>
      </c>
      <c r="AL41" s="2"/>
      <c r="AM41" s="2"/>
      <c r="AO41" s="2"/>
      <c r="AP41" s="774" t="s">
        <v>591</v>
      </c>
      <c r="AQ41" s="774" t="s">
        <v>592</v>
      </c>
      <c r="AR41" s="781" t="s">
        <v>593</v>
      </c>
      <c r="AS41" s="2"/>
      <c r="AT41" s="2"/>
      <c r="AV41" s="2"/>
      <c r="AW41" s="774" t="s">
        <v>591</v>
      </c>
      <c r="AX41" s="774" t="s">
        <v>592</v>
      </c>
      <c r="AY41" s="781" t="s">
        <v>593</v>
      </c>
      <c r="AZ41" s="2"/>
      <c r="BA41" s="2"/>
      <c r="BC41" s="2"/>
      <c r="BD41" s="774" t="s">
        <v>591</v>
      </c>
      <c r="BE41" s="774" t="s">
        <v>592</v>
      </c>
      <c r="BF41" s="781" t="s">
        <v>593</v>
      </c>
      <c r="BG41" s="2"/>
      <c r="BH41" s="2"/>
      <c r="BL41" s="2"/>
      <c r="BM41" s="774" t="s">
        <v>591</v>
      </c>
      <c r="BN41" s="774" t="s">
        <v>592</v>
      </c>
      <c r="BO41" s="781" t="s">
        <v>593</v>
      </c>
      <c r="BP41" s="2"/>
      <c r="BQ41" s="2"/>
      <c r="BU41" s="2"/>
      <c r="BV41" s="774" t="s">
        <v>591</v>
      </c>
      <c r="BW41" s="774" t="s">
        <v>592</v>
      </c>
      <c r="BX41" s="781" t="s">
        <v>593</v>
      </c>
      <c r="BY41" s="2"/>
      <c r="BZ41" s="2"/>
    </row>
    <row r="42" spans="1:80" ht="15.5">
      <c r="A42" s="117" t="s">
        <v>699</v>
      </c>
      <c r="B42" s="120">
        <f t="shared" ref="B42:H42" si="68">1.96*_xlfn.STDEV.S(B4:B38)</f>
        <v>51.871581222038365</v>
      </c>
      <c r="C42" s="120">
        <f t="shared" si="68"/>
        <v>41.291472534625136</v>
      </c>
      <c r="D42" s="120">
        <f t="shared" si="68"/>
        <v>339.70080101966789</v>
      </c>
      <c r="E42" s="120">
        <f t="shared" si="68"/>
        <v>111.60423428739284</v>
      </c>
      <c r="F42" s="120">
        <f t="shared" si="68"/>
        <v>288.6102660120377</v>
      </c>
      <c r="G42" s="120">
        <f t="shared" si="68"/>
        <v>620.57117010012644</v>
      </c>
      <c r="H42" s="120">
        <f t="shared" si="68"/>
        <v>143.8974343062138</v>
      </c>
      <c r="I42" s="120"/>
      <c r="J42" s="120"/>
      <c r="K42" s="120"/>
      <c r="L42" s="2"/>
      <c r="M42" s="2"/>
      <c r="N42" s="775">
        <f>SUMPRODUCT(ABS(N9:N38-O9:O38))/COUNT(O9:O38)</f>
        <v>21.538006241663705</v>
      </c>
      <c r="O42" s="776">
        <f>SUMXMY2(N9:N38,O9:O38)/COUNT(O9:O38)</f>
        <v>696.97551723277286</v>
      </c>
      <c r="P42" s="988" cm="1">
        <f t="array" ref="P42">SUMPRODUCT(ABS(1-O19:O38/N19:N38))/COUNT(O19:O38)</f>
        <v>2.5113078662246498E-2</v>
      </c>
      <c r="Q42" s="2"/>
      <c r="R42" s="2" t="s">
        <v>720</v>
      </c>
      <c r="S42" s="987">
        <f>(N38/N19)^(1/($M$38-$M$19))-1</f>
        <v>-3.3885268491127274E-3</v>
      </c>
      <c r="T42" s="2"/>
      <c r="U42" s="775">
        <f>SUMPRODUCT(ABS(U9:U38-V9:V38))/COUNT(V9:V38)</f>
        <v>9.991397794221335</v>
      </c>
      <c r="V42" s="776">
        <f>SUMXMY2(U9:U38,V9:V38)/COUNT(V9:V38)</f>
        <v>226.00163292019027</v>
      </c>
      <c r="W42" s="988" cm="1">
        <f t="array" ref="W42">SUMPRODUCT(ABS(1-V19:V38/U19:U38))/COUNT(V19:V38)</f>
        <v>1.4808741576256529E-2</v>
      </c>
      <c r="X42" s="2"/>
      <c r="Y42" s="2"/>
      <c r="Z42" s="987">
        <f>(U38/U19)^(1/($M$38-$M$19))-1</f>
        <v>-4.0859770681033192E-3</v>
      </c>
      <c r="AA42" s="2"/>
      <c r="AB42" s="775">
        <f>SUMPRODUCT(ABS(AB9:AB38-AC9:AC38))/COUNT(AC9:AC38)</f>
        <v>169.29842794104127</v>
      </c>
      <c r="AC42" s="776">
        <f>SUMXMY2(AB9:AB38,AC9:AC38)/COUNT(AC9:AC38)</f>
        <v>41497.048793899288</v>
      </c>
      <c r="AD42" s="988" cm="1">
        <f t="array" ref="AD42">SUMPRODUCT(ABS(1-AC19:AC38/AB19:AB38))/COUNT(AC19:AC38)</f>
        <v>9.2631860265898772E-2</v>
      </c>
      <c r="AE42" s="2"/>
      <c r="AF42" s="2"/>
      <c r="AG42" s="987">
        <f>(AB38/AB19)^(1/($M$38-$M$19))-1</f>
        <v>-1.8891238967840285E-2</v>
      </c>
      <c r="AH42" s="2"/>
      <c r="AI42" s="775">
        <f>SUMPRODUCT(ABS(AI9:AI38-AJ9:AJ38))/COUNT(AJ9:AJ38)</f>
        <v>30.009539818130914</v>
      </c>
      <c r="AJ42" s="776">
        <f>SUMXMY2(AI9:AI38,AJ9:AJ38)/COUNT(AJ9:AJ38)</f>
        <v>1498.069728462503</v>
      </c>
      <c r="AK42" s="988" cm="1">
        <f t="array" ref="AK42">SUMPRODUCT(ABS(1-AJ19:AJ38/AI19:AI38))/COUNT(AJ19:AJ38)</f>
        <v>6.2196357868618345E-2</v>
      </c>
      <c r="AL42" s="2"/>
      <c r="AM42" s="2"/>
      <c r="AN42" s="987">
        <f>(AI38/AI19)^(1/($M$38-$M$19))-1</f>
        <v>-1.5972981001922348E-2</v>
      </c>
      <c r="AO42" s="2"/>
      <c r="AP42" s="775">
        <f>SUMPRODUCT(ABS(AP9:AP38-AQ9:AQ38))/COUNT(AQ9:AQ38)</f>
        <v>62.475224739089207</v>
      </c>
      <c r="AQ42" s="776">
        <f>SUMXMY2(AP9:AP38,AQ9:AQ38)/COUNT(AQ9:AQ38)</f>
        <v>6159.0568402598246</v>
      </c>
      <c r="AR42" s="988" cm="1">
        <f t="array" ref="AR42">SUMPRODUCT(ABS(1-AQ19:AQ38/AP19:AP38))/COUNT(AQ19:AQ38)</f>
        <v>0.17669965771506843</v>
      </c>
      <c r="AS42" s="2"/>
      <c r="AT42" s="2"/>
      <c r="AU42" s="987">
        <f>(AP38/AP19)^(1/($M$38-$M$19))-1</f>
        <v>-2.6925612659945752E-2</v>
      </c>
      <c r="AV42" s="2"/>
      <c r="AW42" s="775">
        <f>SUMPRODUCT(ABS(AW9:AW38-AX9:AX38))/COUNT(AX9:AX38)</f>
        <v>229.33242308234443</v>
      </c>
      <c r="AX42" s="776">
        <f>SUMXMY2(AW9:AW38,AX9:AX38)/COUNT(AX9:AX38)</f>
        <v>114283.92309500388</v>
      </c>
      <c r="AY42" s="988" cm="1">
        <f t="array" ref="AY42">SUMPRODUCT(ABS(1-AX19:AX38/AW19:AW38))/COUNT(AX19:AX38)</f>
        <v>5.6365639193211615E-2</v>
      </c>
      <c r="AZ42" s="2"/>
      <c r="BA42" s="2"/>
      <c r="BB42" s="987">
        <f>(AW38/AW19)^(1/($M$38-$M$19))-1</f>
        <v>3.5034551842600958E-3</v>
      </c>
      <c r="BC42" s="2"/>
      <c r="BD42" s="775">
        <f>SUMPRODUCT(ABS(BD9:BD38-BE9:BE38))/COUNT(BE9:BE38)</f>
        <v>25.468345986295169</v>
      </c>
      <c r="BE42" s="776">
        <f>SUMXMY2(BD9:BD38,BE9:BE38)/COUNT(BE9:BE38)</f>
        <v>884.99759170612424</v>
      </c>
      <c r="BF42" s="988" cm="1">
        <f t="array" ref="BF42">SUMPRODUCT(ABS(1-BE19:BE38/BD19:BD38))/COUNT(BE19:BE38)</f>
        <v>5.760547239804098E-2</v>
      </c>
      <c r="BG42" s="2"/>
      <c r="BH42" s="2"/>
      <c r="BI42" s="987">
        <f>(BD38/BD19)^(1/($M$38-$M$19))-1</f>
        <v>-2.2566103978779783E-2</v>
      </c>
      <c r="BJ42" s="56">
        <f>SUM(BJ34:BJ38)*1/COUNTA(BD34:BD38)</f>
        <v>7.2469010659405433E-2</v>
      </c>
      <c r="BL42" s="2"/>
      <c r="BM42" s="775">
        <f>SUMPRODUCT(ABS(BM9:BM38-BN9:BN38))/COUNT(BN9:BN38)</f>
        <v>39.701752705091607</v>
      </c>
      <c r="BN42" s="776">
        <f>SUMXMY2(BM9:BM38,BN9:BN38)/COUNT(BN9:BN38)</f>
        <v>2435.7343835354773</v>
      </c>
      <c r="BO42" s="988" cm="1">
        <f t="array" ref="BO42">SUMPRODUCT(ABS(1-BN19:BN38/BM19:BM38))/COUNT(BN19:BN38)</f>
        <v>8.6463819139411022E-2</v>
      </c>
      <c r="BP42" s="2"/>
      <c r="BQ42" s="2"/>
      <c r="BR42" s="987">
        <f>(BM38/BM19)^(1/($M$38-$M$19))-1</f>
        <v>-1.9565959212937023E-2</v>
      </c>
      <c r="BS42" s="56">
        <f>SUM(BS34:BS38)*1/COUNTA(BM34:BM38)</f>
        <v>8.485181701240227E-2</v>
      </c>
      <c r="BU42" s="2"/>
      <c r="BV42" s="775">
        <f>SUMPRODUCT(ABS(BV9:BV38-BW9:BW38))/COUNT(BW9:BW38)</f>
        <v>75.838758275096097</v>
      </c>
      <c r="BW42" s="776">
        <f>SUMXMY2(BV9:BV38,BW9:BW38)/COUNT(BW9:BW38)</f>
        <v>8106.6489988177646</v>
      </c>
      <c r="BX42" s="988" cm="1">
        <f t="array" ref="BX42">SUMPRODUCT(ABS(1-BW19:BW38/BV19:BV38))/COUNT(BW19:BW38)</f>
        <v>8.271432054584206E-2</v>
      </c>
      <c r="BY42" s="2"/>
      <c r="BZ42" s="2"/>
      <c r="CA42" s="987">
        <f>(BV38/BV19)^(1/($M$38-$M$19))-1</f>
        <v>-5.2992430830443027E-3</v>
      </c>
      <c r="CB42" s="56">
        <f>SUM(CB34:CB38)*1/COUNTA(BV34:BV38)</f>
        <v>7.7394460124065992E-2</v>
      </c>
    </row>
    <row r="43" spans="1:80" ht="15.5">
      <c r="A43" s="117"/>
      <c r="B43" s="117"/>
      <c r="C43" s="117"/>
      <c r="D43" s="117"/>
      <c r="E43" s="117"/>
      <c r="F43" s="117"/>
      <c r="G43" s="2"/>
      <c r="H43" s="2"/>
      <c r="I43" s="2"/>
      <c r="J43" s="2"/>
      <c r="K43" s="2"/>
      <c r="L43" s="2" t="s">
        <v>700</v>
      </c>
      <c r="M43" s="940"/>
      <c r="N43" s="940">
        <f>MIN(S43:BB43)</f>
        <v>-1.7124793043060103E-2</v>
      </c>
      <c r="O43" s="2"/>
      <c r="P43" s="2"/>
      <c r="Q43" s="2"/>
      <c r="R43" s="2" t="s">
        <v>721</v>
      </c>
      <c r="S43" s="571">
        <f>AVERAGE(S20:S38)</f>
        <v>-3.1199408420779125E-3</v>
      </c>
      <c r="T43" s="2"/>
      <c r="U43" s="2"/>
      <c r="V43" s="2"/>
      <c r="W43" s="2"/>
      <c r="X43" s="2"/>
      <c r="Y43" s="2"/>
      <c r="Z43" s="571">
        <f>AVERAGE(Z20:Z38)</f>
        <v>-3.9967395827485222E-3</v>
      </c>
      <c r="AG43" s="571">
        <f>AVERAGE(AG20:AG38)</f>
        <v>-1.4532572690289292E-2</v>
      </c>
      <c r="AN43" s="571">
        <f>AVERAGE(AN20:AN38)</f>
        <v>-1.4956356420481086E-2</v>
      </c>
      <c r="AU43" s="571">
        <f>AVERAGE(AU20:AU38)</f>
        <v>-1.7124793043060103E-2</v>
      </c>
      <c r="BB43" s="571">
        <f>AVERAGE(BB20:BB38)</f>
        <v>9.3159095455852721E-3</v>
      </c>
      <c r="BI43" s="571">
        <f>AVERAGE(BI20:BI38)</f>
        <v>-2.192352113868495E-2</v>
      </c>
      <c r="BR43" s="571">
        <f>AVERAGE(BR20:BR38)</f>
        <v>-1.6627743136985791E-2</v>
      </c>
      <c r="CA43" s="571">
        <f>AVERAGE(CA20:CA38)</f>
        <v>-1.7272528461403224E-3</v>
      </c>
    </row>
    <row r="44" spans="1:80" ht="15.5">
      <c r="A44" s="117"/>
      <c r="B44" s="117"/>
      <c r="C44" s="117"/>
      <c r="D44" s="117"/>
      <c r="E44" s="117"/>
      <c r="F44" s="117"/>
      <c r="G44" s="2"/>
      <c r="H44" s="2"/>
      <c r="I44" s="2"/>
      <c r="J44" s="2"/>
      <c r="K44" s="2"/>
      <c r="L44" s="2" t="s">
        <v>701</v>
      </c>
      <c r="M44" s="940"/>
      <c r="N44" s="252">
        <f>MAX(S43:BB43)</f>
        <v>9.3159095455852721E-3</v>
      </c>
      <c r="O44" s="2"/>
      <c r="P44" s="2"/>
      <c r="Q44" s="2"/>
      <c r="R44" s="2"/>
      <c r="S44" s="252">
        <f>1.96*_xlfn.STDEV.S(S19:S38)</f>
        <v>4.5203845388444797E-2</v>
      </c>
      <c r="T44" s="2"/>
      <c r="U44" s="2"/>
      <c r="V44" s="2"/>
      <c r="W44" s="2"/>
      <c r="X44" s="2"/>
      <c r="Y44" s="2"/>
      <c r="Z44" s="252">
        <f>1.96*_xlfn.STDEV.S(Z19:Z38)</f>
        <v>2.6614298444208508E-2</v>
      </c>
      <c r="AG44" s="252">
        <f>1.96*_xlfn.STDEV.S(AG19:AG38)</f>
        <v>0.18931301243553098</v>
      </c>
      <c r="AN44" s="252">
        <f>1.96*_xlfn.STDEV.S(AN19:AN38)</f>
        <v>8.6702864002214233E-2</v>
      </c>
      <c r="AU44" s="252">
        <f>1.96*_xlfn.STDEV.S(AU19:AU38)</f>
        <v>0.28644791862434205</v>
      </c>
      <c r="BB44" s="252">
        <f>1.96*_xlfn.STDEV.S(BB19:BB38)</f>
        <v>0.24068976205487114</v>
      </c>
      <c r="BI44" s="252">
        <f>1.96*_xlfn.STDEV.S(BI19:BI38)</f>
        <v>6.9992103538193795E-2</v>
      </c>
      <c r="BR44" s="252">
        <f>1.96*_xlfn.STDEV.S(BR19:BR38)</f>
        <v>0.15018238717886997</v>
      </c>
      <c r="CA44" s="252">
        <f>1.96*_xlfn.STDEV.S(CA19:CA38)</f>
        <v>0.17286851041152024</v>
      </c>
    </row>
    <row r="45" spans="1:80" ht="15.5">
      <c r="A45" s="117"/>
      <c r="B45" s="117"/>
      <c r="C45" s="117"/>
      <c r="D45" s="117"/>
      <c r="E45" s="117"/>
      <c r="F45" s="117"/>
      <c r="G45" s="2"/>
      <c r="H45" s="2"/>
      <c r="I45" s="2"/>
      <c r="J45" s="2"/>
      <c r="K45" s="2"/>
      <c r="L45" s="2"/>
      <c r="M45" s="2"/>
      <c r="N45" s="417"/>
      <c r="O45" s="2"/>
      <c r="P45" s="2"/>
      <c r="Q45" s="2"/>
      <c r="R45" s="2"/>
      <c r="S45" s="2"/>
      <c r="T45" s="2"/>
      <c r="U45" s="2"/>
      <c r="V45" s="2"/>
      <c r="W45" s="2"/>
      <c r="X45" s="2"/>
      <c r="Y45" s="2"/>
      <c r="Z45" s="2"/>
    </row>
    <row r="46" spans="1:80" ht="15.5">
      <c r="A46" s="117"/>
      <c r="B46" s="117"/>
      <c r="C46" s="117"/>
      <c r="D46" s="117"/>
      <c r="E46" s="117"/>
      <c r="F46" s="117"/>
      <c r="G46" s="2"/>
      <c r="H46" s="2"/>
      <c r="I46" s="2" t="s">
        <v>773</v>
      </c>
      <c r="J46" s="2"/>
      <c r="K46" s="2"/>
      <c r="L46" s="2"/>
      <c r="M46" s="2"/>
      <c r="N46" s="777"/>
      <c r="O46" s="2"/>
      <c r="P46" s="2"/>
      <c r="Q46" s="2"/>
      <c r="R46" s="2"/>
      <c r="S46" s="2"/>
      <c r="T46" s="2"/>
      <c r="U46" s="2"/>
      <c r="V46" s="2"/>
      <c r="W46" s="2"/>
      <c r="X46" s="2"/>
      <c r="Y46" s="2"/>
      <c r="Z46" s="2"/>
    </row>
    <row r="47" spans="1:80" ht="15.5">
      <c r="A47" s="117"/>
      <c r="B47" s="117"/>
      <c r="C47" s="117"/>
      <c r="D47" s="117"/>
      <c r="E47" s="117"/>
      <c r="F47" s="117"/>
      <c r="G47" s="2"/>
      <c r="H47" s="2"/>
      <c r="I47" s="2"/>
      <c r="J47" s="2"/>
      <c r="K47" s="2"/>
      <c r="L47" s="2"/>
      <c r="M47" s="2"/>
      <c r="N47" s="2"/>
      <c r="O47" s="2"/>
      <c r="P47" s="2"/>
      <c r="Q47" s="2"/>
      <c r="R47" s="2"/>
      <c r="S47" s="2"/>
      <c r="T47" s="2"/>
      <c r="U47" s="2"/>
      <c r="V47" s="2"/>
      <c r="W47" s="2"/>
      <c r="X47" s="2"/>
      <c r="Y47" s="2"/>
      <c r="Z47" s="2"/>
    </row>
    <row r="48" spans="1:80" ht="15.5">
      <c r="A48" s="117"/>
      <c r="B48" s="117"/>
      <c r="C48" s="117"/>
      <c r="D48" s="117"/>
      <c r="E48" s="117"/>
      <c r="F48" s="117"/>
      <c r="G48" s="2"/>
      <c r="H48" s="2"/>
      <c r="I48" s="2" t="s">
        <v>586</v>
      </c>
      <c r="J48" s="1010">
        <v>0.05</v>
      </c>
      <c r="K48" s="2"/>
      <c r="L48" s="2"/>
      <c r="M48" s="2"/>
      <c r="N48" s="2"/>
      <c r="O48" s="2"/>
      <c r="P48" s="2"/>
      <c r="Q48" s="2"/>
      <c r="R48" s="2"/>
      <c r="S48" s="2"/>
      <c r="T48" s="2"/>
      <c r="U48" s="2"/>
      <c r="V48" s="2"/>
      <c r="W48" s="2"/>
      <c r="X48" s="2"/>
      <c r="Y48" s="2"/>
      <c r="Z48" s="2"/>
    </row>
    <row r="49" spans="1:78" ht="15.5">
      <c r="I49" t="s">
        <v>845</v>
      </c>
      <c r="J49" s="1011">
        <v>73</v>
      </c>
      <c r="L49" s="2"/>
      <c r="M49" s="2"/>
      <c r="N49" s="2"/>
      <c r="O49" s="2"/>
      <c r="P49" s="2"/>
      <c r="Q49" s="2"/>
      <c r="R49" s="2"/>
      <c r="S49" s="2"/>
      <c r="T49" s="2"/>
      <c r="U49" s="2"/>
      <c r="V49" s="2"/>
      <c r="W49" s="2"/>
      <c r="X49" s="2"/>
      <c r="Y49" s="2"/>
      <c r="Z49" s="2"/>
    </row>
    <row r="50" spans="1:78">
      <c r="I50" t="s">
        <v>588</v>
      </c>
      <c r="J50" s="1026">
        <v>70.415433914258685</v>
      </c>
    </row>
    <row r="51" spans="1:78">
      <c r="I51" t="s">
        <v>846</v>
      </c>
      <c r="J51" s="1026">
        <v>1.022503107595286</v>
      </c>
      <c r="K51">
        <v>0.05</v>
      </c>
    </row>
    <row r="52" spans="1:78">
      <c r="A52" s="782" t="s">
        <v>610</v>
      </c>
      <c r="B52" s="768">
        <f>IFERROR(AVERAGE(B4:B38),"")</f>
        <v>888.59223906031139</v>
      </c>
      <c r="C52" s="768">
        <f>IFERROR(AVERAGE(C4:C38),"")</f>
        <v>389.119217210854</v>
      </c>
      <c r="D52" s="768">
        <f>IFERROR(AVERAGE(D4:D38),"")</f>
        <v>1622.0596169606713</v>
      </c>
      <c r="E52" s="768">
        <f>IFERROR(AVERAGE(E4:E38),"")</f>
        <v>603.91297248278772</v>
      </c>
      <c r="F52" s="768">
        <f>IFERROR(AVERAGE(F4:F38),"")</f>
        <v>300.49951955514439</v>
      </c>
      <c r="G52" s="768">
        <f>IFERROR(AVERAGE(H4:H38),"")</f>
        <v>530.34902695660935</v>
      </c>
      <c r="I52" t="s">
        <v>847</v>
      </c>
      <c r="J52" s="1026">
        <v>0.30654284259023934</v>
      </c>
    </row>
    <row r="53" spans="1:78">
      <c r="A53" s="783" t="s">
        <v>611</v>
      </c>
      <c r="B53" s="769">
        <f>IFERROR(STDEVA(B4:B38)*_xlfn.T.INV.2T(5%,COUNT(B4:B38)-1),"")</f>
        <v>53.783538840875288</v>
      </c>
      <c r="C53" s="769">
        <f>IFERROR(STDEVA(C4:C38)*_xlfn.T.INV.2T(5%,COUNT(C4:C38)-1),"")</f>
        <v>42.813453234762925</v>
      </c>
      <c r="D53" s="769">
        <f>IFERROR(STDEVA(D4:D38)*_xlfn.T.INV.2T(5%,COUNT(D4:D38)-1),"")</f>
        <v>352.22198351176075</v>
      </c>
      <c r="E53" s="769">
        <f>IFERROR(STDEVA(E4:E38)*_xlfn.T.INV.2T(5%,COUNT(E4:E38)-1),"")</f>
        <v>115.71790425875633</v>
      </c>
      <c r="F53" s="769">
        <f>IFERROR(STDEVA(F4:F38)*_xlfn.T.INV.2T(5%,COUNT(F4:F38)-1),"")</f>
        <v>299.24827981412756</v>
      </c>
      <c r="G53" s="769">
        <f>IFERROR(STDEVA(H4:H38)*_xlfn.T.INV.2T(5%,COUNT(H4:H38)-1),"")</f>
        <v>149.2014136600562</v>
      </c>
      <c r="I53" t="s">
        <v>848</v>
      </c>
      <c r="J53" s="1012" t="s">
        <v>849</v>
      </c>
    </row>
    <row r="54" spans="1:78">
      <c r="A54" s="783" t="s">
        <v>612</v>
      </c>
      <c r="B54" s="770">
        <f t="shared" ref="B54:G54" si="69">IFERROR(B53/B52,"")</f>
        <v>6.0526680829163577E-2</v>
      </c>
      <c r="C54" s="770">
        <f t="shared" si="69"/>
        <v>0.11002657114095545</v>
      </c>
      <c r="D54" s="770">
        <f t="shared" si="69"/>
        <v>0.21714490628386118</v>
      </c>
      <c r="E54" s="770">
        <f t="shared" si="69"/>
        <v>0.19161354289678625</v>
      </c>
      <c r="F54" s="770">
        <f t="shared" si="69"/>
        <v>0.99583613397163118</v>
      </c>
      <c r="G54" s="770">
        <f t="shared" si="69"/>
        <v>0.28132683586928342</v>
      </c>
    </row>
    <row r="55" spans="1:78">
      <c r="I55" t="s">
        <v>774</v>
      </c>
    </row>
    <row r="57" spans="1:78">
      <c r="I57" t="s">
        <v>586</v>
      </c>
      <c r="J57" s="1013">
        <v>0.05</v>
      </c>
    </row>
    <row r="58" spans="1:78">
      <c r="I58" t="s">
        <v>850</v>
      </c>
      <c r="J58" s="1026">
        <v>5.0215607191987317</v>
      </c>
    </row>
    <row r="59" spans="1:78">
      <c r="I59" t="s">
        <v>589</v>
      </c>
      <c r="J59" s="1026">
        <v>-4.0244121616721333</v>
      </c>
    </row>
    <row r="60" spans="1:78">
      <c r="I60" t="s">
        <v>590</v>
      </c>
      <c r="J60" s="1027">
        <v>14.33462704229953</v>
      </c>
    </row>
    <row r="64" spans="1:78" ht="15.5">
      <c r="A64" s="117"/>
      <c r="B64" s="117"/>
      <c r="C64" s="117"/>
      <c r="D64" s="117"/>
      <c r="E64" s="117"/>
      <c r="F64" s="117"/>
      <c r="G64" s="2"/>
      <c r="H64" s="2"/>
      <c r="I64" s="95"/>
      <c r="J64" s="2"/>
      <c r="K64" s="2"/>
      <c r="L64" s="2"/>
      <c r="M64" s="2" t="s">
        <v>585</v>
      </c>
      <c r="N64" s="133"/>
      <c r="O64" s="2"/>
      <c r="P64" s="2" t="s">
        <v>586</v>
      </c>
      <c r="Q64" s="771">
        <v>0.05</v>
      </c>
      <c r="R64" s="2"/>
      <c r="S64" s="2"/>
      <c r="T64" s="2" t="s">
        <v>585</v>
      </c>
      <c r="U64" s="133"/>
      <c r="V64" s="2"/>
      <c r="W64" s="2" t="s">
        <v>586</v>
      </c>
      <c r="X64" s="771">
        <v>0.05</v>
      </c>
      <c r="Y64" s="2"/>
      <c r="Z64" s="2"/>
      <c r="AA64" s="2" t="s">
        <v>585</v>
      </c>
      <c r="AB64" s="133"/>
      <c r="AC64" s="2"/>
      <c r="AD64" s="2" t="s">
        <v>586</v>
      </c>
      <c r="AE64" s="771">
        <v>0.05</v>
      </c>
      <c r="AF64" s="2"/>
      <c r="AH64" s="2" t="s">
        <v>585</v>
      </c>
      <c r="AI64" s="133"/>
      <c r="AJ64" s="2"/>
      <c r="AK64" s="2" t="s">
        <v>586</v>
      </c>
      <c r="AL64" s="771">
        <v>0.05</v>
      </c>
      <c r="AM64" s="2"/>
      <c r="AO64" s="2" t="s">
        <v>585</v>
      </c>
      <c r="AP64" s="133"/>
      <c r="AQ64" s="2"/>
      <c r="AR64" s="2" t="s">
        <v>586</v>
      </c>
      <c r="AS64" s="771">
        <v>0.05</v>
      </c>
      <c r="AT64" s="2"/>
      <c r="AV64" s="2" t="s">
        <v>585</v>
      </c>
      <c r="AW64" s="133"/>
      <c r="AX64" s="2"/>
      <c r="AY64" s="2" t="s">
        <v>586</v>
      </c>
      <c r="AZ64" s="771">
        <v>0.05</v>
      </c>
      <c r="BA64" s="2"/>
      <c r="BC64" s="2" t="s">
        <v>585</v>
      </c>
      <c r="BD64" s="133"/>
      <c r="BE64" s="2"/>
      <c r="BF64" s="2" t="s">
        <v>586</v>
      </c>
      <c r="BG64" s="771">
        <v>0.05</v>
      </c>
      <c r="BH64" s="2"/>
      <c r="BL64" s="2" t="s">
        <v>585</v>
      </c>
      <c r="BM64" s="133"/>
      <c r="BN64" s="2"/>
      <c r="BO64" s="2" t="s">
        <v>586</v>
      </c>
      <c r="BP64" s="771">
        <v>0.05</v>
      </c>
      <c r="BQ64" s="2"/>
      <c r="BU64" s="2" t="s">
        <v>585</v>
      </c>
      <c r="BV64" s="133"/>
      <c r="BW64" s="2"/>
      <c r="BX64" s="2" t="s">
        <v>586</v>
      </c>
      <c r="BY64" s="771">
        <v>0.05</v>
      </c>
      <c r="BZ64" s="2"/>
    </row>
    <row r="65" spans="1:80" ht="16" thickBot="1">
      <c r="A65" s="117" t="s">
        <v>638</v>
      </c>
      <c r="B65" s="117"/>
      <c r="C65" s="117"/>
      <c r="D65" s="117"/>
      <c r="E65" s="117"/>
      <c r="F65" s="117"/>
      <c r="G65" s="2"/>
      <c r="H65" s="2"/>
      <c r="I65" s="2"/>
      <c r="J65" s="2"/>
      <c r="K65" s="2"/>
      <c r="L65" s="2"/>
      <c r="M65" s="2"/>
      <c r="N65" s="133"/>
      <c r="O65" s="2"/>
      <c r="P65" s="2"/>
      <c r="Q65" s="2"/>
      <c r="R65" s="2"/>
      <c r="S65" s="2"/>
      <c r="T65" s="2"/>
      <c r="U65" s="133"/>
      <c r="V65" s="2"/>
      <c r="W65" s="2"/>
      <c r="X65" s="2"/>
      <c r="Y65" s="2"/>
      <c r="Z65" s="2"/>
      <c r="AA65" s="2"/>
      <c r="AB65" s="133"/>
      <c r="AC65" s="2"/>
      <c r="AD65" s="2"/>
      <c r="AE65" s="2"/>
      <c r="AF65" s="2"/>
      <c r="AH65" s="2"/>
      <c r="AI65" s="133"/>
      <c r="AJ65" s="2"/>
      <c r="AK65" s="2"/>
      <c r="AL65" s="2"/>
      <c r="AM65" s="2"/>
      <c r="AO65" s="2"/>
      <c r="AP65" s="133"/>
      <c r="AQ65" s="2"/>
      <c r="AR65" s="2"/>
      <c r="AS65" s="2"/>
      <c r="AT65" s="2"/>
      <c r="AV65" s="2"/>
      <c r="AW65" s="133"/>
      <c r="AX65" s="2"/>
      <c r="AY65" s="2"/>
      <c r="AZ65" s="2"/>
      <c r="BA65" s="2"/>
      <c r="BC65" s="2"/>
      <c r="BD65" s="133"/>
      <c r="BE65" s="2"/>
      <c r="BF65" s="2"/>
      <c r="BG65" s="2"/>
      <c r="BH65" s="2"/>
      <c r="BL65" s="2"/>
      <c r="BM65" s="133"/>
      <c r="BN65" s="2"/>
      <c r="BO65" s="2"/>
      <c r="BP65" s="2"/>
      <c r="BQ65" s="2"/>
      <c r="BU65" s="2"/>
      <c r="BV65" s="133"/>
      <c r="BW65" s="2"/>
      <c r="BX65" s="2"/>
      <c r="BY65" s="2"/>
      <c r="BZ65" s="2"/>
    </row>
    <row r="66" spans="1:80" ht="16" thickTop="1">
      <c r="A66" s="2" t="s">
        <v>50</v>
      </c>
      <c r="B66" s="2" t="str">
        <f>B3</f>
        <v>Solidi</v>
      </c>
      <c r="C66" s="2" t="str">
        <f t="shared" ref="C66:J66" si="70">C3</f>
        <v>Gas naturale</v>
      </c>
      <c r="D66" s="2" t="str">
        <f t="shared" si="70"/>
        <v>Gas derivati</v>
      </c>
      <c r="E66" s="2" t="str">
        <f t="shared" si="70"/>
        <v>Prodotti petroliferi</v>
      </c>
      <c r="F66" s="2" t="str">
        <f t="shared" si="70"/>
        <v>Rifiuti e bioenergie</v>
      </c>
      <c r="G66" s="2" t="str">
        <f t="shared" si="70"/>
        <v>Rifiuti non rinnovabili</v>
      </c>
      <c r="H66" s="2" t="str">
        <f t="shared" si="70"/>
        <v>Totale</v>
      </c>
      <c r="I66" s="2" t="str">
        <f t="shared" si="70"/>
        <v>Prodotti petroliferi (DM 224)</v>
      </c>
      <c r="J66" s="2" t="str">
        <f t="shared" si="70"/>
        <v>Altre fonti (no RES)</v>
      </c>
      <c r="K66" s="2"/>
      <c r="L66" s="2"/>
      <c r="M66" s="772" t="str">
        <f>$A66</f>
        <v>Anno</v>
      </c>
      <c r="N66" s="778" t="str">
        <f>B66</f>
        <v>Solidi</v>
      </c>
      <c r="O66" s="778" t="s">
        <v>587</v>
      </c>
      <c r="P66" s="778" t="s">
        <v>588</v>
      </c>
      <c r="Q66" s="778" t="s">
        <v>589</v>
      </c>
      <c r="R66" s="778" t="s">
        <v>590</v>
      </c>
      <c r="S66" s="2"/>
      <c r="T66" s="772" t="str">
        <f>$A66</f>
        <v>Anno</v>
      </c>
      <c r="U66" s="778" t="str">
        <f>C66</f>
        <v>Gas naturale</v>
      </c>
      <c r="V66" s="778" t="s">
        <v>587</v>
      </c>
      <c r="W66" s="778" t="s">
        <v>588</v>
      </c>
      <c r="X66" s="778" t="s">
        <v>589</v>
      </c>
      <c r="Y66" s="778" t="s">
        <v>590</v>
      </c>
      <c r="Z66" s="2"/>
      <c r="AA66" s="772" t="str">
        <f>$A66</f>
        <v>Anno</v>
      </c>
      <c r="AB66" s="778" t="str">
        <f>D66</f>
        <v>Gas derivati</v>
      </c>
      <c r="AC66" s="778" t="s">
        <v>587</v>
      </c>
      <c r="AD66" s="778" t="s">
        <v>588</v>
      </c>
      <c r="AE66" s="778" t="s">
        <v>589</v>
      </c>
      <c r="AF66" s="778" t="s">
        <v>590</v>
      </c>
      <c r="AH66" s="772" t="str">
        <f>$A66</f>
        <v>Anno</v>
      </c>
      <c r="AI66" s="778" t="str">
        <f>E66</f>
        <v>Prodotti petroliferi</v>
      </c>
      <c r="AJ66" s="778" t="s">
        <v>587</v>
      </c>
      <c r="AK66" s="778" t="s">
        <v>588</v>
      </c>
      <c r="AL66" s="778" t="s">
        <v>589</v>
      </c>
      <c r="AM66" s="778" t="s">
        <v>590</v>
      </c>
      <c r="AO66" s="772" t="str">
        <f>$A66</f>
        <v>Anno</v>
      </c>
      <c r="AP66" s="778" t="str">
        <f>F66</f>
        <v>Rifiuti e bioenergie</v>
      </c>
      <c r="AQ66" s="778" t="s">
        <v>587</v>
      </c>
      <c r="AR66" s="778" t="s">
        <v>588</v>
      </c>
      <c r="AS66" s="778" t="s">
        <v>589</v>
      </c>
      <c r="AT66" s="778" t="s">
        <v>590</v>
      </c>
      <c r="AV66" s="772" t="str">
        <f>$A66</f>
        <v>Anno</v>
      </c>
      <c r="AW66" s="778" t="str">
        <f>G66</f>
        <v>Rifiuti non rinnovabili</v>
      </c>
      <c r="AX66" s="778" t="s">
        <v>587</v>
      </c>
      <c r="AY66" s="778" t="s">
        <v>588</v>
      </c>
      <c r="AZ66" s="778" t="s">
        <v>589</v>
      </c>
      <c r="BA66" s="778" t="s">
        <v>590</v>
      </c>
      <c r="BC66" s="772" t="str">
        <f>$A66</f>
        <v>Anno</v>
      </c>
      <c r="BD66" s="778" t="str">
        <f t="shared" ref="BD66:BD101" si="71">H66</f>
        <v>Totale</v>
      </c>
      <c r="BE66" s="778" t="s">
        <v>587</v>
      </c>
      <c r="BF66" s="778" t="s">
        <v>588</v>
      </c>
      <c r="BG66" s="778" t="s">
        <v>589</v>
      </c>
      <c r="BH66" s="778" t="s">
        <v>590</v>
      </c>
      <c r="BL66" s="772" t="str">
        <f>$A66</f>
        <v>Anno</v>
      </c>
      <c r="BM66" s="778" t="str">
        <f>I66</f>
        <v>Prodotti petroliferi (DM 224)</v>
      </c>
      <c r="BN66" s="778" t="s">
        <v>587</v>
      </c>
      <c r="BO66" s="778" t="s">
        <v>588</v>
      </c>
      <c r="BP66" s="778" t="s">
        <v>589</v>
      </c>
      <c r="BQ66" s="778" t="s">
        <v>590</v>
      </c>
      <c r="BU66" s="772" t="str">
        <f>$A66</f>
        <v>Anno</v>
      </c>
      <c r="BV66" s="778" t="str">
        <f>J66</f>
        <v>Altre fonti (no RES)</v>
      </c>
      <c r="BW66" s="778" t="s">
        <v>587</v>
      </c>
      <c r="BX66" s="778" t="s">
        <v>588</v>
      </c>
      <c r="BY66" s="778" t="s">
        <v>589</v>
      </c>
      <c r="BZ66" s="778" t="s">
        <v>590</v>
      </c>
    </row>
    <row r="67" spans="1:80" ht="15.5">
      <c r="A67" s="2">
        <v>1990</v>
      </c>
      <c r="B67" s="95" cm="1">
        <f t="array" ref="B67:H101">TRANSPOSE('7'!B41:AJ47)</f>
        <v>959.38633723280566</v>
      </c>
      <c r="C67" s="95">
        <v>445.02036827170161</v>
      </c>
      <c r="D67" s="95">
        <v>1824.7722631252425</v>
      </c>
      <c r="E67" s="95">
        <v>651.04723882630276</v>
      </c>
      <c r="F67" s="95">
        <v>1011.5006102893672</v>
      </c>
      <c r="G67" s="147">
        <v>2061.5138482892294</v>
      </c>
      <c r="H67" s="95">
        <v>683.37787943400349</v>
      </c>
      <c r="I67" s="95" cm="1">
        <f t="array" ref="I67:J101">TRANSPOSE('7'!B48:AJ49)</f>
        <v>651.04723882630276</v>
      </c>
      <c r="J67" s="95">
        <v>2061.5138482892294</v>
      </c>
      <c r="K67" s="95"/>
      <c r="L67" s="2"/>
      <c r="M67" s="2">
        <f>$A67</f>
        <v>1990</v>
      </c>
      <c r="N67" s="95">
        <f t="shared" ref="N67:N101" si="72">B67</f>
        <v>959.38633723280566</v>
      </c>
      <c r="O67" s="95"/>
      <c r="P67" s="95"/>
      <c r="Q67" s="95"/>
      <c r="R67" s="95"/>
      <c r="S67" s="2"/>
      <c r="T67" s="2">
        <f>$A67</f>
        <v>1990</v>
      </c>
      <c r="U67" s="95">
        <f t="shared" ref="U67:U101" si="73">C67</f>
        <v>445.02036827170161</v>
      </c>
      <c r="V67" s="95"/>
      <c r="W67" s="95"/>
      <c r="X67" s="95"/>
      <c r="Y67" s="95"/>
      <c r="Z67" s="2"/>
      <c r="AA67" s="2">
        <f>$A67</f>
        <v>1990</v>
      </c>
      <c r="AB67" s="95">
        <f t="shared" ref="AB67:AB101" si="74">D67</f>
        <v>1824.7722631252425</v>
      </c>
      <c r="AC67" s="95"/>
      <c r="AD67" s="95"/>
      <c r="AE67" s="95"/>
      <c r="AF67" s="95"/>
      <c r="AG67" s="2"/>
      <c r="AH67" s="2">
        <f>$A67</f>
        <v>1990</v>
      </c>
      <c r="AI67" s="95">
        <f t="shared" ref="AI67:AI101" si="75">E67</f>
        <v>651.04723882630276</v>
      </c>
      <c r="AJ67" s="95"/>
      <c r="AK67" s="95"/>
      <c r="AL67" s="95"/>
      <c r="AM67" s="95"/>
      <c r="AN67" s="2"/>
      <c r="AO67" s="2">
        <f>$A67</f>
        <v>1990</v>
      </c>
      <c r="AP67" s="95">
        <f t="shared" ref="AP67:AP101" si="76">F67</f>
        <v>1011.5006102893672</v>
      </c>
      <c r="AQ67" s="95"/>
      <c r="AR67" s="95"/>
      <c r="AS67" s="95"/>
      <c r="AT67" s="95"/>
      <c r="AU67" s="2"/>
      <c r="AV67" s="2">
        <f>$A67</f>
        <v>1990</v>
      </c>
      <c r="AW67" s="95">
        <f>G67</f>
        <v>2061.5138482892294</v>
      </c>
      <c r="AX67" s="95"/>
      <c r="AY67" s="95"/>
      <c r="AZ67" s="95"/>
      <c r="BA67" s="95"/>
      <c r="BB67" s="2"/>
      <c r="BC67" s="2">
        <f>$A67</f>
        <v>1990</v>
      </c>
      <c r="BD67" s="95">
        <f t="shared" si="71"/>
        <v>683.37787943400349</v>
      </c>
      <c r="BE67" s="95"/>
      <c r="BF67" s="95"/>
      <c r="BG67" s="95"/>
      <c r="BH67" s="95"/>
      <c r="BI67" s="2"/>
      <c r="BL67" s="2">
        <f>$A67</f>
        <v>1990</v>
      </c>
      <c r="BM67" s="95">
        <f>I67</f>
        <v>651.04723882630276</v>
      </c>
      <c r="BN67" s="95"/>
      <c r="BO67" s="95"/>
      <c r="BP67" s="95"/>
      <c r="BQ67" s="95"/>
      <c r="BR67" s="2"/>
      <c r="BU67" s="2">
        <f>$A67</f>
        <v>1990</v>
      </c>
      <c r="BV67" s="95">
        <f>J67</f>
        <v>2061.5138482892294</v>
      </c>
      <c r="BW67" s="95"/>
      <c r="BX67" s="95"/>
      <c r="BY67" s="95"/>
      <c r="BZ67" s="95"/>
      <c r="CA67" s="2"/>
    </row>
    <row r="68" spans="1:80" ht="1" customHeight="1">
      <c r="A68" s="2">
        <v>1991</v>
      </c>
      <c r="B68" s="95">
        <v>963.8963858840807</v>
      </c>
      <c r="C68" s="95">
        <v>448.67066186077176</v>
      </c>
      <c r="D68" s="95">
        <v>1787.0926630090614</v>
      </c>
      <c r="E68" s="95">
        <v>652.35705972929793</v>
      </c>
      <c r="F68" s="95">
        <v>578.34833717048275</v>
      </c>
      <c r="G68" s="147">
        <v>1103.0789345887699</v>
      </c>
      <c r="H68" s="95">
        <v>683.22431768591071</v>
      </c>
      <c r="I68" s="95">
        <v>652.35705972929793</v>
      </c>
      <c r="J68" s="95">
        <v>1103.0789345887699</v>
      </c>
      <c r="K68" s="95"/>
      <c r="L68" s="2"/>
      <c r="M68" s="2">
        <f t="shared" ref="M68:M101" si="77">$A68</f>
        <v>1991</v>
      </c>
      <c r="N68" s="95">
        <f t="shared" si="72"/>
        <v>963.8963858840807</v>
      </c>
      <c r="O68" s="95"/>
      <c r="P68" s="95"/>
      <c r="Q68" s="95"/>
      <c r="R68" s="95"/>
      <c r="S68" s="56">
        <f t="shared" ref="S68:S100" si="78">(+N68/N67-1)</f>
        <v>4.7009723572710715E-3</v>
      </c>
      <c r="T68" s="2">
        <f t="shared" ref="T68:T101" si="79">$A68</f>
        <v>1991</v>
      </c>
      <c r="U68" s="95">
        <f t="shared" si="73"/>
        <v>448.67066186077176</v>
      </c>
      <c r="V68" s="95"/>
      <c r="W68" s="95"/>
      <c r="X68" s="95"/>
      <c r="Y68" s="95"/>
      <c r="Z68" s="56">
        <f t="shared" ref="Z68:Z100" si="80">(+U68/U67-1)</f>
        <v>8.2025315004041754E-3</v>
      </c>
      <c r="AA68" s="2">
        <f t="shared" ref="AA68:AA101" si="81">$A68</f>
        <v>1991</v>
      </c>
      <c r="AB68" s="95">
        <f t="shared" si="74"/>
        <v>1787.0926630090614</v>
      </c>
      <c r="AC68" s="95"/>
      <c r="AD68" s="95"/>
      <c r="AE68" s="95"/>
      <c r="AF68" s="95"/>
      <c r="AG68" s="56">
        <f t="shared" ref="AG68:AG100" si="82">(+AB68/AB67-1)</f>
        <v>-2.0648932953226784E-2</v>
      </c>
      <c r="AH68" s="2">
        <f t="shared" ref="AH68:AH101" si="83">$A68</f>
        <v>1991</v>
      </c>
      <c r="AI68" s="95">
        <f t="shared" si="75"/>
        <v>652.35705972929793</v>
      </c>
      <c r="AJ68" s="95"/>
      <c r="AK68" s="95"/>
      <c r="AL68" s="95"/>
      <c r="AM68" s="95"/>
      <c r="AN68" s="56">
        <f t="shared" ref="AN68:AN100" si="84">(+AI68/AI67-1)</f>
        <v>2.0118676877525221E-3</v>
      </c>
      <c r="AO68" s="2">
        <f t="shared" ref="AO68:AO101" si="85">$A68</f>
        <v>1991</v>
      </c>
      <c r="AP68" s="95">
        <f t="shared" si="76"/>
        <v>578.34833717048275</v>
      </c>
      <c r="AQ68" s="95"/>
      <c r="AR68" s="95"/>
      <c r="AS68" s="95"/>
      <c r="AT68" s="95"/>
      <c r="AU68" s="56">
        <f t="shared" ref="AU68:AU100" si="86">(+AP68/AP67-1)</f>
        <v>-0.42822739671404597</v>
      </c>
      <c r="AV68" s="2">
        <f t="shared" ref="AV68:AV101" si="87">$A68</f>
        <v>1991</v>
      </c>
      <c r="AW68" s="95">
        <f t="shared" ref="AW68:AW101" si="88">G68</f>
        <v>1103.0789345887699</v>
      </c>
      <c r="AX68" s="95"/>
      <c r="AY68" s="95"/>
      <c r="AZ68" s="95"/>
      <c r="BA68" s="95"/>
      <c r="BB68" s="56">
        <f t="shared" ref="BB68:BB100" si="89">(+AW68/AW67-1)</f>
        <v>-0.46491800891651902</v>
      </c>
      <c r="BC68" s="2">
        <f t="shared" ref="BC68:BC101" si="90">$A68</f>
        <v>1991</v>
      </c>
      <c r="BD68" s="95">
        <f t="shared" si="71"/>
        <v>683.22431768591071</v>
      </c>
      <c r="BE68" s="95"/>
      <c r="BF68" s="95"/>
      <c r="BG68" s="95"/>
      <c r="BH68" s="95"/>
      <c r="BI68" s="56">
        <f t="shared" ref="BI68:BI100" si="91">(+BD68/BD67-1)</f>
        <v>-2.2470986069955678E-4</v>
      </c>
      <c r="BL68" s="2">
        <f t="shared" ref="BL68:BL101" si="92">$A68</f>
        <v>1991</v>
      </c>
      <c r="BM68" s="95">
        <f t="shared" ref="BM68:BM101" si="93">I68</f>
        <v>652.35705972929793</v>
      </c>
      <c r="BN68" s="95"/>
      <c r="BO68" s="95"/>
      <c r="BP68" s="95"/>
      <c r="BQ68" s="95"/>
      <c r="BR68" s="56">
        <f t="shared" ref="BR68:BR100" si="94">(+BM68/BM67-1)</f>
        <v>2.0118676877525221E-3</v>
      </c>
      <c r="BU68" s="2">
        <f t="shared" ref="BU68:BU101" si="95">$A68</f>
        <v>1991</v>
      </c>
      <c r="BV68" s="95">
        <f t="shared" ref="BV68:BV101" si="96">J68</f>
        <v>1103.0789345887699</v>
      </c>
      <c r="BW68" s="95"/>
      <c r="BX68" s="95"/>
      <c r="BY68" s="95"/>
      <c r="BZ68" s="95"/>
      <c r="CA68" s="56">
        <f t="shared" ref="CA68:CA100" si="97">(+BV68/BV67-1)</f>
        <v>-0.46491800891651902</v>
      </c>
    </row>
    <row r="69" spans="1:80" ht="1" customHeight="1">
      <c r="A69" s="2">
        <v>1992</v>
      </c>
      <c r="B69" s="95">
        <v>965.23987130733417</v>
      </c>
      <c r="C69" s="95">
        <v>443.75947119609958</v>
      </c>
      <c r="D69" s="95">
        <v>1710.8751885494919</v>
      </c>
      <c r="E69" s="95">
        <v>647.84669315964436</v>
      </c>
      <c r="F69" s="95">
        <v>542.41652198760676</v>
      </c>
      <c r="G69" s="147">
        <v>1105.4854146834762</v>
      </c>
      <c r="H69" s="95">
        <v>664.666347145239</v>
      </c>
      <c r="I69" s="95">
        <v>647.84669315964436</v>
      </c>
      <c r="J69" s="95">
        <v>243.25477088197565</v>
      </c>
      <c r="K69" s="95"/>
      <c r="L69" s="2"/>
      <c r="M69" s="2">
        <f t="shared" si="77"/>
        <v>1992</v>
      </c>
      <c r="N69" s="147">
        <f t="shared" si="72"/>
        <v>965.23987130733417</v>
      </c>
      <c r="O69" s="147"/>
      <c r="P69" s="147"/>
      <c r="Q69" s="147"/>
      <c r="R69" s="147"/>
      <c r="S69" s="56">
        <f t="shared" si="78"/>
        <v>1.3938068893382116E-3</v>
      </c>
      <c r="T69" s="2">
        <f t="shared" si="79"/>
        <v>1992</v>
      </c>
      <c r="U69" s="147">
        <f t="shared" si="73"/>
        <v>443.75947119609958</v>
      </c>
      <c r="V69" s="147"/>
      <c r="W69" s="147"/>
      <c r="X69" s="147"/>
      <c r="Y69" s="147"/>
      <c r="Z69" s="56">
        <f t="shared" si="80"/>
        <v>-1.0946092718217892E-2</v>
      </c>
      <c r="AA69" s="2">
        <f t="shared" si="81"/>
        <v>1992</v>
      </c>
      <c r="AB69" s="147">
        <f t="shared" si="74"/>
        <v>1710.8751885494919</v>
      </c>
      <c r="AC69" s="147"/>
      <c r="AD69" s="147"/>
      <c r="AE69" s="147"/>
      <c r="AF69" s="147"/>
      <c r="AG69" s="56">
        <f t="shared" si="82"/>
        <v>-4.2648865409830816E-2</v>
      </c>
      <c r="AH69" s="2">
        <f t="shared" si="83"/>
        <v>1992</v>
      </c>
      <c r="AI69" s="147">
        <f t="shared" si="75"/>
        <v>647.84669315964436</v>
      </c>
      <c r="AJ69" s="147"/>
      <c r="AK69" s="147"/>
      <c r="AL69" s="147"/>
      <c r="AM69" s="147"/>
      <c r="AN69" s="56">
        <f t="shared" si="84"/>
        <v>-6.9139537962924491E-3</v>
      </c>
      <c r="AO69" s="2">
        <f t="shared" si="85"/>
        <v>1992</v>
      </c>
      <c r="AP69" s="147">
        <f t="shared" si="76"/>
        <v>542.41652198760676</v>
      </c>
      <c r="AQ69" s="147"/>
      <c r="AR69" s="147"/>
      <c r="AS69" s="147"/>
      <c r="AT69" s="147"/>
      <c r="AU69" s="56">
        <f t="shared" si="86"/>
        <v>-6.2128327987712728E-2</v>
      </c>
      <c r="AV69" s="2">
        <f t="shared" si="87"/>
        <v>1992</v>
      </c>
      <c r="AW69" s="95">
        <f t="shared" si="88"/>
        <v>1105.4854146834762</v>
      </c>
      <c r="AX69" s="147"/>
      <c r="AY69" s="147"/>
      <c r="AZ69" s="147"/>
      <c r="BA69" s="147"/>
      <c r="BB69" s="56">
        <f t="shared" si="89"/>
        <v>2.1816028021632849E-3</v>
      </c>
      <c r="BC69" s="2">
        <f t="shared" si="90"/>
        <v>1992</v>
      </c>
      <c r="BD69" s="147">
        <f t="shared" si="71"/>
        <v>664.666347145239</v>
      </c>
      <c r="BE69" s="147"/>
      <c r="BF69" s="147"/>
      <c r="BG69" s="147"/>
      <c r="BH69" s="147"/>
      <c r="BI69" s="56">
        <f t="shared" si="91"/>
        <v>-2.7162339015578074E-2</v>
      </c>
      <c r="BL69" s="2">
        <f t="shared" si="92"/>
        <v>1992</v>
      </c>
      <c r="BM69" s="95">
        <f t="shared" si="93"/>
        <v>647.84669315964436</v>
      </c>
      <c r="BN69" s="147"/>
      <c r="BO69" s="147"/>
      <c r="BP69" s="147"/>
      <c r="BQ69" s="147"/>
      <c r="BR69" s="56">
        <f t="shared" si="94"/>
        <v>-6.9139537962924491E-3</v>
      </c>
      <c r="BU69" s="2">
        <f t="shared" si="95"/>
        <v>1992</v>
      </c>
      <c r="BV69" s="95">
        <f t="shared" si="96"/>
        <v>243.25477088197565</v>
      </c>
      <c r="BW69" s="147"/>
      <c r="BX69" s="147"/>
      <c r="BY69" s="147"/>
      <c r="BZ69" s="147"/>
      <c r="CA69" s="56">
        <f t="shared" si="97"/>
        <v>-0.77947655126542548</v>
      </c>
    </row>
    <row r="70" spans="1:80" ht="1" customHeight="1">
      <c r="A70" s="2">
        <v>1993</v>
      </c>
      <c r="B70" s="95">
        <v>952.29699542559013</v>
      </c>
      <c r="C70" s="95">
        <v>442.30826948011838</v>
      </c>
      <c r="D70" s="95">
        <v>1678.8888628009129</v>
      </c>
      <c r="E70" s="95">
        <v>646.06296660540784</v>
      </c>
      <c r="F70" s="95">
        <v>482.81624115704221</v>
      </c>
      <c r="G70" s="147">
        <v>984.0155875333113</v>
      </c>
      <c r="H70" s="95">
        <v>646.94749054304452</v>
      </c>
      <c r="I70" s="95">
        <v>646.06296660540784</v>
      </c>
      <c r="J70" s="95">
        <v>853.17758499560227</v>
      </c>
      <c r="K70" s="95"/>
      <c r="L70" s="2"/>
      <c r="M70" s="2">
        <f t="shared" si="77"/>
        <v>1993</v>
      </c>
      <c r="N70" s="95">
        <f t="shared" si="72"/>
        <v>952.29699542559013</v>
      </c>
      <c r="O70" s="95"/>
      <c r="P70" s="95"/>
      <c r="Q70" s="147"/>
      <c r="R70" s="147"/>
      <c r="S70" s="56">
        <f t="shared" si="78"/>
        <v>-1.3408973527185508E-2</v>
      </c>
      <c r="T70" s="2">
        <f t="shared" si="79"/>
        <v>1993</v>
      </c>
      <c r="U70" s="95">
        <f t="shared" si="73"/>
        <v>442.30826948011838</v>
      </c>
      <c r="V70" s="95"/>
      <c r="W70" s="95"/>
      <c r="X70" s="147"/>
      <c r="Y70" s="147"/>
      <c r="Z70" s="56">
        <f t="shared" si="80"/>
        <v>-3.270243927571137E-3</v>
      </c>
      <c r="AA70" s="2">
        <f t="shared" si="81"/>
        <v>1993</v>
      </c>
      <c r="AB70" s="95">
        <f t="shared" si="74"/>
        <v>1678.8888628009129</v>
      </c>
      <c r="AC70" s="95"/>
      <c r="AD70" s="95"/>
      <c r="AE70" s="147"/>
      <c r="AF70" s="147"/>
      <c r="AG70" s="56">
        <f t="shared" si="82"/>
        <v>-1.8695884984864075E-2</v>
      </c>
      <c r="AH70" s="2">
        <f t="shared" si="83"/>
        <v>1993</v>
      </c>
      <c r="AI70" s="95">
        <f t="shared" si="75"/>
        <v>646.06296660540784</v>
      </c>
      <c r="AJ70" s="95"/>
      <c r="AK70" s="95"/>
      <c r="AL70" s="147"/>
      <c r="AM70" s="147"/>
      <c r="AN70" s="56">
        <f t="shared" si="84"/>
        <v>-2.7533158277570635E-3</v>
      </c>
      <c r="AO70" s="2">
        <f t="shared" si="85"/>
        <v>1993</v>
      </c>
      <c r="AP70" s="95">
        <f t="shared" si="76"/>
        <v>482.81624115704221</v>
      </c>
      <c r="AQ70" s="95"/>
      <c r="AR70" s="95"/>
      <c r="AS70" s="147"/>
      <c r="AT70" s="147"/>
      <c r="AU70" s="56">
        <f t="shared" si="86"/>
        <v>-0.10987917663748137</v>
      </c>
      <c r="AV70" s="2">
        <f t="shared" si="87"/>
        <v>1993</v>
      </c>
      <c r="AW70" s="95">
        <f t="shared" si="88"/>
        <v>984.0155875333113</v>
      </c>
      <c r="AX70" s="95"/>
      <c r="AY70" s="95"/>
      <c r="AZ70" s="147"/>
      <c r="BA70" s="147"/>
      <c r="BB70" s="56">
        <f t="shared" si="89"/>
        <v>-0.10987917663748126</v>
      </c>
      <c r="BC70" s="2">
        <f t="shared" si="90"/>
        <v>1993</v>
      </c>
      <c r="BD70" s="95">
        <f t="shared" si="71"/>
        <v>646.94749054304452</v>
      </c>
      <c r="BE70" s="95"/>
      <c r="BF70" s="95"/>
      <c r="BG70" s="147"/>
      <c r="BH70" s="147"/>
      <c r="BI70" s="56">
        <f t="shared" si="91"/>
        <v>-2.665827249761854E-2</v>
      </c>
      <c r="BL70" s="2">
        <f t="shared" si="92"/>
        <v>1993</v>
      </c>
      <c r="BM70" s="95">
        <f t="shared" si="93"/>
        <v>646.06296660540784</v>
      </c>
      <c r="BN70" s="95"/>
      <c r="BO70" s="95"/>
      <c r="BP70" s="147"/>
      <c r="BQ70" s="147"/>
      <c r="BR70" s="56">
        <f t="shared" si="94"/>
        <v>-2.7533158277570635E-3</v>
      </c>
      <c r="BU70" s="2">
        <f t="shared" si="95"/>
        <v>1993</v>
      </c>
      <c r="BV70" s="95">
        <f t="shared" si="96"/>
        <v>853.17758499560227</v>
      </c>
      <c r="BW70" s="95"/>
      <c r="BX70" s="95"/>
      <c r="BY70" s="147"/>
      <c r="BZ70" s="147"/>
      <c r="CA70" s="56">
        <f t="shared" si="97"/>
        <v>2.5073416315832673</v>
      </c>
    </row>
    <row r="71" spans="1:80" ht="1" customHeight="1">
      <c r="A71" s="2">
        <v>1994</v>
      </c>
      <c r="B71" s="95">
        <v>953.11794110750429</v>
      </c>
      <c r="C71" s="95">
        <v>432.34574505927424</v>
      </c>
      <c r="D71" s="95">
        <v>1758.4491860938399</v>
      </c>
      <c r="E71" s="95">
        <v>643.11902352907975</v>
      </c>
      <c r="F71" s="95">
        <v>437.17256185593391</v>
      </c>
      <c r="G71" s="147">
        <v>1388.6448721387837</v>
      </c>
      <c r="H71" s="95">
        <v>645.87968554332394</v>
      </c>
      <c r="I71" s="95">
        <v>643.11902352907975</v>
      </c>
      <c r="J71" s="95">
        <v>842.88625746327671</v>
      </c>
      <c r="K71" s="95"/>
      <c r="L71" s="2"/>
      <c r="M71" s="2">
        <f t="shared" si="77"/>
        <v>1994</v>
      </c>
      <c r="N71" s="95">
        <f t="shared" si="72"/>
        <v>953.11794110750429</v>
      </c>
      <c r="O71" s="95"/>
      <c r="P71" s="95"/>
      <c r="Q71" s="147"/>
      <c r="R71" s="147"/>
      <c r="S71" s="56">
        <f t="shared" si="78"/>
        <v>8.6206896152951629E-4</v>
      </c>
      <c r="T71" s="2">
        <f t="shared" si="79"/>
        <v>1994</v>
      </c>
      <c r="U71" s="95">
        <f t="shared" si="73"/>
        <v>432.34574505927424</v>
      </c>
      <c r="V71" s="95"/>
      <c r="W71" s="95"/>
      <c r="X71" s="147"/>
      <c r="Y71" s="147"/>
      <c r="Z71" s="56">
        <f t="shared" si="80"/>
        <v>-2.2523938864073112E-2</v>
      </c>
      <c r="AA71" s="2">
        <f t="shared" si="81"/>
        <v>1994</v>
      </c>
      <c r="AB71" s="95">
        <f t="shared" si="74"/>
        <v>1758.4491860938399</v>
      </c>
      <c r="AC71" s="95"/>
      <c r="AD71" s="95"/>
      <c r="AE71" s="147"/>
      <c r="AF71" s="147"/>
      <c r="AG71" s="56">
        <f t="shared" si="82"/>
        <v>4.7388677747373542E-2</v>
      </c>
      <c r="AH71" s="2">
        <f t="shared" si="83"/>
        <v>1994</v>
      </c>
      <c r="AI71" s="95">
        <f t="shared" si="75"/>
        <v>643.11902352907975</v>
      </c>
      <c r="AJ71" s="95"/>
      <c r="AK71" s="95"/>
      <c r="AL71" s="147"/>
      <c r="AM71" s="147"/>
      <c r="AN71" s="56">
        <f t="shared" si="84"/>
        <v>-4.5567432719388901E-3</v>
      </c>
      <c r="AO71" s="2">
        <f t="shared" si="85"/>
        <v>1994</v>
      </c>
      <c r="AP71" s="95">
        <f t="shared" si="76"/>
        <v>437.17256185593391</v>
      </c>
      <c r="AQ71" s="95"/>
      <c r="AR71" s="95"/>
      <c r="AS71" s="147"/>
      <c r="AT71" s="147"/>
      <c r="AU71" s="56">
        <f t="shared" si="86"/>
        <v>-9.4536337865780529E-2</v>
      </c>
      <c r="AV71" s="2">
        <f t="shared" si="87"/>
        <v>1994</v>
      </c>
      <c r="AW71" s="95">
        <f t="shared" si="88"/>
        <v>1388.6448721387837</v>
      </c>
      <c r="AX71" s="95"/>
      <c r="AY71" s="95"/>
      <c r="AZ71" s="147"/>
      <c r="BA71" s="147"/>
      <c r="BB71" s="56">
        <f t="shared" si="89"/>
        <v>0.41120210871839946</v>
      </c>
      <c r="BC71" s="2">
        <f t="shared" si="90"/>
        <v>1994</v>
      </c>
      <c r="BD71" s="95">
        <f t="shared" si="71"/>
        <v>645.87968554332394</v>
      </c>
      <c r="BE71" s="95"/>
      <c r="BF71" s="95"/>
      <c r="BG71" s="147"/>
      <c r="BH71" s="147"/>
      <c r="BI71" s="56">
        <f t="shared" si="91"/>
        <v>-1.6505280804540723E-3</v>
      </c>
      <c r="BL71" s="2">
        <f t="shared" si="92"/>
        <v>1994</v>
      </c>
      <c r="BM71" s="95">
        <f t="shared" si="93"/>
        <v>643.11902352907975</v>
      </c>
      <c r="BN71" s="95"/>
      <c r="BO71" s="95"/>
      <c r="BP71" s="147"/>
      <c r="BQ71" s="147"/>
      <c r="BR71" s="56">
        <f t="shared" si="94"/>
        <v>-4.5567432719388901E-3</v>
      </c>
      <c r="BU71" s="2">
        <f t="shared" si="95"/>
        <v>1994</v>
      </c>
      <c r="BV71" s="95">
        <f t="shared" si="96"/>
        <v>842.88625746327671</v>
      </c>
      <c r="BW71" s="95"/>
      <c r="BX71" s="95"/>
      <c r="BY71" s="147"/>
      <c r="BZ71" s="147"/>
      <c r="CA71" s="56">
        <f t="shared" si="97"/>
        <v>-1.2062351043105046E-2</v>
      </c>
    </row>
    <row r="72" spans="1:80" ht="15.5">
      <c r="A72" s="2">
        <v>1995</v>
      </c>
      <c r="B72" s="95">
        <v>944.15366161812767</v>
      </c>
      <c r="C72" s="95">
        <v>435.96463310013934</v>
      </c>
      <c r="D72" s="95">
        <v>1866.5916474315413</v>
      </c>
      <c r="E72" s="95">
        <v>641.80320487849121</v>
      </c>
      <c r="F72" s="95">
        <v>460.37985190369335</v>
      </c>
      <c r="G72" s="147">
        <v>2226.3159326505829</v>
      </c>
      <c r="H72" s="95">
        <v>648.1924915426963</v>
      </c>
      <c r="I72" s="95">
        <v>641.8032048784911</v>
      </c>
      <c r="J72" s="95">
        <v>819.25278661682466</v>
      </c>
      <c r="K72" s="95"/>
      <c r="L72" s="2"/>
      <c r="M72" s="2">
        <f t="shared" si="77"/>
        <v>1995</v>
      </c>
      <c r="N72" s="95">
        <f t="shared" si="72"/>
        <v>944.15366161812767</v>
      </c>
      <c r="O72" s="95">
        <f t="shared" ref="O72:O102" si="98">AVERAGE(N67:N71)</f>
        <v>958.78750619146285</v>
      </c>
      <c r="P72" s="95"/>
      <c r="Q72" s="95"/>
      <c r="R72" s="95"/>
      <c r="S72" s="56">
        <f t="shared" si="78"/>
        <v>-9.4052153492780732E-3</v>
      </c>
      <c r="T72" s="2">
        <f t="shared" si="79"/>
        <v>1995</v>
      </c>
      <c r="U72" s="95">
        <f t="shared" si="73"/>
        <v>435.96463310013934</v>
      </c>
      <c r="V72" s="95">
        <f t="shared" ref="V72:V102" si="99">AVERAGE(U67:U71)</f>
        <v>442.42090317359305</v>
      </c>
      <c r="W72" s="95"/>
      <c r="X72" s="95"/>
      <c r="Y72" s="95"/>
      <c r="Z72" s="56">
        <f t="shared" si="80"/>
        <v>8.3703565542641023E-3</v>
      </c>
      <c r="AA72" s="2">
        <f t="shared" si="81"/>
        <v>1995</v>
      </c>
      <c r="AB72" s="95">
        <f t="shared" si="74"/>
        <v>1866.5916474315413</v>
      </c>
      <c r="AC72" s="95">
        <f t="shared" ref="AC72:AC102" si="100">AVERAGE(AB67:AB71)</f>
        <v>1752.0156327157097</v>
      </c>
      <c r="AD72" s="95"/>
      <c r="AE72" s="95"/>
      <c r="AF72" s="95"/>
      <c r="AG72" s="56">
        <f t="shared" si="82"/>
        <v>6.149876959363576E-2</v>
      </c>
      <c r="AH72" s="2">
        <f t="shared" si="83"/>
        <v>1995</v>
      </c>
      <c r="AI72" s="95">
        <f t="shared" si="75"/>
        <v>641.80320487849121</v>
      </c>
      <c r="AJ72" s="95">
        <f t="shared" ref="AJ72:AJ102" si="101">AVERAGE(AI67:AI71)</f>
        <v>648.08659636994651</v>
      </c>
      <c r="AK72" s="95"/>
      <c r="AL72" s="95"/>
      <c r="AM72" s="95"/>
      <c r="AN72" s="56">
        <f t="shared" si="84"/>
        <v>-2.0459955349603209E-3</v>
      </c>
      <c r="AO72" s="2">
        <f t="shared" si="85"/>
        <v>1995</v>
      </c>
      <c r="AP72" s="95">
        <f t="shared" si="76"/>
        <v>460.37985190369335</v>
      </c>
      <c r="AQ72" s="95">
        <f t="shared" ref="AQ72:AQ102" si="102">AVERAGE(AP67:AP71)</f>
        <v>610.45085449208659</v>
      </c>
      <c r="AR72" s="95"/>
      <c r="AS72" s="95"/>
      <c r="AT72" s="95"/>
      <c r="AU72" s="56">
        <f t="shared" si="86"/>
        <v>5.3084964777380561E-2</v>
      </c>
      <c r="AV72" s="2">
        <f t="shared" si="87"/>
        <v>1995</v>
      </c>
      <c r="AW72" s="95">
        <f t="shared" si="88"/>
        <v>2226.3159326505829</v>
      </c>
      <c r="AX72" s="95">
        <f t="shared" ref="AX72:AX102" si="103">AVERAGE(AW67:AW71)</f>
        <v>1328.5477314467141</v>
      </c>
      <c r="AY72" s="95"/>
      <c r="AZ72" s="95"/>
      <c r="BA72" s="95"/>
      <c r="BB72" s="56">
        <f t="shared" si="89"/>
        <v>0.60322914613987844</v>
      </c>
      <c r="BC72" s="2">
        <f t="shared" si="90"/>
        <v>1995</v>
      </c>
      <c r="BD72" s="95">
        <f t="shared" si="71"/>
        <v>648.1924915426963</v>
      </c>
      <c r="BE72" s="95">
        <f t="shared" ref="BE72:BE102" si="104">AVERAGE(BD67:BD71)</f>
        <v>664.81914407030433</v>
      </c>
      <c r="BF72" s="95"/>
      <c r="BG72" s="95"/>
      <c r="BH72" s="95"/>
      <c r="BI72" s="56">
        <f t="shared" si="91"/>
        <v>3.5808619641393147E-3</v>
      </c>
      <c r="BJ72" s="134">
        <f>ABS(BE72-BD72)/BD72</f>
        <v>2.5650794701488511E-2</v>
      </c>
      <c r="BL72" s="2">
        <f t="shared" si="92"/>
        <v>1995</v>
      </c>
      <c r="BM72" s="95">
        <f t="shared" si="93"/>
        <v>641.8032048784911</v>
      </c>
      <c r="BN72" s="95">
        <f t="shared" ref="BN72:BN101" si="105">AVERAGE(BM67:BM71)</f>
        <v>648.08659636994651</v>
      </c>
      <c r="BO72" s="95"/>
      <c r="BP72" s="95"/>
      <c r="BQ72" s="95"/>
      <c r="BR72" s="56">
        <f t="shared" si="94"/>
        <v>-2.045995534960543E-3</v>
      </c>
      <c r="BS72" s="134">
        <f>ABS(BN72-BM72)/BM72</f>
        <v>9.7902151994473177E-3</v>
      </c>
      <c r="BU72" s="2">
        <f t="shared" si="95"/>
        <v>1995</v>
      </c>
      <c r="BV72" s="95">
        <f t="shared" si="96"/>
        <v>819.25278661682466</v>
      </c>
      <c r="BW72" s="95">
        <f t="shared" ref="BW72:BW101" si="106">AVERAGE(BV67:BV71)</f>
        <v>1020.7822792437707</v>
      </c>
      <c r="BX72" s="95"/>
      <c r="BY72" s="95"/>
      <c r="BZ72" s="95"/>
      <c r="CA72" s="56">
        <f t="shared" si="97"/>
        <v>-2.8038742638394121E-2</v>
      </c>
      <c r="CB72" s="134">
        <f>ABS(BW72-BV72)/BV72</f>
        <v>0.24599183050591694</v>
      </c>
    </row>
    <row r="73" spans="1:80" ht="1" customHeight="1">
      <c r="A73" s="2">
        <v>1996</v>
      </c>
      <c r="B73" s="95">
        <v>945.29526507631454</v>
      </c>
      <c r="C73" s="95">
        <v>429.02943232597596</v>
      </c>
      <c r="D73" s="95">
        <v>1886.4501760315529</v>
      </c>
      <c r="E73" s="95">
        <v>643.31967045330816</v>
      </c>
      <c r="F73" s="95">
        <v>359.50475383969012</v>
      </c>
      <c r="G73" s="147">
        <v>1944.4645688006553</v>
      </c>
      <c r="H73" s="95">
        <v>639.54911097128013</v>
      </c>
      <c r="I73" s="95">
        <v>643.31967045330816</v>
      </c>
      <c r="J73" s="95">
        <v>719.8342149512639</v>
      </c>
      <c r="K73" s="95"/>
      <c r="L73" s="2"/>
      <c r="M73" s="2">
        <f t="shared" si="77"/>
        <v>1996</v>
      </c>
      <c r="N73" s="95">
        <f t="shared" si="72"/>
        <v>945.29526507631454</v>
      </c>
      <c r="O73" s="95">
        <f t="shared" si="98"/>
        <v>955.7409710685273</v>
      </c>
      <c r="P73" s="95"/>
      <c r="Q73" s="95"/>
      <c r="R73" s="95"/>
      <c r="S73" s="56">
        <f t="shared" si="78"/>
        <v>1.2091288786937326E-3</v>
      </c>
      <c r="T73" s="2">
        <f t="shared" si="79"/>
        <v>1996</v>
      </c>
      <c r="U73" s="95">
        <f t="shared" si="73"/>
        <v>429.02943232597596</v>
      </c>
      <c r="V73" s="95">
        <f t="shared" si="99"/>
        <v>440.60975613928065</v>
      </c>
      <c r="W73" s="95"/>
      <c r="X73" s="95"/>
      <c r="Y73" s="95"/>
      <c r="Z73" s="56">
        <f t="shared" si="80"/>
        <v>-1.590771417591208E-2</v>
      </c>
      <c r="AA73" s="2">
        <f t="shared" si="81"/>
        <v>1996</v>
      </c>
      <c r="AB73" s="95">
        <f t="shared" si="74"/>
        <v>1886.4501760315529</v>
      </c>
      <c r="AC73" s="95">
        <f t="shared" si="100"/>
        <v>1760.3795095769697</v>
      </c>
      <c r="AD73" s="95"/>
      <c r="AE73" s="95"/>
      <c r="AF73" s="95"/>
      <c r="AG73" s="56">
        <f t="shared" si="82"/>
        <v>1.0638925030730384E-2</v>
      </c>
      <c r="AH73" s="2">
        <f t="shared" si="83"/>
        <v>1996</v>
      </c>
      <c r="AI73" s="95">
        <f t="shared" si="75"/>
        <v>643.31967045330816</v>
      </c>
      <c r="AJ73" s="95">
        <f t="shared" si="101"/>
        <v>646.23778958038417</v>
      </c>
      <c r="AK73" s="95"/>
      <c r="AL73" s="95"/>
      <c r="AM73" s="95"/>
      <c r="AN73" s="56">
        <f t="shared" si="84"/>
        <v>2.3628201967362816E-3</v>
      </c>
      <c r="AO73" s="2">
        <f t="shared" si="85"/>
        <v>1996</v>
      </c>
      <c r="AP73" s="95">
        <f t="shared" si="76"/>
        <v>359.50475383969012</v>
      </c>
      <c r="AQ73" s="95">
        <f t="shared" si="102"/>
        <v>500.22670281495186</v>
      </c>
      <c r="AR73" s="95"/>
      <c r="AS73" s="95"/>
      <c r="AT73" s="95"/>
      <c r="AU73" s="56">
        <f t="shared" si="86"/>
        <v>-0.21911275579693534</v>
      </c>
      <c r="AV73" s="2">
        <f t="shared" si="87"/>
        <v>1996</v>
      </c>
      <c r="AW73" s="95">
        <f t="shared" si="88"/>
        <v>1944.4645688006553</v>
      </c>
      <c r="AX73" s="95">
        <f t="shared" si="103"/>
        <v>1361.5081483189847</v>
      </c>
      <c r="AY73" s="95"/>
      <c r="AZ73" s="95"/>
      <c r="BA73" s="95"/>
      <c r="BB73" s="56">
        <f t="shared" si="89"/>
        <v>-0.12659989524234505</v>
      </c>
      <c r="BC73" s="2">
        <f t="shared" si="90"/>
        <v>1996</v>
      </c>
      <c r="BD73" s="95">
        <f t="shared" si="71"/>
        <v>639.54911097128013</v>
      </c>
      <c r="BE73" s="95">
        <f t="shared" si="104"/>
        <v>657.78206649204287</v>
      </c>
      <c r="BF73" s="95"/>
      <c r="BG73" s="95"/>
      <c r="BH73" s="95"/>
      <c r="BI73" s="56">
        <f t="shared" si="91"/>
        <v>-1.3334589160150512E-2</v>
      </c>
      <c r="BJ73" s="134">
        <f t="shared" ref="BJ73:BJ101" si="107">ABS(BE73-BD73)/BD73</f>
        <v>2.850907804886546E-2</v>
      </c>
      <c r="BL73" s="2">
        <f t="shared" si="92"/>
        <v>1996</v>
      </c>
      <c r="BM73" s="95">
        <f t="shared" si="93"/>
        <v>643.31967045330816</v>
      </c>
      <c r="BN73" s="95">
        <f t="shared" si="105"/>
        <v>646.23778958038417</v>
      </c>
      <c r="BO73" s="95"/>
      <c r="BP73" s="95"/>
      <c r="BQ73" s="95"/>
      <c r="BR73" s="56">
        <f t="shared" si="94"/>
        <v>2.3628201967365037E-3</v>
      </c>
      <c r="BS73" s="134">
        <f t="shared" ref="BS73:BS101" si="108">ABS(BN73-BM73)/BM73</f>
        <v>4.5360328015771542E-3</v>
      </c>
      <c r="BU73" s="2">
        <f t="shared" si="95"/>
        <v>1996</v>
      </c>
      <c r="BV73" s="95">
        <f t="shared" si="96"/>
        <v>719.8342149512639</v>
      </c>
      <c r="BW73" s="95">
        <f t="shared" si="106"/>
        <v>772.33006690928983</v>
      </c>
      <c r="BX73" s="95"/>
      <c r="BY73" s="95"/>
      <c r="BZ73" s="95"/>
      <c r="CA73" s="56">
        <f t="shared" si="97"/>
        <v>-0.12135274153429298</v>
      </c>
      <c r="CB73" s="134">
        <f t="shared" ref="CB73:CB101" si="109">ABS(BW73-BV73)/BV73</f>
        <v>7.2927697611011907E-2</v>
      </c>
    </row>
    <row r="74" spans="1:80" ht="1" customHeight="1">
      <c r="A74" s="2">
        <v>1997</v>
      </c>
      <c r="B74" s="95">
        <v>948.65595927225559</v>
      </c>
      <c r="C74" s="95">
        <v>416.75833390406444</v>
      </c>
      <c r="D74" s="95">
        <v>1683.3507380977105</v>
      </c>
      <c r="E74" s="95">
        <v>643.9641745423329</v>
      </c>
      <c r="F74" s="95">
        <v>301.27099922284799</v>
      </c>
      <c r="G74" s="147">
        <v>2155.643029292647</v>
      </c>
      <c r="H74" s="95">
        <v>622.70386806506542</v>
      </c>
      <c r="I74" s="95">
        <v>643.96417454233301</v>
      </c>
      <c r="J74" s="95">
        <v>736.33751145195754</v>
      </c>
      <c r="K74" s="95"/>
      <c r="L74" s="2"/>
      <c r="M74" s="2">
        <f t="shared" si="77"/>
        <v>1997</v>
      </c>
      <c r="N74" s="95">
        <f t="shared" si="72"/>
        <v>948.65595927225559</v>
      </c>
      <c r="O74" s="95">
        <f t="shared" si="98"/>
        <v>952.02074690697407</v>
      </c>
      <c r="P74" s="95"/>
      <c r="Q74" s="95"/>
      <c r="R74" s="95"/>
      <c r="S74" s="56">
        <f t="shared" si="78"/>
        <v>3.5551793393038267E-3</v>
      </c>
      <c r="T74" s="2">
        <f t="shared" si="79"/>
        <v>1997</v>
      </c>
      <c r="U74" s="95">
        <f t="shared" si="73"/>
        <v>416.75833390406444</v>
      </c>
      <c r="V74" s="95">
        <f t="shared" si="99"/>
        <v>436.6815102323215</v>
      </c>
      <c r="W74" s="95"/>
      <c r="X74" s="95"/>
      <c r="Y74" s="95"/>
      <c r="Z74" s="56">
        <f t="shared" si="80"/>
        <v>-2.8601996733380153E-2</v>
      </c>
      <c r="AA74" s="2">
        <f t="shared" si="81"/>
        <v>1997</v>
      </c>
      <c r="AB74" s="95">
        <f t="shared" si="74"/>
        <v>1683.3507380977105</v>
      </c>
      <c r="AC74" s="95">
        <f t="shared" si="100"/>
        <v>1780.2510121814678</v>
      </c>
      <c r="AD74" s="95"/>
      <c r="AE74" s="95"/>
      <c r="AF74" s="95"/>
      <c r="AG74" s="56">
        <f t="shared" si="82"/>
        <v>-0.10766223275564812</v>
      </c>
      <c r="AH74" s="2">
        <f t="shared" si="83"/>
        <v>1997</v>
      </c>
      <c r="AI74" s="95">
        <f t="shared" si="75"/>
        <v>643.9641745423329</v>
      </c>
      <c r="AJ74" s="95">
        <f t="shared" si="101"/>
        <v>644.43031172518624</v>
      </c>
      <c r="AK74" s="95"/>
      <c r="AL74" s="95"/>
      <c r="AM74" s="95"/>
      <c r="AN74" s="56">
        <f t="shared" si="84"/>
        <v>1.0018411042376218E-3</v>
      </c>
      <c r="AO74" s="2">
        <f t="shared" si="85"/>
        <v>1997</v>
      </c>
      <c r="AP74" s="95">
        <f t="shared" si="76"/>
        <v>301.27099922284799</v>
      </c>
      <c r="AQ74" s="95">
        <f t="shared" si="102"/>
        <v>456.45798614879334</v>
      </c>
      <c r="AR74" s="95"/>
      <c r="AS74" s="95"/>
      <c r="AT74" s="95"/>
      <c r="AU74" s="56">
        <f t="shared" si="86"/>
        <v>-0.16198326724438716</v>
      </c>
      <c r="AV74" s="2">
        <f t="shared" si="87"/>
        <v>1997</v>
      </c>
      <c r="AW74" s="95">
        <f t="shared" si="88"/>
        <v>2155.643029292647</v>
      </c>
      <c r="AX74" s="95">
        <f t="shared" si="103"/>
        <v>1529.7852751613621</v>
      </c>
      <c r="AY74" s="95"/>
      <c r="AZ74" s="95"/>
      <c r="BA74" s="95"/>
      <c r="BB74" s="56">
        <f t="shared" si="89"/>
        <v>0.10860494137069643</v>
      </c>
      <c r="BC74" s="2">
        <f t="shared" si="90"/>
        <v>1997</v>
      </c>
      <c r="BD74" s="95">
        <f t="shared" si="71"/>
        <v>622.70386806506542</v>
      </c>
      <c r="BE74" s="95">
        <f t="shared" si="104"/>
        <v>649.04702514911673</v>
      </c>
      <c r="BF74" s="95"/>
      <c r="BG74" s="95"/>
      <c r="BH74" s="95"/>
      <c r="BI74" s="56">
        <f t="shared" si="91"/>
        <v>-2.6339248413045135E-2</v>
      </c>
      <c r="BJ74" s="134">
        <f t="shared" si="107"/>
        <v>4.2304469965647871E-2</v>
      </c>
      <c r="BL74" s="2">
        <f t="shared" si="92"/>
        <v>1997</v>
      </c>
      <c r="BM74" s="95">
        <f t="shared" si="93"/>
        <v>643.96417454233301</v>
      </c>
      <c r="BN74" s="95">
        <f t="shared" si="105"/>
        <v>644.43031172518624</v>
      </c>
      <c r="BO74" s="95"/>
      <c r="BP74" s="95"/>
      <c r="BQ74" s="95"/>
      <c r="BR74" s="56">
        <f t="shared" si="94"/>
        <v>1.0018411042378439E-3</v>
      </c>
      <c r="BS74" s="134">
        <f t="shared" si="108"/>
        <v>7.2385576912646719E-4</v>
      </c>
      <c r="BU74" s="2">
        <f t="shared" si="95"/>
        <v>1997</v>
      </c>
      <c r="BV74" s="95">
        <f t="shared" si="96"/>
        <v>736.33751145195754</v>
      </c>
      <c r="BW74" s="95">
        <f t="shared" si="106"/>
        <v>695.68112298178858</v>
      </c>
      <c r="BX74" s="95"/>
      <c r="BY74" s="95"/>
      <c r="BZ74" s="95"/>
      <c r="CA74" s="56">
        <f t="shared" si="97"/>
        <v>2.292652413279761E-2</v>
      </c>
      <c r="CB74" s="134">
        <f t="shared" si="109"/>
        <v>5.5214338313418376E-2</v>
      </c>
    </row>
    <row r="75" spans="1:80" ht="1" customHeight="1">
      <c r="A75" s="2">
        <v>1998</v>
      </c>
      <c r="B75" s="95">
        <v>952.43430990218337</v>
      </c>
      <c r="C75" s="95">
        <v>421.31869656313251</v>
      </c>
      <c r="D75" s="95">
        <v>1846.878941902278</v>
      </c>
      <c r="E75" s="95">
        <v>644.12105349988428</v>
      </c>
      <c r="F75" s="95">
        <v>297.31589164360508</v>
      </c>
      <c r="G75" s="147">
        <v>1688.8924272444212</v>
      </c>
      <c r="H75" s="95">
        <v>623.04897851031967</v>
      </c>
      <c r="I75" s="95">
        <v>644.12105349988417</v>
      </c>
      <c r="J75" s="95">
        <v>746.31829146792609</v>
      </c>
      <c r="K75" s="95"/>
      <c r="L75" s="2"/>
      <c r="M75" s="2">
        <f t="shared" si="77"/>
        <v>1998</v>
      </c>
      <c r="N75" s="95">
        <f t="shared" si="72"/>
        <v>952.43430990218337</v>
      </c>
      <c r="O75" s="95">
        <f t="shared" si="98"/>
        <v>948.7039644999586</v>
      </c>
      <c r="P75" s="95"/>
      <c r="Q75" s="95"/>
      <c r="R75" s="95"/>
      <c r="S75" s="56">
        <f t="shared" si="78"/>
        <v>3.982846039175536E-3</v>
      </c>
      <c r="T75" s="2">
        <f t="shared" si="79"/>
        <v>1998</v>
      </c>
      <c r="U75" s="95">
        <f t="shared" si="73"/>
        <v>421.31869656313251</v>
      </c>
      <c r="V75" s="95">
        <f t="shared" si="99"/>
        <v>431.28128277391443</v>
      </c>
      <c r="W75" s="95"/>
      <c r="X75" s="95"/>
      <c r="Y75" s="95"/>
      <c r="Z75" s="56">
        <f t="shared" si="80"/>
        <v>1.094246302490931E-2</v>
      </c>
      <c r="AA75" s="2">
        <f t="shared" si="81"/>
        <v>1998</v>
      </c>
      <c r="AB75" s="95">
        <f t="shared" si="74"/>
        <v>1846.878941902278</v>
      </c>
      <c r="AC75" s="95">
        <f t="shared" si="100"/>
        <v>1774.7461220911114</v>
      </c>
      <c r="AD75" s="95"/>
      <c r="AE75" s="95"/>
      <c r="AF75" s="95"/>
      <c r="AG75" s="56">
        <f t="shared" si="82"/>
        <v>9.7144463184995145E-2</v>
      </c>
      <c r="AH75" s="2">
        <f t="shared" si="83"/>
        <v>1998</v>
      </c>
      <c r="AI75" s="95">
        <f t="shared" si="75"/>
        <v>644.12105349988428</v>
      </c>
      <c r="AJ75" s="95">
        <f t="shared" si="101"/>
        <v>643.65380800172397</v>
      </c>
      <c r="AK75" s="95"/>
      <c r="AL75" s="95"/>
      <c r="AM75" s="95"/>
      <c r="AN75" s="56">
        <f t="shared" si="84"/>
        <v>2.436144179338573E-4</v>
      </c>
      <c r="AO75" s="2">
        <f t="shared" si="85"/>
        <v>1998</v>
      </c>
      <c r="AP75" s="95">
        <f t="shared" si="76"/>
        <v>297.31589164360508</v>
      </c>
      <c r="AQ75" s="95">
        <f t="shared" si="102"/>
        <v>408.22888159584153</v>
      </c>
      <c r="AR75" s="95"/>
      <c r="AS75" s="95"/>
      <c r="AT75" s="95"/>
      <c r="AU75" s="56">
        <f t="shared" si="86"/>
        <v>-1.312807269682581E-2</v>
      </c>
      <c r="AV75" s="2">
        <f t="shared" si="87"/>
        <v>1998</v>
      </c>
      <c r="AW75" s="95">
        <f t="shared" si="88"/>
        <v>1688.8924272444212</v>
      </c>
      <c r="AX75" s="95">
        <f t="shared" si="103"/>
        <v>1739.8167980831961</v>
      </c>
      <c r="AY75" s="95"/>
      <c r="AZ75" s="95"/>
      <c r="BA75" s="95"/>
      <c r="BB75" s="56">
        <f t="shared" si="89"/>
        <v>-0.21652499774110812</v>
      </c>
      <c r="BC75" s="2">
        <f t="shared" si="90"/>
        <v>1998</v>
      </c>
      <c r="BD75" s="95">
        <f t="shared" si="71"/>
        <v>623.04897851031967</v>
      </c>
      <c r="BE75" s="95">
        <f t="shared" si="104"/>
        <v>640.65452933308211</v>
      </c>
      <c r="BF75" s="95"/>
      <c r="BG75" s="95"/>
      <c r="BH75" s="95"/>
      <c r="BI75" s="56">
        <f t="shared" si="91"/>
        <v>5.5421278548761777E-4</v>
      </c>
      <c r="BJ75" s="134">
        <f t="shared" si="107"/>
        <v>2.825708961895174E-2</v>
      </c>
      <c r="BL75" s="2">
        <f t="shared" si="92"/>
        <v>1998</v>
      </c>
      <c r="BM75" s="95">
        <f t="shared" si="93"/>
        <v>644.12105349988417</v>
      </c>
      <c r="BN75" s="95">
        <f t="shared" si="105"/>
        <v>643.65380800172409</v>
      </c>
      <c r="BO75" s="95"/>
      <c r="BP75" s="95"/>
      <c r="BQ75" s="95"/>
      <c r="BR75" s="56">
        <f t="shared" si="94"/>
        <v>2.4361441793341321E-4</v>
      </c>
      <c r="BS75" s="134">
        <f t="shared" si="108"/>
        <v>7.254001334396163E-4</v>
      </c>
      <c r="BU75" s="2">
        <f t="shared" si="95"/>
        <v>1998</v>
      </c>
      <c r="BV75" s="95">
        <f t="shared" si="96"/>
        <v>746.31829146792609</v>
      </c>
      <c r="BW75" s="95">
        <f t="shared" si="106"/>
        <v>794.29767109578495</v>
      </c>
      <c r="BX75" s="95"/>
      <c r="BY75" s="95"/>
      <c r="BZ75" s="95"/>
      <c r="CA75" s="56">
        <f t="shared" si="97"/>
        <v>1.3554626595469577E-2</v>
      </c>
      <c r="CB75" s="134">
        <f t="shared" si="109"/>
        <v>6.4288092863821811E-2</v>
      </c>
    </row>
    <row r="76" spans="1:80" ht="1" customHeight="1">
      <c r="A76" s="2">
        <v>1999</v>
      </c>
      <c r="B76" s="95">
        <v>941.14772034854207</v>
      </c>
      <c r="C76" s="95">
        <v>417.30467807690286</v>
      </c>
      <c r="D76" s="95">
        <v>1618.4354074811358</v>
      </c>
      <c r="E76" s="95">
        <v>652.69700896469271</v>
      </c>
      <c r="F76" s="95">
        <v>350.63970828688053</v>
      </c>
      <c r="G76" s="147">
        <v>2136.01880207663</v>
      </c>
      <c r="H76" s="95">
        <v>601.31882950688919</v>
      </c>
      <c r="I76" s="95">
        <v>652.69700896469271</v>
      </c>
      <c r="J76" s="95">
        <v>654.14563534000865</v>
      </c>
      <c r="K76" s="95"/>
      <c r="L76" s="2"/>
      <c r="M76" s="2">
        <f t="shared" si="77"/>
        <v>1999</v>
      </c>
      <c r="N76" s="95">
        <f t="shared" si="72"/>
        <v>941.14772034854207</v>
      </c>
      <c r="O76" s="95">
        <f t="shared" si="98"/>
        <v>948.73142739527702</v>
      </c>
      <c r="P76" s="95">
        <f t="shared" ref="P76:P102" si="110">SQRT(SUMXMY2(N71:N75,O72:O76)/5)</f>
        <v>6.7135006927374929</v>
      </c>
      <c r="Q76" s="95">
        <f t="shared" ref="Q76:Q102" si="111">O76-P76*_xlfn.NORM.S.INV(1-Q$1/2)</f>
        <v>935.57320782732688</v>
      </c>
      <c r="R76" s="95">
        <f t="shared" ref="R76:R102" si="112">O76+P76*_xlfn.NORM.S.INV(1-Q$1/2)</f>
        <v>961.88964696322716</v>
      </c>
      <c r="S76" s="56">
        <f t="shared" si="78"/>
        <v>-1.1850255116072517E-2</v>
      </c>
      <c r="T76" s="2">
        <f t="shared" si="79"/>
        <v>1999</v>
      </c>
      <c r="U76" s="95">
        <f t="shared" si="73"/>
        <v>417.30467807690286</v>
      </c>
      <c r="V76" s="95">
        <f t="shared" si="99"/>
        <v>427.08336819051726</v>
      </c>
      <c r="W76" s="95">
        <f t="shared" ref="W76:W102" si="113">SQRT(SUMXMY2(U71:U75,V72:V76)/5)</f>
        <v>9.2280849390317048</v>
      </c>
      <c r="X76" s="95">
        <f t="shared" ref="X76:X102" si="114">V76-W76*_xlfn.NORM.S.INV(1-X$1/2)</f>
        <v>408.99665406373862</v>
      </c>
      <c r="Y76" s="95">
        <f t="shared" ref="Y76:Y102" si="115">V76+W76*_xlfn.NORM.S.INV(1-X$1/2)</f>
        <v>445.17008231729591</v>
      </c>
      <c r="Z76" s="56">
        <f t="shared" si="80"/>
        <v>-9.5272735792967245E-3</v>
      </c>
      <c r="AA76" s="2">
        <f t="shared" si="81"/>
        <v>1999</v>
      </c>
      <c r="AB76" s="95">
        <f t="shared" si="74"/>
        <v>1618.4354074811358</v>
      </c>
      <c r="AC76" s="95">
        <f t="shared" si="100"/>
        <v>1808.3441379113847</v>
      </c>
      <c r="AD76" s="95">
        <f t="shared" ref="AD76:AD102" si="116">SQRT(SUMXMY2(AB71:AB75,AC72:AC76)/5)</f>
        <v>80.546531363036081</v>
      </c>
      <c r="AE76" s="95">
        <f t="shared" ref="AE76:AE102" si="117">AC76-AD76*_xlfn.NORM.S.INV(1-AE$1/2)</f>
        <v>1650.4758373602081</v>
      </c>
      <c r="AF76" s="95">
        <f t="shared" ref="AF76:AF102" si="118">AC76+AD76*_xlfn.NORM.S.INV(1-AE$1/2)</f>
        <v>1966.2124384625613</v>
      </c>
      <c r="AG76" s="56">
        <f t="shared" si="82"/>
        <v>-0.12369166664808373</v>
      </c>
      <c r="AH76" s="2">
        <f t="shared" si="83"/>
        <v>1999</v>
      </c>
      <c r="AI76" s="95">
        <f t="shared" si="75"/>
        <v>652.69700896469271</v>
      </c>
      <c r="AJ76" s="95">
        <f t="shared" si="101"/>
        <v>643.26542538061926</v>
      </c>
      <c r="AK76" s="95">
        <f t="shared" ref="AK76:AK102" si="119">SQRT(SUMXMY2(AI71:AI75,AJ72:AJ76)/5)</f>
        <v>3.0464494845766121</v>
      </c>
      <c r="AL76" s="95">
        <f t="shared" ref="AL76:AL102" si="120">AJ76-AK76*_xlfn.NORM.S.INV(1-AL$1/2)</f>
        <v>637.29449411012854</v>
      </c>
      <c r="AM76" s="95">
        <f t="shared" ref="AM76:AM102" si="121">AJ76+AK76*_xlfn.NORM.S.INV(1-AL$1/2)</f>
        <v>649.23635665110999</v>
      </c>
      <c r="AN76" s="56">
        <f t="shared" si="84"/>
        <v>1.3314198345497852E-2</v>
      </c>
      <c r="AO76" s="2">
        <f t="shared" si="85"/>
        <v>1999</v>
      </c>
      <c r="AP76" s="95">
        <f t="shared" si="76"/>
        <v>350.63970828688053</v>
      </c>
      <c r="AQ76" s="95">
        <f t="shared" si="102"/>
        <v>371.12881169315403</v>
      </c>
      <c r="AR76" s="95">
        <f t="shared" ref="AR76:AR102" si="122">SQRT(SUMXMY2(AP71:AP75,AQ72:AQ76)/5)</f>
        <v>107.6117124197765</v>
      </c>
      <c r="AS76" s="95">
        <f t="shared" ref="AS76:AS102" si="123">AQ76-AR76*_xlfn.NORM.S.INV(1-AS$1/2)</f>
        <v>160.21373103571051</v>
      </c>
      <c r="AT76" s="95">
        <f t="shared" ref="AT76:AT102" si="124">AQ76+AR76*_xlfn.NORM.S.INV(1-AS$1/2)</f>
        <v>582.04389235059762</v>
      </c>
      <c r="AU76" s="56">
        <f t="shared" si="86"/>
        <v>0.1793507112872228</v>
      </c>
      <c r="AV76" s="2">
        <f t="shared" si="87"/>
        <v>1999</v>
      </c>
      <c r="AW76" s="95">
        <f t="shared" si="88"/>
        <v>2136.01880207663</v>
      </c>
      <c r="AX76" s="95">
        <f t="shared" si="103"/>
        <v>1880.7921660254183</v>
      </c>
      <c r="AY76" s="95">
        <f t="shared" ref="AY76:AY102" si="125">SQRT(SUMXMY2(AW71:AW75,AX72:AX76)/5)</f>
        <v>476.06723286509532</v>
      </c>
      <c r="AZ76" s="95">
        <f t="shared" ref="AZ76:AZ102" si="126">AX76-AY76*_xlfn.NORM.S.INV(1-AZ$1/2)</f>
        <v>947.71753539018846</v>
      </c>
      <c r="BA76" s="95">
        <f t="shared" ref="BA76:BA102" si="127">AX76+AY76*_xlfn.NORM.S.INV(1-AZ$1/2)</f>
        <v>2813.8667966606481</v>
      </c>
      <c r="BB76" s="56">
        <f t="shared" si="89"/>
        <v>0.26474532517250693</v>
      </c>
      <c r="BC76" s="2">
        <f t="shared" si="90"/>
        <v>1999</v>
      </c>
      <c r="BD76" s="95">
        <f t="shared" si="71"/>
        <v>601.31882950688919</v>
      </c>
      <c r="BE76" s="95">
        <f t="shared" si="104"/>
        <v>635.87482692653703</v>
      </c>
      <c r="BF76" s="95">
        <f t="shared" ref="BF76:BF102" si="128">SQRT(SUMXMY2(BD71:BD75,BE72:BE76)/5)</f>
        <v>14.335982967963897</v>
      </c>
      <c r="BG76" s="95">
        <f t="shared" ref="BG76:BG102" si="129">BE76-BF76*_xlfn.NORM.S.INV(1-BG$1/2)</f>
        <v>607.77681662634814</v>
      </c>
      <c r="BH76" s="95">
        <f t="shared" ref="BH76:BH102" si="130">BE76+BF76*_xlfn.NORM.S.INV(1-BG$1/2)</f>
        <v>663.97283722672591</v>
      </c>
      <c r="BI76" s="56">
        <f t="shared" si="91"/>
        <v>-3.487711199749699E-2</v>
      </c>
      <c r="BJ76" s="134">
        <f t="shared" si="107"/>
        <v>5.7467013710489401E-2</v>
      </c>
      <c r="BL76" s="2">
        <f t="shared" si="92"/>
        <v>1999</v>
      </c>
      <c r="BM76" s="95">
        <f t="shared" si="93"/>
        <v>652.69700896469271</v>
      </c>
      <c r="BN76" s="95">
        <f t="shared" si="105"/>
        <v>643.26542538061926</v>
      </c>
      <c r="BO76" s="95">
        <f t="shared" ref="BO76:BO101" si="131">SQRT(SUMXMY2(BM71:BM75,BN72:BN76)/5)</f>
        <v>3.0464494845766392</v>
      </c>
      <c r="BP76" s="95">
        <f t="shared" ref="BP76:BP102" si="132">BN76-BO76*_xlfn.NORM.S.INV(1-BP$1/2)</f>
        <v>637.29449411012843</v>
      </c>
      <c r="BQ76" s="95">
        <f t="shared" ref="BQ76:BQ102" si="133">BN76+BO76*_xlfn.NORM.S.INV(1-BP$1/2)</f>
        <v>649.2363566511101</v>
      </c>
      <c r="BR76" s="56">
        <f t="shared" si="94"/>
        <v>1.3314198345497852E-2</v>
      </c>
      <c r="BS76" s="134">
        <f t="shared" si="108"/>
        <v>1.4450171296224903E-2</v>
      </c>
      <c r="BU76" s="2">
        <f t="shared" si="95"/>
        <v>1999</v>
      </c>
      <c r="BV76" s="95">
        <f t="shared" si="96"/>
        <v>654.14563534000865</v>
      </c>
      <c r="BW76" s="95">
        <f t="shared" si="106"/>
        <v>772.9258123902498</v>
      </c>
      <c r="BX76" s="95">
        <f t="shared" ref="BX76:BX101" si="134">SQRT(SUMXMY2(BV71:BV75,BW72:BW76)/5)</f>
        <v>87.74901517092222</v>
      </c>
      <c r="BY76" s="95">
        <f t="shared" ref="BY76:BY102" si="135">BW76-BX76*_xlfn.NORM.S.INV(1-BY$1/2)</f>
        <v>600.94090297638354</v>
      </c>
      <c r="BZ76" s="95">
        <f t="shared" ref="BZ76:BZ102" si="136">BW76+BX76*_xlfn.NORM.S.INV(1-BY$1/2)</f>
        <v>944.91072180411606</v>
      </c>
      <c r="CA76" s="56">
        <f t="shared" si="97"/>
        <v>-0.12350314494721004</v>
      </c>
      <c r="CB76" s="134">
        <f t="shared" si="109"/>
        <v>0.18158063072377173</v>
      </c>
    </row>
    <row r="77" spans="1:80" ht="15.5">
      <c r="A77" s="2">
        <v>2000</v>
      </c>
      <c r="B77" s="95">
        <v>931.84456194650988</v>
      </c>
      <c r="C77" s="95">
        <v>404.37039300625577</v>
      </c>
      <c r="D77" s="95">
        <v>1503.7180558539151</v>
      </c>
      <c r="E77" s="95">
        <v>677.48032781409177</v>
      </c>
      <c r="F77" s="95">
        <v>232.85956544645882</v>
      </c>
      <c r="G77" s="147">
        <v>1183.7086141651966</v>
      </c>
      <c r="H77" s="95">
        <v>589.56042615346337</v>
      </c>
      <c r="I77" s="95">
        <v>673.79494695303572</v>
      </c>
      <c r="J77" s="95">
        <v>602.04654174626285</v>
      </c>
      <c r="K77" s="95"/>
      <c r="L77" s="2"/>
      <c r="M77" s="2">
        <f t="shared" si="77"/>
        <v>2000</v>
      </c>
      <c r="N77" s="95">
        <f t="shared" si="72"/>
        <v>931.84456194650988</v>
      </c>
      <c r="O77" s="95">
        <f t="shared" si="98"/>
        <v>946.33738324348474</v>
      </c>
      <c r="P77" s="95">
        <f t="shared" si="110"/>
        <v>6.6354214708462438</v>
      </c>
      <c r="Q77" s="95">
        <f t="shared" si="111"/>
        <v>933.3321961383823</v>
      </c>
      <c r="R77" s="95">
        <f t="shared" si="112"/>
        <v>959.34257034858717</v>
      </c>
      <c r="S77" s="56">
        <f t="shared" si="78"/>
        <v>-9.8849077577183309E-3</v>
      </c>
      <c r="T77" s="2">
        <f t="shared" si="79"/>
        <v>2000</v>
      </c>
      <c r="U77" s="95">
        <f t="shared" si="73"/>
        <v>404.37039300625577</v>
      </c>
      <c r="V77" s="95">
        <f t="shared" si="99"/>
        <v>424.07515479404299</v>
      </c>
      <c r="W77" s="95">
        <f t="shared" si="113"/>
        <v>8.6037003917934207</v>
      </c>
      <c r="X77" s="95">
        <f t="shared" si="114"/>
        <v>407.21221189235473</v>
      </c>
      <c r="Y77" s="95">
        <f t="shared" si="115"/>
        <v>440.93809769573124</v>
      </c>
      <c r="Z77" s="56">
        <f t="shared" si="80"/>
        <v>-3.0994824046193692E-2</v>
      </c>
      <c r="AA77" s="2">
        <f t="shared" si="81"/>
        <v>2000</v>
      </c>
      <c r="AB77" s="95">
        <f t="shared" si="74"/>
        <v>1503.7180558539151</v>
      </c>
      <c r="AC77" s="95">
        <f t="shared" si="100"/>
        <v>1780.3413821888437</v>
      </c>
      <c r="AD77" s="95">
        <f t="shared" si="116"/>
        <v>108.26899150732537</v>
      </c>
      <c r="AE77" s="95">
        <f t="shared" si="117"/>
        <v>1568.138058192013</v>
      </c>
      <c r="AF77" s="95">
        <f t="shared" si="118"/>
        <v>1992.5447061856744</v>
      </c>
      <c r="AG77" s="56">
        <f t="shared" si="82"/>
        <v>-7.0881637349841431E-2</v>
      </c>
      <c r="AH77" s="2">
        <f t="shared" si="83"/>
        <v>2000</v>
      </c>
      <c r="AI77" s="95">
        <f t="shared" si="75"/>
        <v>677.48032781409177</v>
      </c>
      <c r="AJ77" s="95">
        <f t="shared" si="101"/>
        <v>645.18102246774197</v>
      </c>
      <c r="AK77" s="95">
        <f t="shared" si="119"/>
        <v>3.9551876163695319</v>
      </c>
      <c r="AL77" s="95">
        <f t="shared" si="120"/>
        <v>637.42899718755882</v>
      </c>
      <c r="AM77" s="95">
        <f t="shared" si="121"/>
        <v>652.93304774792512</v>
      </c>
      <c r="AN77" s="56">
        <f t="shared" si="84"/>
        <v>3.7970633401109621E-2</v>
      </c>
      <c r="AO77" s="2">
        <f t="shared" si="85"/>
        <v>2000</v>
      </c>
      <c r="AP77" s="95">
        <f t="shared" si="76"/>
        <v>232.85956544645882</v>
      </c>
      <c r="AQ77" s="95">
        <f t="shared" si="102"/>
        <v>353.82224097934335</v>
      </c>
      <c r="AR77" s="95">
        <f t="shared" si="122"/>
        <v>74.680874479376342</v>
      </c>
      <c r="AS77" s="95">
        <f t="shared" si="123"/>
        <v>207.45041666580929</v>
      </c>
      <c r="AT77" s="95">
        <f t="shared" si="124"/>
        <v>500.19406529287744</v>
      </c>
      <c r="AU77" s="56">
        <f t="shared" si="86"/>
        <v>-0.33590075526773577</v>
      </c>
      <c r="AV77" s="2">
        <f t="shared" si="87"/>
        <v>2000</v>
      </c>
      <c r="AW77" s="95">
        <f t="shared" si="88"/>
        <v>1183.7086141651966</v>
      </c>
      <c r="AX77" s="95">
        <f t="shared" si="103"/>
        <v>2030.2669520129871</v>
      </c>
      <c r="AY77" s="95">
        <f t="shared" si="125"/>
        <v>477.65507189009634</v>
      </c>
      <c r="AZ77" s="95">
        <f t="shared" si="126"/>
        <v>1094.0802140755081</v>
      </c>
      <c r="BA77" s="95">
        <f t="shared" si="127"/>
        <v>2966.453689950466</v>
      </c>
      <c r="BB77" s="56">
        <f t="shared" si="89"/>
        <v>-0.44583417851266138</v>
      </c>
      <c r="BC77" s="2">
        <f t="shared" si="90"/>
        <v>2000</v>
      </c>
      <c r="BD77" s="95">
        <f t="shared" si="71"/>
        <v>589.56042615346337</v>
      </c>
      <c r="BE77" s="95">
        <f t="shared" si="104"/>
        <v>626.96265571925017</v>
      </c>
      <c r="BF77" s="95">
        <f t="shared" si="128"/>
        <v>16.288061712820937</v>
      </c>
      <c r="BG77" s="95">
        <f t="shared" si="129"/>
        <v>595.03864138415531</v>
      </c>
      <c r="BH77" s="95">
        <f t="shared" si="130"/>
        <v>658.88667005434502</v>
      </c>
      <c r="BI77" s="56">
        <f t="shared" si="91"/>
        <v>-1.9554357482981621E-2</v>
      </c>
      <c r="BJ77" s="134">
        <f t="shared" si="107"/>
        <v>6.3440875449891451E-2</v>
      </c>
      <c r="BL77" s="2">
        <f t="shared" si="92"/>
        <v>2000</v>
      </c>
      <c r="BM77" s="95">
        <f t="shared" si="93"/>
        <v>673.79494695303572</v>
      </c>
      <c r="BN77" s="95">
        <f t="shared" si="105"/>
        <v>645.18102246774174</v>
      </c>
      <c r="BO77" s="95">
        <f t="shared" si="131"/>
        <v>3.9551876163696393</v>
      </c>
      <c r="BP77" s="95">
        <f t="shared" si="132"/>
        <v>637.42899718755848</v>
      </c>
      <c r="BQ77" s="95">
        <f t="shared" si="133"/>
        <v>652.933047747925</v>
      </c>
      <c r="BR77" s="56">
        <f t="shared" si="94"/>
        <v>3.2324244938411129E-2</v>
      </c>
      <c r="BS77" s="134">
        <f t="shared" si="108"/>
        <v>4.2466813701540568E-2</v>
      </c>
      <c r="BU77" s="2">
        <f t="shared" si="95"/>
        <v>2000</v>
      </c>
      <c r="BV77" s="95">
        <f t="shared" si="96"/>
        <v>602.04654174626285</v>
      </c>
      <c r="BW77" s="95">
        <f t="shared" si="106"/>
        <v>735.17768796559608</v>
      </c>
      <c r="BX77" s="95">
        <f t="shared" si="134"/>
        <v>51.804724311058031</v>
      </c>
      <c r="BY77" s="95">
        <f t="shared" si="135"/>
        <v>633.64229408689584</v>
      </c>
      <c r="BZ77" s="95">
        <f t="shared" si="136"/>
        <v>836.71308184429631</v>
      </c>
      <c r="CA77" s="56">
        <f t="shared" si="97"/>
        <v>-7.9644487066960257E-2</v>
      </c>
      <c r="CB77" s="134">
        <f t="shared" si="109"/>
        <v>0.2211309873704787</v>
      </c>
    </row>
    <row r="78" spans="1:80" ht="1" customHeight="1">
      <c r="A78" s="2">
        <v>2001</v>
      </c>
      <c r="B78" s="95">
        <v>968.34494321509908</v>
      </c>
      <c r="C78" s="95">
        <v>381.64943331383364</v>
      </c>
      <c r="D78" s="95">
        <v>1375.1051076098427</v>
      </c>
      <c r="E78" s="95">
        <v>685.37169778593989</v>
      </c>
      <c r="F78" s="95">
        <v>241.98337029820817</v>
      </c>
      <c r="G78" s="147">
        <v>1017.7636856831163</v>
      </c>
      <c r="H78" s="95">
        <v>586.8215774179946</v>
      </c>
      <c r="I78" s="95">
        <v>695.2059884167287</v>
      </c>
      <c r="J78" s="95">
        <v>572.39896666948607</v>
      </c>
      <c r="K78" s="95"/>
      <c r="L78" s="2"/>
      <c r="M78" s="2">
        <f t="shared" si="77"/>
        <v>2001</v>
      </c>
      <c r="N78" s="95">
        <f t="shared" si="72"/>
        <v>968.34494321509908</v>
      </c>
      <c r="O78" s="95">
        <f t="shared" si="98"/>
        <v>943.87556330916107</v>
      </c>
      <c r="P78" s="95">
        <f t="shared" si="110"/>
        <v>6.7915144698017205</v>
      </c>
      <c r="Q78" s="95">
        <f t="shared" si="111"/>
        <v>930.5644395478671</v>
      </c>
      <c r="R78" s="95">
        <f t="shared" si="112"/>
        <v>957.18668707045504</v>
      </c>
      <c r="S78" s="56">
        <f t="shared" si="78"/>
        <v>3.9170031955055196E-2</v>
      </c>
      <c r="T78" s="2">
        <f t="shared" si="79"/>
        <v>2001</v>
      </c>
      <c r="U78" s="95">
        <f t="shared" si="73"/>
        <v>381.64943331383364</v>
      </c>
      <c r="V78" s="95">
        <f t="shared" si="99"/>
        <v>417.75630677526635</v>
      </c>
      <c r="W78" s="95">
        <f t="shared" si="113"/>
        <v>10.273498153417433</v>
      </c>
      <c r="X78" s="95">
        <f t="shared" si="114"/>
        <v>397.62062039932943</v>
      </c>
      <c r="Y78" s="95">
        <f t="shared" si="115"/>
        <v>437.89199315120328</v>
      </c>
      <c r="Z78" s="56">
        <f t="shared" si="80"/>
        <v>-5.618848482824168E-2</v>
      </c>
      <c r="AA78" s="2">
        <f t="shared" si="81"/>
        <v>2001</v>
      </c>
      <c r="AB78" s="95">
        <f t="shared" si="74"/>
        <v>1375.1051076098427</v>
      </c>
      <c r="AC78" s="95">
        <f t="shared" si="100"/>
        <v>1707.7666638733183</v>
      </c>
      <c r="AD78" s="95">
        <f t="shared" si="116"/>
        <v>133.39092084327478</v>
      </c>
      <c r="AE78" s="95">
        <f t="shared" si="117"/>
        <v>1446.3252631558667</v>
      </c>
      <c r="AF78" s="95">
        <f t="shared" si="118"/>
        <v>1969.2080645907699</v>
      </c>
      <c r="AG78" s="56">
        <f t="shared" si="82"/>
        <v>-8.5529962045336361E-2</v>
      </c>
      <c r="AH78" s="2">
        <f t="shared" si="83"/>
        <v>2001</v>
      </c>
      <c r="AI78" s="95">
        <f t="shared" si="75"/>
        <v>685.37169778593989</v>
      </c>
      <c r="AJ78" s="95">
        <f t="shared" si="101"/>
        <v>652.31644705486201</v>
      </c>
      <c r="AK78" s="95">
        <f t="shared" si="119"/>
        <v>11.762422359275192</v>
      </c>
      <c r="AL78" s="95">
        <f t="shared" si="120"/>
        <v>629.26252285973396</v>
      </c>
      <c r="AM78" s="95">
        <f t="shared" si="121"/>
        <v>675.37037124999006</v>
      </c>
      <c r="AN78" s="56">
        <f t="shared" si="84"/>
        <v>1.1648116776039608E-2</v>
      </c>
      <c r="AO78" s="2">
        <f t="shared" si="85"/>
        <v>2001</v>
      </c>
      <c r="AP78" s="95">
        <f t="shared" si="76"/>
        <v>241.98337029820817</v>
      </c>
      <c r="AQ78" s="95">
        <f t="shared" si="102"/>
        <v>308.31818368789652</v>
      </c>
      <c r="AR78" s="95">
        <f t="shared" si="122"/>
        <v>79.990495190847255</v>
      </c>
      <c r="AS78" s="95">
        <f t="shared" si="123"/>
        <v>151.53969400831153</v>
      </c>
      <c r="AT78" s="95">
        <f t="shared" si="124"/>
        <v>465.09667336748151</v>
      </c>
      <c r="AU78" s="56">
        <f t="shared" si="86"/>
        <v>3.9181576390286521E-2</v>
      </c>
      <c r="AV78" s="2">
        <f t="shared" si="87"/>
        <v>2001</v>
      </c>
      <c r="AW78" s="95">
        <f t="shared" si="88"/>
        <v>1017.7636856831163</v>
      </c>
      <c r="AX78" s="95">
        <f t="shared" si="103"/>
        <v>1821.7454883159098</v>
      </c>
      <c r="AY78" s="95">
        <f t="shared" si="125"/>
        <v>399.99259679327821</v>
      </c>
      <c r="AZ78" s="95">
        <f t="shared" si="126"/>
        <v>1037.7744045184331</v>
      </c>
      <c r="BA78" s="95">
        <f t="shared" si="127"/>
        <v>2605.7165721133865</v>
      </c>
      <c r="BB78" s="56">
        <f t="shared" si="89"/>
        <v>-0.14019069093208558</v>
      </c>
      <c r="BC78" s="2">
        <f t="shared" si="90"/>
        <v>2001</v>
      </c>
      <c r="BD78" s="95">
        <f t="shared" si="71"/>
        <v>586.8215774179946</v>
      </c>
      <c r="BE78" s="95">
        <f t="shared" si="104"/>
        <v>615.23624264140358</v>
      </c>
      <c r="BF78" s="95">
        <f t="shared" si="128"/>
        <v>19.461718199668621</v>
      </c>
      <c r="BG78" s="95">
        <f t="shared" si="129"/>
        <v>577.0919758927854</v>
      </c>
      <c r="BH78" s="95">
        <f t="shared" si="130"/>
        <v>653.38050939002176</v>
      </c>
      <c r="BI78" s="56">
        <f t="shared" si="91"/>
        <v>-4.6455776439034979E-3</v>
      </c>
      <c r="BJ78" s="134">
        <f t="shared" si="107"/>
        <v>4.8421302686982026E-2</v>
      </c>
      <c r="BL78" s="2">
        <f t="shared" si="92"/>
        <v>2001</v>
      </c>
      <c r="BM78" s="95">
        <f t="shared" si="93"/>
        <v>695.2059884167287</v>
      </c>
      <c r="BN78" s="95">
        <f t="shared" si="105"/>
        <v>651.57937088265078</v>
      </c>
      <c r="BO78" s="95">
        <f t="shared" si="131"/>
        <v>10.507938180863215</v>
      </c>
      <c r="BP78" s="95">
        <f t="shared" si="132"/>
        <v>630.98419049638551</v>
      </c>
      <c r="BQ78" s="95">
        <f t="shared" si="133"/>
        <v>672.17455126891605</v>
      </c>
      <c r="BR78" s="56">
        <f t="shared" si="94"/>
        <v>3.1776791382178926E-2</v>
      </c>
      <c r="BS78" s="134">
        <f t="shared" si="108"/>
        <v>6.2753512284083976E-2</v>
      </c>
      <c r="BU78" s="2">
        <f t="shared" si="95"/>
        <v>2001</v>
      </c>
      <c r="BV78" s="95">
        <f t="shared" si="96"/>
        <v>572.39896666948607</v>
      </c>
      <c r="BW78" s="95">
        <f t="shared" si="106"/>
        <v>691.73643899148374</v>
      </c>
      <c r="BX78" s="95">
        <f t="shared" si="134"/>
        <v>62.066389209990362</v>
      </c>
      <c r="BY78" s="95">
        <f t="shared" si="135"/>
        <v>570.08855148945725</v>
      </c>
      <c r="BZ78" s="95">
        <f t="shared" si="136"/>
        <v>813.38432649351023</v>
      </c>
      <c r="CA78" s="56">
        <f t="shared" si="97"/>
        <v>-4.9244656386170149E-2</v>
      </c>
      <c r="CB78" s="134">
        <f t="shared" si="109"/>
        <v>0.20848652648058563</v>
      </c>
    </row>
    <row r="79" spans="1:80" ht="1" customHeight="1">
      <c r="A79" s="2">
        <v>2002</v>
      </c>
      <c r="B79" s="95">
        <v>986.47686767821824</v>
      </c>
      <c r="C79" s="95">
        <v>408.0280973110344</v>
      </c>
      <c r="D79" s="95">
        <v>1409.4545665224014</v>
      </c>
      <c r="E79" s="95">
        <v>646.09187504254942</v>
      </c>
      <c r="F79" s="95">
        <v>182.4992216575435</v>
      </c>
      <c r="G79" s="147">
        <v>891.258135050806</v>
      </c>
      <c r="H79" s="95">
        <v>600.62338583788278</v>
      </c>
      <c r="I79" s="95">
        <v>654.57280049904807</v>
      </c>
      <c r="J79" s="95">
        <v>552.45296634355157</v>
      </c>
      <c r="K79" s="95"/>
      <c r="L79" s="2"/>
      <c r="M79" s="2">
        <f t="shared" si="77"/>
        <v>2002</v>
      </c>
      <c r="N79" s="95">
        <f t="shared" si="72"/>
        <v>986.47686767821824</v>
      </c>
      <c r="O79" s="95">
        <f t="shared" si="98"/>
        <v>948.48549893691802</v>
      </c>
      <c r="P79" s="95">
        <f t="shared" si="110"/>
        <v>10.768368169330742</v>
      </c>
      <c r="Q79" s="95">
        <f t="shared" si="111"/>
        <v>927.3798851527622</v>
      </c>
      <c r="R79" s="95">
        <f t="shared" si="112"/>
        <v>969.59111272107384</v>
      </c>
      <c r="S79" s="56">
        <f t="shared" si="78"/>
        <v>1.8724654463436963E-2</v>
      </c>
      <c r="T79" s="2">
        <f t="shared" si="79"/>
        <v>2002</v>
      </c>
      <c r="U79" s="95">
        <f t="shared" si="73"/>
        <v>408.0280973110344</v>
      </c>
      <c r="V79" s="95">
        <f t="shared" si="99"/>
        <v>408.28030697283782</v>
      </c>
      <c r="W79" s="95">
        <f t="shared" si="113"/>
        <v>15.351696695143623</v>
      </c>
      <c r="X79" s="95">
        <f t="shared" si="114"/>
        <v>378.19153434877376</v>
      </c>
      <c r="Y79" s="95">
        <f t="shared" si="115"/>
        <v>438.36907959690188</v>
      </c>
      <c r="Z79" s="56">
        <f t="shared" si="80"/>
        <v>6.9117524342055869E-2</v>
      </c>
      <c r="AA79" s="2">
        <f t="shared" si="81"/>
        <v>2002</v>
      </c>
      <c r="AB79" s="95">
        <f t="shared" si="74"/>
        <v>1409.4545665224014</v>
      </c>
      <c r="AC79" s="95">
        <f t="shared" si="100"/>
        <v>1605.4976501889764</v>
      </c>
      <c r="AD79" s="95">
        <f t="shared" si="116"/>
        <v>161.7208397768851</v>
      </c>
      <c r="AE79" s="95">
        <f t="shared" si="117"/>
        <v>1288.5306286767091</v>
      </c>
      <c r="AF79" s="95">
        <f t="shared" si="118"/>
        <v>1922.4646717012438</v>
      </c>
      <c r="AG79" s="56">
        <f t="shared" si="82"/>
        <v>2.4979515182125711E-2</v>
      </c>
      <c r="AH79" s="2">
        <f t="shared" si="83"/>
        <v>2002</v>
      </c>
      <c r="AI79" s="95">
        <f t="shared" si="75"/>
        <v>646.09187504254942</v>
      </c>
      <c r="AJ79" s="95">
        <f t="shared" si="101"/>
        <v>660.72685252138831</v>
      </c>
      <c r="AK79" s="95">
        <f t="shared" si="119"/>
        <v>16.111534829858861</v>
      </c>
      <c r="AL79" s="95">
        <f t="shared" si="120"/>
        <v>629.14882451920232</v>
      </c>
      <c r="AM79" s="95">
        <f t="shared" si="121"/>
        <v>692.3048805235743</v>
      </c>
      <c r="AN79" s="56">
        <f t="shared" si="84"/>
        <v>-5.7311708187370525E-2</v>
      </c>
      <c r="AO79" s="2">
        <f t="shared" si="85"/>
        <v>2002</v>
      </c>
      <c r="AP79" s="95">
        <f t="shared" si="76"/>
        <v>182.4992216575435</v>
      </c>
      <c r="AQ79" s="95">
        <f t="shared" si="102"/>
        <v>284.81390697960012</v>
      </c>
      <c r="AR79" s="95">
        <f t="shared" si="122"/>
        <v>69.895525209583937</v>
      </c>
      <c r="AS79" s="95">
        <f t="shared" si="123"/>
        <v>147.82119488830423</v>
      </c>
      <c r="AT79" s="95">
        <f t="shared" si="124"/>
        <v>421.80661907089598</v>
      </c>
      <c r="AU79" s="56">
        <f t="shared" si="86"/>
        <v>-0.24581915925610665</v>
      </c>
      <c r="AV79" s="2">
        <f t="shared" si="87"/>
        <v>2002</v>
      </c>
      <c r="AW79" s="95">
        <f t="shared" si="88"/>
        <v>891.258135050806</v>
      </c>
      <c r="AX79" s="95">
        <f t="shared" si="103"/>
        <v>1636.4053116924019</v>
      </c>
      <c r="AY79" s="95">
        <f t="shared" si="125"/>
        <v>449.60625714181953</v>
      </c>
      <c r="AZ79" s="95">
        <f t="shared" si="126"/>
        <v>755.19324047058137</v>
      </c>
      <c r="BA79" s="95">
        <f t="shared" si="127"/>
        <v>2517.6173829142226</v>
      </c>
      <c r="BB79" s="56">
        <f t="shared" si="89"/>
        <v>-0.12429756770836298</v>
      </c>
      <c r="BC79" s="2">
        <f t="shared" si="90"/>
        <v>2002</v>
      </c>
      <c r="BD79" s="95">
        <f t="shared" si="71"/>
        <v>600.62338583788278</v>
      </c>
      <c r="BE79" s="95">
        <f t="shared" si="104"/>
        <v>604.69073593074643</v>
      </c>
      <c r="BF79" s="95">
        <f t="shared" si="128"/>
        <v>20.605284898010339</v>
      </c>
      <c r="BG79" s="95">
        <f t="shared" si="129"/>
        <v>564.30511963945912</v>
      </c>
      <c r="BH79" s="95">
        <f t="shared" si="130"/>
        <v>645.07635222203373</v>
      </c>
      <c r="BI79" s="56">
        <f t="shared" si="91"/>
        <v>2.35195993995585E-2</v>
      </c>
      <c r="BJ79" s="134">
        <f t="shared" si="107"/>
        <v>6.7718809969238977E-3</v>
      </c>
      <c r="BL79" s="2">
        <f t="shared" si="92"/>
        <v>2002</v>
      </c>
      <c r="BM79" s="95">
        <f t="shared" si="93"/>
        <v>654.57280049904807</v>
      </c>
      <c r="BN79" s="95">
        <f t="shared" si="105"/>
        <v>661.95663447533491</v>
      </c>
      <c r="BO79" s="95">
        <f t="shared" si="131"/>
        <v>18.200933149426678</v>
      </c>
      <c r="BP79" s="95">
        <f t="shared" si="132"/>
        <v>626.2834610174375</v>
      </c>
      <c r="BQ79" s="95">
        <f t="shared" si="133"/>
        <v>697.62980793323231</v>
      </c>
      <c r="BR79" s="56">
        <f t="shared" si="94"/>
        <v>-5.8447695495574159E-2</v>
      </c>
      <c r="BS79" s="134">
        <f t="shared" si="108"/>
        <v>1.1280386185703687E-2</v>
      </c>
      <c r="BU79" s="2">
        <f t="shared" si="95"/>
        <v>2002</v>
      </c>
      <c r="BV79" s="95">
        <f t="shared" si="96"/>
        <v>552.45296634355157</v>
      </c>
      <c r="BW79" s="95">
        <f t="shared" si="106"/>
        <v>662.24938933512817</v>
      </c>
      <c r="BX79" s="95">
        <f t="shared" si="134"/>
        <v>73.14493823818384</v>
      </c>
      <c r="BY79" s="95">
        <f t="shared" si="135"/>
        <v>518.88794473688131</v>
      </c>
      <c r="BZ79" s="95">
        <f t="shared" si="136"/>
        <v>805.61083393337503</v>
      </c>
      <c r="CA79" s="56">
        <f t="shared" si="97"/>
        <v>-3.4846324831770192E-2</v>
      </c>
      <c r="CB79" s="134">
        <f t="shared" si="109"/>
        <v>0.19874347624246075</v>
      </c>
    </row>
    <row r="80" spans="1:80" ht="1" customHeight="1">
      <c r="A80" s="2">
        <v>2003</v>
      </c>
      <c r="B80" s="95">
        <v>987.84740658221915</v>
      </c>
      <c r="C80" s="95">
        <v>353.86489677865217</v>
      </c>
      <c r="D80" s="95">
        <v>1289.790252219525</v>
      </c>
      <c r="E80" s="95">
        <v>646.32101377391564</v>
      </c>
      <c r="F80" s="95">
        <v>367.47001577069881</v>
      </c>
      <c r="G80" s="147">
        <v>1841.6129695816144</v>
      </c>
      <c r="H80" s="95">
        <v>562.27837404802824</v>
      </c>
      <c r="I80" s="95">
        <v>658.58236684917438</v>
      </c>
      <c r="J80" s="95">
        <v>567.44955478161467</v>
      </c>
      <c r="K80" s="95"/>
      <c r="L80" s="2"/>
      <c r="M80" s="2">
        <f t="shared" si="77"/>
        <v>2003</v>
      </c>
      <c r="N80" s="95">
        <f t="shared" si="72"/>
        <v>987.84740658221915</v>
      </c>
      <c r="O80" s="95">
        <f t="shared" si="98"/>
        <v>956.04968061811053</v>
      </c>
      <c r="P80" s="95">
        <f t="shared" si="110"/>
        <v>17.352810567975304</v>
      </c>
      <c r="Q80" s="95">
        <f t="shared" si="111"/>
        <v>922.03879687433289</v>
      </c>
      <c r="R80" s="95">
        <f t="shared" si="112"/>
        <v>990.06056436188817</v>
      </c>
      <c r="S80" s="56">
        <f t="shared" si="78"/>
        <v>1.3893269562688104E-3</v>
      </c>
      <c r="T80" s="2">
        <f t="shared" si="79"/>
        <v>2003</v>
      </c>
      <c r="U80" s="95">
        <f t="shared" si="73"/>
        <v>353.86489677865217</v>
      </c>
      <c r="V80" s="95">
        <f t="shared" si="99"/>
        <v>406.53425965423179</v>
      </c>
      <c r="W80" s="95">
        <f t="shared" si="113"/>
        <v>13.926151400634872</v>
      </c>
      <c r="X80" s="95">
        <f t="shared" si="114"/>
        <v>379.23950446573542</v>
      </c>
      <c r="Y80" s="95">
        <f t="shared" si="115"/>
        <v>433.82901484272816</v>
      </c>
      <c r="Z80" s="56">
        <f t="shared" si="80"/>
        <v>-0.13274380095225247</v>
      </c>
      <c r="AA80" s="2">
        <f t="shared" si="81"/>
        <v>2003</v>
      </c>
      <c r="AB80" s="95">
        <f t="shared" si="74"/>
        <v>1289.790252219525</v>
      </c>
      <c r="AC80" s="95">
        <f t="shared" si="100"/>
        <v>1550.7184158739146</v>
      </c>
      <c r="AD80" s="95">
        <f t="shared" si="116"/>
        <v>168.74270888486444</v>
      </c>
      <c r="AE80" s="95">
        <f t="shared" si="117"/>
        <v>1219.9887838058535</v>
      </c>
      <c r="AF80" s="95">
        <f t="shared" si="118"/>
        <v>1881.4480479419758</v>
      </c>
      <c r="AG80" s="56">
        <f t="shared" si="82"/>
        <v>-8.4901150519614443E-2</v>
      </c>
      <c r="AH80" s="2">
        <f t="shared" si="83"/>
        <v>2003</v>
      </c>
      <c r="AI80" s="95">
        <f t="shared" si="75"/>
        <v>646.32101377391564</v>
      </c>
      <c r="AJ80" s="95">
        <f t="shared" si="101"/>
        <v>661.15239262143155</v>
      </c>
      <c r="AK80" s="95">
        <f t="shared" si="119"/>
        <v>17.462134091931972</v>
      </c>
      <c r="AL80" s="95">
        <f t="shared" si="120"/>
        <v>626.92723870803582</v>
      </c>
      <c r="AM80" s="95">
        <f t="shared" si="121"/>
        <v>695.37754653482727</v>
      </c>
      <c r="AN80" s="56">
        <f t="shared" si="84"/>
        <v>3.546534791991629E-4</v>
      </c>
      <c r="AO80" s="2">
        <f t="shared" si="85"/>
        <v>2003</v>
      </c>
      <c r="AP80" s="95">
        <f t="shared" si="76"/>
        <v>367.47001577069881</v>
      </c>
      <c r="AQ80" s="95">
        <f t="shared" si="102"/>
        <v>261.05955146653923</v>
      </c>
      <c r="AR80" s="95">
        <f t="shared" si="122"/>
        <v>61.90098390106732</v>
      </c>
      <c r="AS80" s="95">
        <f t="shared" si="123"/>
        <v>139.7358524128536</v>
      </c>
      <c r="AT80" s="95">
        <f t="shared" si="124"/>
        <v>382.38325052022486</v>
      </c>
      <c r="AU80" s="56">
        <f t="shared" si="86"/>
        <v>1.0135429205295443</v>
      </c>
      <c r="AV80" s="2">
        <f t="shared" si="87"/>
        <v>2003</v>
      </c>
      <c r="AW80" s="95">
        <f t="shared" si="88"/>
        <v>1841.6129695816144</v>
      </c>
      <c r="AX80" s="95">
        <f t="shared" si="103"/>
        <v>1383.5283328440339</v>
      </c>
      <c r="AY80" s="95">
        <f t="shared" si="125"/>
        <v>464.7897213534111</v>
      </c>
      <c r="AZ80" s="95">
        <f t="shared" si="126"/>
        <v>472.55721860694109</v>
      </c>
      <c r="BA80" s="95">
        <f t="shared" si="127"/>
        <v>2294.4994470811266</v>
      </c>
      <c r="BB80" s="56">
        <f t="shared" si="89"/>
        <v>1.0663070519705649</v>
      </c>
      <c r="BC80" s="2">
        <f t="shared" si="90"/>
        <v>2003</v>
      </c>
      <c r="BD80" s="95">
        <f t="shared" si="71"/>
        <v>562.27837404802824</v>
      </c>
      <c r="BE80" s="95">
        <f t="shared" si="104"/>
        <v>600.27463948530999</v>
      </c>
      <c r="BF80" s="95">
        <f t="shared" si="128"/>
        <v>18.97779867476849</v>
      </c>
      <c r="BG80" s="95">
        <f t="shared" si="129"/>
        <v>563.07883757691184</v>
      </c>
      <c r="BH80" s="95">
        <f t="shared" si="130"/>
        <v>637.47044139370814</v>
      </c>
      <c r="BI80" s="56">
        <f t="shared" si="91"/>
        <v>-6.3842022628476935E-2</v>
      </c>
      <c r="BJ80" s="134">
        <f t="shared" si="107"/>
        <v>6.757554121054675E-2</v>
      </c>
      <c r="BL80" s="2">
        <f t="shared" si="92"/>
        <v>2003</v>
      </c>
      <c r="BM80" s="95">
        <f t="shared" si="93"/>
        <v>658.58236684917438</v>
      </c>
      <c r="BN80" s="95">
        <f t="shared" si="105"/>
        <v>664.0783596666779</v>
      </c>
      <c r="BO80" s="95">
        <f t="shared" si="131"/>
        <v>18.690260379402297</v>
      </c>
      <c r="BP80" s="95">
        <f t="shared" si="132"/>
        <v>627.44612246137353</v>
      </c>
      <c r="BQ80" s="95">
        <f t="shared" si="133"/>
        <v>700.71059687198226</v>
      </c>
      <c r="BR80" s="56">
        <f t="shared" si="94"/>
        <v>6.1254704550348649E-3</v>
      </c>
      <c r="BS80" s="134">
        <f t="shared" si="108"/>
        <v>8.3451867133912932E-3</v>
      </c>
      <c r="BU80" s="2">
        <f t="shared" si="95"/>
        <v>2003</v>
      </c>
      <c r="BV80" s="95">
        <f t="shared" si="96"/>
        <v>567.44955478161467</v>
      </c>
      <c r="BW80" s="95">
        <f t="shared" si="106"/>
        <v>625.47248031344702</v>
      </c>
      <c r="BX80" s="95">
        <f t="shared" si="134"/>
        <v>75.79363992288593</v>
      </c>
      <c r="BY80" s="95">
        <f t="shared" si="135"/>
        <v>476.91967580739345</v>
      </c>
      <c r="BZ80" s="95">
        <f t="shared" si="136"/>
        <v>774.0252848195006</v>
      </c>
      <c r="CA80" s="56">
        <f t="shared" si="97"/>
        <v>2.7145457354169178E-2</v>
      </c>
      <c r="CB80" s="134">
        <f t="shared" si="109"/>
        <v>0.10225212980237992</v>
      </c>
    </row>
    <row r="81" spans="1:80" ht="1" customHeight="1">
      <c r="A81" s="2">
        <v>2004</v>
      </c>
      <c r="B81" s="95">
        <v>1016.2724742822671</v>
      </c>
      <c r="C81" s="95">
        <v>421.66671351178542</v>
      </c>
      <c r="D81" s="95">
        <v>1888.5273388989658</v>
      </c>
      <c r="E81" s="95">
        <v>722.23913108512943</v>
      </c>
      <c r="F81" s="95">
        <v>404.12649764465743</v>
      </c>
      <c r="G81" s="147">
        <v>2017.0017467651494</v>
      </c>
      <c r="H81" s="95">
        <v>629.1746524303361</v>
      </c>
      <c r="I81" s="95">
        <v>748.58414466733723</v>
      </c>
      <c r="J81" s="95">
        <v>727.4410655641102</v>
      </c>
      <c r="K81" s="95"/>
      <c r="L81" s="2"/>
      <c r="M81" s="2">
        <f t="shared" si="77"/>
        <v>2004</v>
      </c>
      <c r="N81" s="95">
        <f t="shared" si="72"/>
        <v>1016.2724742822671</v>
      </c>
      <c r="O81" s="95">
        <f t="shared" si="98"/>
        <v>963.13229995411768</v>
      </c>
      <c r="P81" s="95">
        <f t="shared" si="110"/>
        <v>20.507195468023649</v>
      </c>
      <c r="Q81" s="95">
        <f t="shared" si="111"/>
        <v>922.93893541286832</v>
      </c>
      <c r="R81" s="95">
        <f t="shared" si="112"/>
        <v>1003.3256644953671</v>
      </c>
      <c r="S81" s="56">
        <f t="shared" si="78"/>
        <v>2.877475560561904E-2</v>
      </c>
      <c r="T81" s="2">
        <f t="shared" si="79"/>
        <v>2004</v>
      </c>
      <c r="U81" s="95">
        <f t="shared" si="73"/>
        <v>421.66671351178542</v>
      </c>
      <c r="V81" s="95">
        <f t="shared" si="99"/>
        <v>393.04349969733573</v>
      </c>
      <c r="W81" s="95">
        <f t="shared" si="113"/>
        <v>22.232498518409166</v>
      </c>
      <c r="X81" s="95">
        <f t="shared" si="114"/>
        <v>349.46860331491365</v>
      </c>
      <c r="Y81" s="95">
        <f t="shared" si="115"/>
        <v>436.61839607975782</v>
      </c>
      <c r="Z81" s="56">
        <f t="shared" si="80"/>
        <v>0.19160368081252299</v>
      </c>
      <c r="AA81" s="2">
        <f t="shared" si="81"/>
        <v>2004</v>
      </c>
      <c r="AB81" s="95">
        <f t="shared" si="74"/>
        <v>1888.5273388989658</v>
      </c>
      <c r="AC81" s="95">
        <f t="shared" si="100"/>
        <v>1439.3006779373641</v>
      </c>
      <c r="AD81" s="95">
        <f t="shared" si="116"/>
        <v>180.68699194392687</v>
      </c>
      <c r="AE81" s="95">
        <f t="shared" si="117"/>
        <v>1085.1606812523887</v>
      </c>
      <c r="AF81" s="95">
        <f t="shared" si="118"/>
        <v>1793.4406746223394</v>
      </c>
      <c r="AG81" s="56">
        <f t="shared" si="82"/>
        <v>0.46421275525156824</v>
      </c>
      <c r="AH81" s="2">
        <f t="shared" si="83"/>
        <v>2004</v>
      </c>
      <c r="AI81" s="95">
        <f t="shared" si="75"/>
        <v>722.23913108512943</v>
      </c>
      <c r="AJ81" s="95">
        <f t="shared" si="101"/>
        <v>661.59238467623788</v>
      </c>
      <c r="AK81" s="95">
        <f t="shared" si="119"/>
        <v>18.746270589004535</v>
      </c>
      <c r="AL81" s="95">
        <f t="shared" si="120"/>
        <v>624.85036947734659</v>
      </c>
      <c r="AM81" s="95">
        <f t="shared" si="121"/>
        <v>698.33439987512918</v>
      </c>
      <c r="AN81" s="56">
        <f t="shared" si="84"/>
        <v>0.11746193562224194</v>
      </c>
      <c r="AO81" s="2">
        <f t="shared" si="85"/>
        <v>2004</v>
      </c>
      <c r="AP81" s="95">
        <f t="shared" si="76"/>
        <v>404.12649764465743</v>
      </c>
      <c r="AQ81" s="95">
        <f t="shared" si="102"/>
        <v>275.09037629195802</v>
      </c>
      <c r="AR81" s="95">
        <f t="shared" si="122"/>
        <v>66.699789600240862</v>
      </c>
      <c r="AS81" s="95">
        <f t="shared" si="123"/>
        <v>144.36119089908672</v>
      </c>
      <c r="AT81" s="95">
        <f t="shared" si="124"/>
        <v>405.8195616848293</v>
      </c>
      <c r="AU81" s="56">
        <f t="shared" si="86"/>
        <v>9.9753667784509226E-2</v>
      </c>
      <c r="AV81" s="2">
        <f t="shared" si="87"/>
        <v>2004</v>
      </c>
      <c r="AW81" s="95">
        <f t="shared" si="88"/>
        <v>2017.0017467651494</v>
      </c>
      <c r="AX81" s="95">
        <f t="shared" si="103"/>
        <v>1414.0724413114726</v>
      </c>
      <c r="AY81" s="95">
        <f t="shared" si="125"/>
        <v>495.1995191734751</v>
      </c>
      <c r="AZ81" s="95">
        <f t="shared" si="126"/>
        <v>443.49921856990966</v>
      </c>
      <c r="BA81" s="95">
        <f t="shared" si="127"/>
        <v>2384.6456640530355</v>
      </c>
      <c r="BB81" s="56">
        <f t="shared" si="89"/>
        <v>9.5236501958052999E-2</v>
      </c>
      <c r="BC81" s="2">
        <f t="shared" si="90"/>
        <v>2004</v>
      </c>
      <c r="BD81" s="95">
        <f t="shared" si="71"/>
        <v>629.1746524303361</v>
      </c>
      <c r="BE81" s="95">
        <f t="shared" si="104"/>
        <v>588.12051859285168</v>
      </c>
      <c r="BF81" s="95">
        <f t="shared" si="128"/>
        <v>21.466710319841678</v>
      </c>
      <c r="BG81" s="95">
        <f t="shared" si="129"/>
        <v>546.04653949940769</v>
      </c>
      <c r="BH81" s="95">
        <f t="shared" si="130"/>
        <v>630.19449768629568</v>
      </c>
      <c r="BI81" s="56">
        <f t="shared" si="91"/>
        <v>0.11897359292106402</v>
      </c>
      <c r="BJ81" s="134">
        <f t="shared" si="107"/>
        <v>6.5250775248022308E-2</v>
      </c>
      <c r="BL81" s="2">
        <f t="shared" si="92"/>
        <v>2004</v>
      </c>
      <c r="BM81" s="95">
        <f t="shared" si="93"/>
        <v>748.58414466733723</v>
      </c>
      <c r="BN81" s="95">
        <f t="shared" si="105"/>
        <v>666.97062233653583</v>
      </c>
      <c r="BO81" s="95">
        <f t="shared" si="131"/>
        <v>19.059170474561842</v>
      </c>
      <c r="BP81" s="95">
        <f t="shared" si="132"/>
        <v>629.61533463118542</v>
      </c>
      <c r="BQ81" s="95">
        <f t="shared" si="133"/>
        <v>704.32591004188623</v>
      </c>
      <c r="BR81" s="56">
        <f t="shared" si="94"/>
        <v>0.13665986571847388</v>
      </c>
      <c r="BS81" s="134">
        <f t="shared" si="108"/>
        <v>0.10902384576562141</v>
      </c>
      <c r="BU81" s="2">
        <f t="shared" si="95"/>
        <v>2004</v>
      </c>
      <c r="BV81" s="95">
        <f t="shared" si="96"/>
        <v>727.4410655641102</v>
      </c>
      <c r="BW81" s="95">
        <f t="shared" si="106"/>
        <v>589.69873297618471</v>
      </c>
      <c r="BX81" s="95">
        <f t="shared" si="134"/>
        <v>75.512177858279614</v>
      </c>
      <c r="BY81" s="95">
        <f t="shared" si="135"/>
        <v>441.69758397977375</v>
      </c>
      <c r="BZ81" s="95">
        <f t="shared" si="136"/>
        <v>737.69988197259568</v>
      </c>
      <c r="CA81" s="56">
        <f t="shared" si="97"/>
        <v>0.28194842948474763</v>
      </c>
      <c r="CB81" s="134">
        <f t="shared" si="109"/>
        <v>0.18935187894721089</v>
      </c>
    </row>
    <row r="82" spans="1:80" ht="15.5">
      <c r="A82" s="2">
        <v>2005</v>
      </c>
      <c r="B82" s="95">
        <v>1011.7929283761422</v>
      </c>
      <c r="C82" s="95">
        <v>413.36892612794441</v>
      </c>
      <c r="D82" s="95">
        <v>1979.0723861376148</v>
      </c>
      <c r="E82" s="95">
        <v>719.4376765415733</v>
      </c>
      <c r="F82" s="95">
        <v>341.3093020964476</v>
      </c>
      <c r="G82" s="147">
        <v>1611.3259064920671</v>
      </c>
      <c r="H82" s="95">
        <v>600.87562353118665</v>
      </c>
      <c r="I82" s="95">
        <v>750.24343291803382</v>
      </c>
      <c r="J82" s="95">
        <v>773.69550703585071</v>
      </c>
      <c r="K82" s="95"/>
      <c r="L82" s="2"/>
      <c r="M82" s="2">
        <f t="shared" si="77"/>
        <v>2005</v>
      </c>
      <c r="N82" s="95">
        <f t="shared" si="72"/>
        <v>1011.7929283761422</v>
      </c>
      <c r="O82" s="95">
        <f t="shared" si="98"/>
        <v>978.15725074086276</v>
      </c>
      <c r="P82" s="95">
        <f t="shared" si="110"/>
        <v>26.565251718990844</v>
      </c>
      <c r="Q82" s="95">
        <f t="shared" si="111"/>
        <v>926.09031413139996</v>
      </c>
      <c r="R82" s="95">
        <f t="shared" si="112"/>
        <v>1030.2241873503256</v>
      </c>
      <c r="S82" s="56">
        <f t="shared" si="78"/>
        <v>-4.4078197722402512E-3</v>
      </c>
      <c r="T82" s="2">
        <f t="shared" si="79"/>
        <v>2005</v>
      </c>
      <c r="U82" s="95">
        <f t="shared" si="73"/>
        <v>413.36892612794441</v>
      </c>
      <c r="V82" s="95">
        <f t="shared" si="99"/>
        <v>393.91590678431226</v>
      </c>
      <c r="W82" s="95">
        <f t="shared" si="113"/>
        <v>25.281170348318774</v>
      </c>
      <c r="X82" s="95">
        <f t="shared" si="114"/>
        <v>344.36572341458555</v>
      </c>
      <c r="Y82" s="95">
        <f t="shared" si="115"/>
        <v>443.46609015403897</v>
      </c>
      <c r="Z82" s="56">
        <f t="shared" si="80"/>
        <v>-1.9678544969163436E-2</v>
      </c>
      <c r="AA82" s="2">
        <f t="shared" si="81"/>
        <v>2005</v>
      </c>
      <c r="AB82" s="95">
        <f t="shared" si="74"/>
        <v>1979.0723861376148</v>
      </c>
      <c r="AC82" s="95">
        <f t="shared" si="100"/>
        <v>1493.3190642209302</v>
      </c>
      <c r="AD82" s="95">
        <f t="shared" si="116"/>
        <v>242.16316029349312</v>
      </c>
      <c r="AE82" s="95">
        <f t="shared" si="117"/>
        <v>1018.6879916632837</v>
      </c>
      <c r="AF82" s="95">
        <f t="shared" si="118"/>
        <v>1967.9501367785765</v>
      </c>
      <c r="AG82" s="56">
        <f t="shared" si="82"/>
        <v>4.7944790299640383E-2</v>
      </c>
      <c r="AH82" s="2">
        <f t="shared" si="83"/>
        <v>2005</v>
      </c>
      <c r="AI82" s="95">
        <f t="shared" si="75"/>
        <v>719.4376765415733</v>
      </c>
      <c r="AJ82" s="95">
        <f t="shared" si="101"/>
        <v>675.50080910032523</v>
      </c>
      <c r="AK82" s="95">
        <f t="shared" si="119"/>
        <v>27.875056928780499</v>
      </c>
      <c r="AL82" s="95">
        <f t="shared" si="120"/>
        <v>620.8667014529118</v>
      </c>
      <c r="AM82" s="95">
        <f t="shared" si="121"/>
        <v>730.13491674773866</v>
      </c>
      <c r="AN82" s="56">
        <f t="shared" si="84"/>
        <v>-3.8788462477061803E-3</v>
      </c>
      <c r="AO82" s="2">
        <f t="shared" si="85"/>
        <v>2005</v>
      </c>
      <c r="AP82" s="95">
        <f t="shared" si="76"/>
        <v>341.3093020964476</v>
      </c>
      <c r="AQ82" s="95">
        <f t="shared" si="102"/>
        <v>285.78773416351333</v>
      </c>
      <c r="AR82" s="95">
        <f t="shared" si="122"/>
        <v>85.133124095723829</v>
      </c>
      <c r="AS82" s="95">
        <f t="shared" si="123"/>
        <v>118.92987704451562</v>
      </c>
      <c r="AT82" s="95">
        <f t="shared" si="124"/>
        <v>452.64559128251108</v>
      </c>
      <c r="AU82" s="56">
        <f t="shared" si="86"/>
        <v>-0.15543943768677126</v>
      </c>
      <c r="AV82" s="2">
        <f t="shared" si="87"/>
        <v>2005</v>
      </c>
      <c r="AW82" s="95">
        <f t="shared" si="88"/>
        <v>1611.3259064920671</v>
      </c>
      <c r="AX82" s="95">
        <f t="shared" si="103"/>
        <v>1390.2690302491767</v>
      </c>
      <c r="AY82" s="95">
        <f t="shared" si="125"/>
        <v>567.04907426215095</v>
      </c>
      <c r="AZ82" s="95">
        <f t="shared" si="126"/>
        <v>278.87326722858256</v>
      </c>
      <c r="BA82" s="95">
        <f t="shared" si="127"/>
        <v>2501.6647932697706</v>
      </c>
      <c r="BB82" s="56">
        <f t="shared" si="89"/>
        <v>-0.20112815515589011</v>
      </c>
      <c r="BC82" s="2">
        <f t="shared" si="90"/>
        <v>2005</v>
      </c>
      <c r="BD82" s="95">
        <f t="shared" si="71"/>
        <v>600.87562353118665</v>
      </c>
      <c r="BE82" s="95">
        <f t="shared" si="104"/>
        <v>593.69168317754099</v>
      </c>
      <c r="BF82" s="95">
        <f t="shared" si="128"/>
        <v>24.106154998112068</v>
      </c>
      <c r="BG82" s="95">
        <f t="shared" si="129"/>
        <v>546.44448757550117</v>
      </c>
      <c r="BH82" s="95">
        <f t="shared" si="130"/>
        <v>640.93887877958082</v>
      </c>
      <c r="BI82" s="56">
        <f t="shared" si="91"/>
        <v>-4.4978018090585437E-2</v>
      </c>
      <c r="BJ82" s="134">
        <f t="shared" si="107"/>
        <v>1.1955785976850819E-2</v>
      </c>
      <c r="BL82" s="2">
        <f t="shared" si="92"/>
        <v>2005</v>
      </c>
      <c r="BM82" s="95">
        <f t="shared" si="93"/>
        <v>750.24343291803382</v>
      </c>
      <c r="BN82" s="95">
        <f t="shared" si="105"/>
        <v>686.14804947706477</v>
      </c>
      <c r="BO82" s="95">
        <f t="shared" si="131"/>
        <v>33.639369273155118</v>
      </c>
      <c r="BP82" s="95">
        <f t="shared" si="132"/>
        <v>620.21609723903748</v>
      </c>
      <c r="BQ82" s="95">
        <f t="shared" si="133"/>
        <v>752.08000171509207</v>
      </c>
      <c r="BR82" s="56">
        <f t="shared" si="94"/>
        <v>2.2165687885815633E-3</v>
      </c>
      <c r="BS82" s="134">
        <f t="shared" si="108"/>
        <v>8.5432781719492423E-2</v>
      </c>
      <c r="BU82" s="2">
        <f t="shared" si="95"/>
        <v>2005</v>
      </c>
      <c r="BV82" s="95">
        <f t="shared" si="96"/>
        <v>773.69550703585071</v>
      </c>
      <c r="BW82" s="95">
        <f t="shared" si="106"/>
        <v>604.35781902100496</v>
      </c>
      <c r="BX82" s="95">
        <f t="shared" si="134"/>
        <v>86.132150851325122</v>
      </c>
      <c r="BY82" s="95">
        <f t="shared" si="135"/>
        <v>435.54190544143682</v>
      </c>
      <c r="BZ82" s="95">
        <f t="shared" si="136"/>
        <v>773.17373260057309</v>
      </c>
      <c r="CA82" s="56">
        <f t="shared" si="97"/>
        <v>6.3585139279800584E-2</v>
      </c>
      <c r="CB82" s="134">
        <f t="shared" si="109"/>
        <v>0.21886864596591118</v>
      </c>
    </row>
    <row r="83" spans="1:80" ht="1" customHeight="1">
      <c r="A83" s="2">
        <v>2006</v>
      </c>
      <c r="B83" s="95">
        <v>988.24762428572978</v>
      </c>
      <c r="C83" s="95">
        <v>401.22181350729488</v>
      </c>
      <c r="D83" s="95">
        <v>1939.3848142239417</v>
      </c>
      <c r="E83" s="95">
        <v>749.91412904496804</v>
      </c>
      <c r="F83" s="95">
        <v>340.84179758127368</v>
      </c>
      <c r="G83" s="147">
        <v>1588.6937781670504</v>
      </c>
      <c r="H83" s="95">
        <v>589.400704166227</v>
      </c>
      <c r="I83" s="95">
        <v>763.28032736592638</v>
      </c>
      <c r="J83" s="95">
        <v>835.67206176609602</v>
      </c>
      <c r="K83" s="95"/>
      <c r="L83" s="2"/>
      <c r="M83" s="2">
        <f t="shared" si="77"/>
        <v>2006</v>
      </c>
      <c r="N83" s="95">
        <f t="shared" si="72"/>
        <v>988.24762428572978</v>
      </c>
      <c r="O83" s="95">
        <f t="shared" si="98"/>
        <v>994.14692402678918</v>
      </c>
      <c r="P83" s="95">
        <f t="shared" si="110"/>
        <v>27.185288191137502</v>
      </c>
      <c r="Q83" s="95">
        <f t="shared" si="111"/>
        <v>940.8647382628177</v>
      </c>
      <c r="R83" s="95">
        <f t="shared" si="112"/>
        <v>1047.4291097907608</v>
      </c>
      <c r="S83" s="56">
        <f t="shared" si="78"/>
        <v>-2.3270872359427375E-2</v>
      </c>
      <c r="T83" s="2">
        <f t="shared" si="79"/>
        <v>2006</v>
      </c>
      <c r="U83" s="95">
        <f t="shared" si="73"/>
        <v>401.22181350729488</v>
      </c>
      <c r="V83" s="95">
        <f t="shared" si="99"/>
        <v>395.71561340865003</v>
      </c>
      <c r="W83" s="95">
        <f t="shared" si="113"/>
        <v>25.799785400027556</v>
      </c>
      <c r="X83" s="95">
        <f t="shared" si="114"/>
        <v>345.14896321573372</v>
      </c>
      <c r="Y83" s="95">
        <f t="shared" si="115"/>
        <v>446.28226360156634</v>
      </c>
      <c r="Z83" s="56">
        <f t="shared" si="80"/>
        <v>-2.938564525019427E-2</v>
      </c>
      <c r="AA83" s="2">
        <f t="shared" si="81"/>
        <v>2006</v>
      </c>
      <c r="AB83" s="95">
        <f t="shared" si="74"/>
        <v>1939.3848142239417</v>
      </c>
      <c r="AC83" s="95">
        <f t="shared" si="100"/>
        <v>1588.3899302776699</v>
      </c>
      <c r="AD83" s="95">
        <f t="shared" si="116"/>
        <v>284.32795427068436</v>
      </c>
      <c r="AE83" s="95">
        <f t="shared" si="117"/>
        <v>1031.1173801091772</v>
      </c>
      <c r="AF83" s="95">
        <f t="shared" si="118"/>
        <v>2145.6624804461626</v>
      </c>
      <c r="AG83" s="56">
        <f t="shared" si="82"/>
        <v>-2.0053623198253989E-2</v>
      </c>
      <c r="AH83" s="2">
        <f t="shared" si="83"/>
        <v>2006</v>
      </c>
      <c r="AI83" s="95">
        <f t="shared" si="75"/>
        <v>749.91412904496804</v>
      </c>
      <c r="AJ83" s="95">
        <f t="shared" si="101"/>
        <v>683.89227884582147</v>
      </c>
      <c r="AK83" s="95">
        <f t="shared" si="119"/>
        <v>30.051117770885643</v>
      </c>
      <c r="AL83" s="95">
        <f t="shared" si="120"/>
        <v>624.99317031971407</v>
      </c>
      <c r="AM83" s="95">
        <f t="shared" si="121"/>
        <v>742.79138737192886</v>
      </c>
      <c r="AN83" s="56">
        <f t="shared" si="84"/>
        <v>4.2361490782494071E-2</v>
      </c>
      <c r="AO83" s="2">
        <f t="shared" si="85"/>
        <v>2006</v>
      </c>
      <c r="AP83" s="95">
        <f t="shared" si="76"/>
        <v>340.84179758127368</v>
      </c>
      <c r="AQ83" s="95">
        <f t="shared" si="102"/>
        <v>307.47768149351106</v>
      </c>
      <c r="AR83" s="95">
        <f t="shared" si="122"/>
        <v>79.61007420823519</v>
      </c>
      <c r="AS83" s="95">
        <f t="shared" si="123"/>
        <v>151.44480323880907</v>
      </c>
      <c r="AT83" s="95">
        <f t="shared" si="124"/>
        <v>463.51055974821304</v>
      </c>
      <c r="AU83" s="56">
        <f t="shared" si="86"/>
        <v>-1.3697385693923758E-3</v>
      </c>
      <c r="AV83" s="2">
        <f t="shared" si="87"/>
        <v>2006</v>
      </c>
      <c r="AW83" s="95">
        <f t="shared" si="88"/>
        <v>1588.6937781670504</v>
      </c>
      <c r="AX83" s="95">
        <f t="shared" si="103"/>
        <v>1475.7924887145505</v>
      </c>
      <c r="AY83" s="95">
        <f t="shared" si="125"/>
        <v>493.76138319359359</v>
      </c>
      <c r="AZ83" s="95">
        <f t="shared" si="126"/>
        <v>508.03796069842656</v>
      </c>
      <c r="BA83" s="95">
        <f t="shared" si="127"/>
        <v>2443.5470167306744</v>
      </c>
      <c r="BB83" s="56">
        <f t="shared" si="89"/>
        <v>-1.404565534125124E-2</v>
      </c>
      <c r="BC83" s="2">
        <f t="shared" si="90"/>
        <v>2006</v>
      </c>
      <c r="BD83" s="95">
        <f t="shared" si="71"/>
        <v>589.400704166227</v>
      </c>
      <c r="BE83" s="95">
        <f t="shared" si="104"/>
        <v>595.9547226530857</v>
      </c>
      <c r="BF83" s="95">
        <f t="shared" si="128"/>
        <v>21.309628138917528</v>
      </c>
      <c r="BG83" s="95">
        <f t="shared" si="129"/>
        <v>554.18861897686611</v>
      </c>
      <c r="BH83" s="95">
        <f t="shared" si="130"/>
        <v>637.72082632930528</v>
      </c>
      <c r="BI83" s="56">
        <f t="shared" si="91"/>
        <v>-1.909699597651271E-2</v>
      </c>
      <c r="BJ83" s="134">
        <f t="shared" si="107"/>
        <v>1.111980091053689E-2</v>
      </c>
      <c r="BL83" s="2">
        <f t="shared" si="92"/>
        <v>2006</v>
      </c>
      <c r="BM83" s="95">
        <f t="shared" si="93"/>
        <v>763.28032736592638</v>
      </c>
      <c r="BN83" s="95">
        <f t="shared" si="105"/>
        <v>701.43774667006437</v>
      </c>
      <c r="BO83" s="95">
        <f t="shared" si="131"/>
        <v>38.849707889441426</v>
      </c>
      <c r="BP83" s="95">
        <f t="shared" si="132"/>
        <v>625.29371839685757</v>
      </c>
      <c r="BQ83" s="95">
        <f t="shared" si="133"/>
        <v>777.58177494327117</v>
      </c>
      <c r="BR83" s="56">
        <f t="shared" si="94"/>
        <v>1.7376885789171403E-2</v>
      </c>
      <c r="BS83" s="134">
        <f t="shared" si="108"/>
        <v>8.1022107446788533E-2</v>
      </c>
      <c r="BU83" s="2">
        <f t="shared" si="95"/>
        <v>2006</v>
      </c>
      <c r="BV83" s="95">
        <f t="shared" si="96"/>
        <v>835.67206176609602</v>
      </c>
      <c r="BW83" s="95">
        <f t="shared" si="106"/>
        <v>638.6876120789226</v>
      </c>
      <c r="BX83" s="95">
        <f t="shared" si="134"/>
        <v>97.238460584503059</v>
      </c>
      <c r="BY83" s="95">
        <f t="shared" si="135"/>
        <v>448.10373142117902</v>
      </c>
      <c r="BZ83" s="95">
        <f t="shared" si="136"/>
        <v>829.27149273666623</v>
      </c>
      <c r="CA83" s="56">
        <f t="shared" si="97"/>
        <v>8.0104581410440412E-2</v>
      </c>
      <c r="CB83" s="134">
        <f t="shared" si="109"/>
        <v>0.23571979811179714</v>
      </c>
    </row>
    <row r="84" spans="1:80" ht="1" customHeight="1">
      <c r="A84" s="2">
        <v>2007</v>
      </c>
      <c r="B84" s="95">
        <v>1014.9423620358373</v>
      </c>
      <c r="C84" s="95">
        <v>398.20545628033597</v>
      </c>
      <c r="D84" s="95">
        <v>1849.3676720263529</v>
      </c>
      <c r="E84" s="95">
        <v>760.43084607917172</v>
      </c>
      <c r="F84" s="95">
        <v>479.889887977814</v>
      </c>
      <c r="G84" s="147">
        <v>2220.9822629348891</v>
      </c>
      <c r="H84" s="95">
        <v>574.45236528994917</v>
      </c>
      <c r="I84" s="95">
        <v>792.53570866143605</v>
      </c>
      <c r="J84" s="95">
        <v>847.51545424184155</v>
      </c>
      <c r="K84" s="95"/>
      <c r="L84" s="2"/>
      <c r="M84" s="2">
        <f t="shared" si="77"/>
        <v>2007</v>
      </c>
      <c r="N84" s="95">
        <f t="shared" si="72"/>
        <v>1014.9423620358373</v>
      </c>
      <c r="O84" s="95">
        <f t="shared" si="98"/>
        <v>998.12746024091541</v>
      </c>
      <c r="P84" s="95">
        <f t="shared" si="110"/>
        <v>26.070723433150835</v>
      </c>
      <c r="Q84" s="95">
        <f t="shared" si="111"/>
        <v>947.0297812610354</v>
      </c>
      <c r="R84" s="95">
        <f t="shared" si="112"/>
        <v>1049.2251392207954</v>
      </c>
      <c r="S84" s="56">
        <f t="shared" si="78"/>
        <v>2.7012195217166912E-2</v>
      </c>
      <c r="T84" s="2">
        <f t="shared" si="79"/>
        <v>2007</v>
      </c>
      <c r="U84" s="95">
        <f t="shared" si="73"/>
        <v>398.20545628033597</v>
      </c>
      <c r="V84" s="95">
        <f t="shared" si="99"/>
        <v>399.63008944734224</v>
      </c>
      <c r="W84" s="95">
        <f t="shared" si="113"/>
        <v>22.897488015407124</v>
      </c>
      <c r="X84" s="95">
        <f t="shared" si="114"/>
        <v>354.75183760070678</v>
      </c>
      <c r="Y84" s="95">
        <f t="shared" si="115"/>
        <v>444.50834129397771</v>
      </c>
      <c r="Z84" s="56">
        <f t="shared" si="80"/>
        <v>-7.5179292984878243E-3</v>
      </c>
      <c r="AA84" s="2">
        <f t="shared" si="81"/>
        <v>2007</v>
      </c>
      <c r="AB84" s="95">
        <f t="shared" si="74"/>
        <v>1849.3676720263529</v>
      </c>
      <c r="AC84" s="95">
        <f t="shared" si="100"/>
        <v>1701.2458716004899</v>
      </c>
      <c r="AD84" s="95">
        <f t="shared" si="116"/>
        <v>285.60159670999724</v>
      </c>
      <c r="AE84" s="95">
        <f t="shared" si="117"/>
        <v>1141.4770281217623</v>
      </c>
      <c r="AF84" s="95">
        <f t="shared" si="118"/>
        <v>2261.0147150792172</v>
      </c>
      <c r="AG84" s="56">
        <f t="shared" si="82"/>
        <v>-4.6415307337347445E-2</v>
      </c>
      <c r="AH84" s="2">
        <f t="shared" si="83"/>
        <v>2007</v>
      </c>
      <c r="AI84" s="95">
        <f t="shared" si="75"/>
        <v>760.43084607917172</v>
      </c>
      <c r="AJ84" s="95">
        <f t="shared" si="101"/>
        <v>696.80076509762716</v>
      </c>
      <c r="AK84" s="95">
        <f t="shared" si="119"/>
        <v>36.685172558098166</v>
      </c>
      <c r="AL84" s="95">
        <f t="shared" si="120"/>
        <v>624.89914811711765</v>
      </c>
      <c r="AM84" s="95">
        <f t="shared" si="121"/>
        <v>768.70238207813668</v>
      </c>
      <c r="AN84" s="56">
        <f t="shared" si="84"/>
        <v>1.402389503928525E-2</v>
      </c>
      <c r="AO84" s="2">
        <f t="shared" si="85"/>
        <v>2007</v>
      </c>
      <c r="AP84" s="95">
        <f t="shared" si="76"/>
        <v>479.889887977814</v>
      </c>
      <c r="AQ84" s="95">
        <f t="shared" si="102"/>
        <v>327.24936695012423</v>
      </c>
      <c r="AR84" s="95">
        <f t="shared" si="122"/>
        <v>77.510152722401628</v>
      </c>
      <c r="AS84" s="95">
        <f t="shared" si="123"/>
        <v>175.33225917801784</v>
      </c>
      <c r="AT84" s="95">
        <f t="shared" si="124"/>
        <v>479.16647472223065</v>
      </c>
      <c r="AU84" s="56">
        <f t="shared" si="86"/>
        <v>0.40795492625397367</v>
      </c>
      <c r="AV84" s="2">
        <f t="shared" si="87"/>
        <v>2007</v>
      </c>
      <c r="AW84" s="95">
        <f t="shared" si="88"/>
        <v>2220.9822629348891</v>
      </c>
      <c r="AX84" s="95">
        <f t="shared" si="103"/>
        <v>1589.9785072113375</v>
      </c>
      <c r="AY84" s="95">
        <f t="shared" si="125"/>
        <v>408.97083190945494</v>
      </c>
      <c r="AZ84" s="95">
        <f t="shared" si="126"/>
        <v>788.41040594142169</v>
      </c>
      <c r="BA84" s="95">
        <f t="shared" si="127"/>
        <v>2391.5466084812533</v>
      </c>
      <c r="BB84" s="56">
        <f t="shared" si="89"/>
        <v>0.397992673891717</v>
      </c>
      <c r="BC84" s="2">
        <f t="shared" si="90"/>
        <v>2007</v>
      </c>
      <c r="BD84" s="95">
        <f t="shared" si="71"/>
        <v>574.45236528994917</v>
      </c>
      <c r="BE84" s="95">
        <f t="shared" si="104"/>
        <v>596.47054800273213</v>
      </c>
      <c r="BF84" s="95">
        <f t="shared" si="128"/>
        <v>20.005884749310376</v>
      </c>
      <c r="BG84" s="95">
        <f t="shared" si="129"/>
        <v>557.25973441522467</v>
      </c>
      <c r="BH84" s="95">
        <f t="shared" si="130"/>
        <v>635.68136159023959</v>
      </c>
      <c r="BI84" s="56">
        <f t="shared" si="91"/>
        <v>-2.5361929109711356E-2</v>
      </c>
      <c r="BJ84" s="134">
        <f t="shared" si="107"/>
        <v>3.8328996524663102E-2</v>
      </c>
      <c r="BL84" s="2">
        <f t="shared" si="92"/>
        <v>2007</v>
      </c>
      <c r="BM84" s="95">
        <f t="shared" si="93"/>
        <v>792.53570866143605</v>
      </c>
      <c r="BN84" s="95">
        <f t="shared" si="105"/>
        <v>715.05261445990402</v>
      </c>
      <c r="BO84" s="95">
        <f t="shared" si="131"/>
        <v>41.873360911444102</v>
      </c>
      <c r="BP84" s="95">
        <f t="shared" si="132"/>
        <v>632.98233516182631</v>
      </c>
      <c r="BQ84" s="95">
        <f t="shared" si="133"/>
        <v>797.12289375798173</v>
      </c>
      <c r="BR84" s="56">
        <f t="shared" si="94"/>
        <v>3.8328488559989049E-2</v>
      </c>
      <c r="BS84" s="134">
        <f t="shared" si="108"/>
        <v>9.7766060702044771E-2</v>
      </c>
      <c r="BU84" s="2">
        <f t="shared" si="95"/>
        <v>2007</v>
      </c>
      <c r="BV84" s="95">
        <f t="shared" si="96"/>
        <v>847.51545424184155</v>
      </c>
      <c r="BW84" s="95">
        <f t="shared" si="106"/>
        <v>691.34223109824472</v>
      </c>
      <c r="BX84" s="95">
        <f t="shared" si="134"/>
        <v>109.57608557676797</v>
      </c>
      <c r="BY84" s="95">
        <f t="shared" si="135"/>
        <v>476.57704980090068</v>
      </c>
      <c r="BZ84" s="95">
        <f t="shared" si="136"/>
        <v>906.10741239558877</v>
      </c>
      <c r="CA84" s="56">
        <f t="shared" si="97"/>
        <v>1.417229678675147E-2</v>
      </c>
      <c r="CB84" s="134">
        <f t="shared" si="109"/>
        <v>0.18427182933590761</v>
      </c>
    </row>
    <row r="85" spans="1:80" ht="1" customHeight="1">
      <c r="A85" s="2">
        <v>2008</v>
      </c>
      <c r="B85" s="95">
        <v>1026.0753270455491</v>
      </c>
      <c r="C85" s="95">
        <v>402.33227544951217</v>
      </c>
      <c r="D85" s="95">
        <v>1738.1010014032672</v>
      </c>
      <c r="E85" s="95">
        <v>744.95802595357475</v>
      </c>
      <c r="F85" s="95">
        <v>381.65236412890033</v>
      </c>
      <c r="G85" s="147">
        <v>1737.0156422578648</v>
      </c>
      <c r="H85" s="95">
        <v>567.16459549365322</v>
      </c>
      <c r="I85" s="95">
        <v>785.85996707502534</v>
      </c>
      <c r="J85" s="95">
        <v>797.73881053386322</v>
      </c>
      <c r="K85" s="95"/>
      <c r="L85" s="2"/>
      <c r="M85" s="2">
        <f t="shared" si="77"/>
        <v>2008</v>
      </c>
      <c r="N85" s="95">
        <f t="shared" si="72"/>
        <v>1026.0753270455491</v>
      </c>
      <c r="O85" s="95">
        <f t="shared" si="98"/>
        <v>1003.8205591124391</v>
      </c>
      <c r="P85" s="95">
        <f t="shared" si="110"/>
        <v>22.787250336604114</v>
      </c>
      <c r="Q85" s="95">
        <f t="shared" si="111"/>
        <v>959.15836914599686</v>
      </c>
      <c r="R85" s="95">
        <f t="shared" si="112"/>
        <v>1048.4827490788814</v>
      </c>
      <c r="S85" s="56">
        <f t="shared" si="78"/>
        <v>1.0969061324212159E-2</v>
      </c>
      <c r="T85" s="2">
        <f t="shared" si="79"/>
        <v>2008</v>
      </c>
      <c r="U85" s="95">
        <f t="shared" si="73"/>
        <v>402.33227544951217</v>
      </c>
      <c r="V85" s="95">
        <f t="shared" si="99"/>
        <v>397.66556124120257</v>
      </c>
      <c r="W85" s="95">
        <f t="shared" si="113"/>
        <v>22.88901362132918</v>
      </c>
      <c r="X85" s="95">
        <f t="shared" si="114"/>
        <v>352.80391890175065</v>
      </c>
      <c r="Y85" s="95">
        <f t="shared" si="115"/>
        <v>442.52720358065449</v>
      </c>
      <c r="Z85" s="56">
        <f t="shared" si="80"/>
        <v>1.0363542498199596E-2</v>
      </c>
      <c r="AA85" s="2">
        <f t="shared" si="81"/>
        <v>2008</v>
      </c>
      <c r="AB85" s="95">
        <f t="shared" si="74"/>
        <v>1738.1010014032672</v>
      </c>
      <c r="AC85" s="95">
        <f t="shared" si="100"/>
        <v>1789.2284927012799</v>
      </c>
      <c r="AD85" s="95">
        <f t="shared" si="116"/>
        <v>279.82230288981111</v>
      </c>
      <c r="AE85" s="95">
        <f t="shared" si="117"/>
        <v>1240.7868569661919</v>
      </c>
      <c r="AF85" s="95">
        <f t="shared" si="118"/>
        <v>2337.670128436368</v>
      </c>
      <c r="AG85" s="56">
        <f t="shared" si="82"/>
        <v>-6.0164710514903019E-2</v>
      </c>
      <c r="AH85" s="2">
        <f t="shared" si="83"/>
        <v>2008</v>
      </c>
      <c r="AI85" s="95">
        <f t="shared" si="75"/>
        <v>744.95802595357475</v>
      </c>
      <c r="AJ85" s="95">
        <f t="shared" si="101"/>
        <v>719.6685593049516</v>
      </c>
      <c r="AK85" s="95">
        <f t="shared" si="119"/>
        <v>40.40731186655983</v>
      </c>
      <c r="AL85" s="95">
        <f t="shared" si="120"/>
        <v>640.47168333441641</v>
      </c>
      <c r="AM85" s="95">
        <f t="shared" si="121"/>
        <v>798.86543527548679</v>
      </c>
      <c r="AN85" s="56">
        <f t="shared" si="84"/>
        <v>-2.0347438830730979E-2</v>
      </c>
      <c r="AO85" s="2">
        <f t="shared" si="85"/>
        <v>2008</v>
      </c>
      <c r="AP85" s="95">
        <f t="shared" si="76"/>
        <v>381.65236412890033</v>
      </c>
      <c r="AQ85" s="95">
        <f t="shared" si="102"/>
        <v>386.72750021417824</v>
      </c>
      <c r="AR85" s="95">
        <f t="shared" si="122"/>
        <v>80.680386649264349</v>
      </c>
      <c r="AS85" s="95">
        <f t="shared" si="123"/>
        <v>228.59684812285394</v>
      </c>
      <c r="AT85" s="95">
        <f t="shared" si="124"/>
        <v>544.85815230550247</v>
      </c>
      <c r="AU85" s="56">
        <f t="shared" si="86"/>
        <v>-0.20470846815062571</v>
      </c>
      <c r="AV85" s="2">
        <f t="shared" si="87"/>
        <v>2008</v>
      </c>
      <c r="AW85" s="95">
        <f t="shared" si="88"/>
        <v>1737.0156422578648</v>
      </c>
      <c r="AX85" s="95">
        <f t="shared" si="103"/>
        <v>1855.9233327881543</v>
      </c>
      <c r="AY85" s="95">
        <f t="shared" si="125"/>
        <v>381.37220182075492</v>
      </c>
      <c r="AZ85" s="95">
        <f t="shared" si="126"/>
        <v>1108.4475525147341</v>
      </c>
      <c r="BA85" s="95">
        <f t="shared" si="127"/>
        <v>2603.3991130615746</v>
      </c>
      <c r="BB85" s="56">
        <f t="shared" si="89"/>
        <v>-0.21790656717694479</v>
      </c>
      <c r="BC85" s="2">
        <f t="shared" si="90"/>
        <v>2008</v>
      </c>
      <c r="BD85" s="95">
        <f t="shared" si="71"/>
        <v>567.16459549365322</v>
      </c>
      <c r="BE85" s="95">
        <f t="shared" si="104"/>
        <v>591.23634389314543</v>
      </c>
      <c r="BF85" s="95">
        <f t="shared" si="128"/>
        <v>21.367065482876043</v>
      </c>
      <c r="BG85" s="95">
        <f t="shared" si="129"/>
        <v>549.35766509139944</v>
      </c>
      <c r="BH85" s="95">
        <f t="shared" si="130"/>
        <v>633.11502269489142</v>
      </c>
      <c r="BI85" s="56">
        <f t="shared" si="91"/>
        <v>-1.2686464947563647E-2</v>
      </c>
      <c r="BJ85" s="134">
        <f t="shared" si="107"/>
        <v>4.2442262071278353E-2</v>
      </c>
      <c r="BL85" s="2">
        <f t="shared" si="92"/>
        <v>2008</v>
      </c>
      <c r="BM85" s="95">
        <f t="shared" si="93"/>
        <v>785.85996707502534</v>
      </c>
      <c r="BN85" s="95">
        <f t="shared" si="105"/>
        <v>742.64519609238164</v>
      </c>
      <c r="BO85" s="95">
        <f t="shared" si="131"/>
        <v>47.255897747083246</v>
      </c>
      <c r="BP85" s="95">
        <f t="shared" si="132"/>
        <v>650.02533845099106</v>
      </c>
      <c r="BQ85" s="95">
        <f t="shared" si="133"/>
        <v>835.26505373377222</v>
      </c>
      <c r="BR85" s="56">
        <f t="shared" si="94"/>
        <v>-8.4232691517279745E-3</v>
      </c>
      <c r="BS85" s="134">
        <f t="shared" si="108"/>
        <v>5.4990421694960857E-2</v>
      </c>
      <c r="BU85" s="2">
        <f t="shared" si="95"/>
        <v>2008</v>
      </c>
      <c r="BV85" s="95">
        <f t="shared" si="96"/>
        <v>797.73881053386322</v>
      </c>
      <c r="BW85" s="95">
        <f t="shared" si="106"/>
        <v>750.3547286779027</v>
      </c>
      <c r="BX85" s="95">
        <f t="shared" si="134"/>
        <v>113.2633655012486</v>
      </c>
      <c r="BY85" s="95">
        <f t="shared" si="135"/>
        <v>528.36261152765906</v>
      </c>
      <c r="BZ85" s="95">
        <f t="shared" si="136"/>
        <v>972.34684582814634</v>
      </c>
      <c r="CA85" s="56">
        <f t="shared" si="97"/>
        <v>-5.8732431908875116E-2</v>
      </c>
      <c r="CB85" s="134">
        <f t="shared" si="109"/>
        <v>5.9397989956449675E-2</v>
      </c>
    </row>
    <row r="86" spans="1:80" ht="1" customHeight="1">
      <c r="A86" s="2">
        <v>2009</v>
      </c>
      <c r="B86" s="95">
        <v>1007.7876991752961</v>
      </c>
      <c r="C86" s="95">
        <v>402.88918334309363</v>
      </c>
      <c r="D86" s="95">
        <v>1666.6600834130761</v>
      </c>
      <c r="E86" s="95">
        <v>713.15501548092914</v>
      </c>
      <c r="F86" s="95">
        <v>309.4310459135491</v>
      </c>
      <c r="G86" s="147">
        <v>1655.8009197743074</v>
      </c>
      <c r="H86" s="95">
        <v>554.23170103519442</v>
      </c>
      <c r="I86" s="95">
        <v>811.06494542907751</v>
      </c>
      <c r="J86" s="95">
        <v>715.7475394886643</v>
      </c>
      <c r="K86" s="95"/>
      <c r="L86" s="2"/>
      <c r="M86" s="2">
        <f t="shared" si="77"/>
        <v>2009</v>
      </c>
      <c r="N86" s="95">
        <f t="shared" si="72"/>
        <v>1007.7876991752961</v>
      </c>
      <c r="O86" s="95">
        <f t="shared" si="98"/>
        <v>1011.466143205105</v>
      </c>
      <c r="P86" s="95">
        <f t="shared" si="110"/>
        <v>20.970863817977502</v>
      </c>
      <c r="Q86" s="95">
        <f t="shared" si="111"/>
        <v>970.36400539717499</v>
      </c>
      <c r="R86" s="95">
        <f t="shared" si="112"/>
        <v>1052.5682810130349</v>
      </c>
      <c r="S86" s="56">
        <f t="shared" si="78"/>
        <v>-1.7822890179914785E-2</v>
      </c>
      <c r="T86" s="2">
        <f t="shared" si="79"/>
        <v>2009</v>
      </c>
      <c r="U86" s="95">
        <f t="shared" si="73"/>
        <v>402.88918334309363</v>
      </c>
      <c r="V86" s="95">
        <f t="shared" si="99"/>
        <v>407.35903697537458</v>
      </c>
      <c r="W86" s="95">
        <f t="shared" si="113"/>
        <v>14.898591393584654</v>
      </c>
      <c r="X86" s="95">
        <f t="shared" si="114"/>
        <v>378.15833442357024</v>
      </c>
      <c r="Y86" s="95">
        <f t="shared" si="115"/>
        <v>436.55973952717892</v>
      </c>
      <c r="Z86" s="56">
        <f t="shared" si="80"/>
        <v>1.3841989011675881E-3</v>
      </c>
      <c r="AA86" s="2">
        <f t="shared" si="81"/>
        <v>2009</v>
      </c>
      <c r="AB86" s="95">
        <f t="shared" si="74"/>
        <v>1666.6600834130761</v>
      </c>
      <c r="AC86" s="95">
        <f t="shared" si="100"/>
        <v>1878.8906425380287</v>
      </c>
      <c r="AD86" s="95">
        <f t="shared" si="116"/>
        <v>278.91610266361869</v>
      </c>
      <c r="AE86" s="95">
        <f t="shared" si="117"/>
        <v>1332.22512660906</v>
      </c>
      <c r="AF86" s="95">
        <f t="shared" si="118"/>
        <v>2425.5561584669977</v>
      </c>
      <c r="AG86" s="56">
        <f t="shared" si="82"/>
        <v>-4.1102857620191724E-2</v>
      </c>
      <c r="AH86" s="2">
        <f t="shared" si="83"/>
        <v>2009</v>
      </c>
      <c r="AI86" s="95">
        <f t="shared" si="75"/>
        <v>713.15501548092914</v>
      </c>
      <c r="AJ86" s="95">
        <f t="shared" si="101"/>
        <v>739.39596174088342</v>
      </c>
      <c r="AK86" s="95">
        <f t="shared" si="119"/>
        <v>39.903573901285938</v>
      </c>
      <c r="AL86" s="95">
        <f t="shared" si="120"/>
        <v>661.18639403993052</v>
      </c>
      <c r="AM86" s="95">
        <f t="shared" si="121"/>
        <v>817.60552944183632</v>
      </c>
      <c r="AN86" s="56">
        <f t="shared" si="84"/>
        <v>-4.2691009915540645E-2</v>
      </c>
      <c r="AO86" s="2">
        <f t="shared" si="85"/>
        <v>2009</v>
      </c>
      <c r="AP86" s="95">
        <f t="shared" si="76"/>
        <v>309.4310459135491</v>
      </c>
      <c r="AQ86" s="95">
        <f t="shared" si="102"/>
        <v>389.56396988581866</v>
      </c>
      <c r="AR86" s="95">
        <f t="shared" si="122"/>
        <v>69.390517601189202</v>
      </c>
      <c r="AS86" s="95">
        <f t="shared" si="123"/>
        <v>253.56105451889516</v>
      </c>
      <c r="AT86" s="95">
        <f t="shared" si="124"/>
        <v>525.56688525274217</v>
      </c>
      <c r="AU86" s="56">
        <f t="shared" si="86"/>
        <v>-0.18923325257054879</v>
      </c>
      <c r="AV86" s="2">
        <f t="shared" si="87"/>
        <v>2009</v>
      </c>
      <c r="AW86" s="95">
        <f t="shared" si="88"/>
        <v>1655.8009197743074</v>
      </c>
      <c r="AX86" s="95">
        <f t="shared" si="103"/>
        <v>1835.0038673234042</v>
      </c>
      <c r="AY86" s="95">
        <f t="shared" si="125"/>
        <v>332.87672509385095</v>
      </c>
      <c r="AZ86" s="95">
        <f t="shared" si="126"/>
        <v>1182.5774748478161</v>
      </c>
      <c r="BA86" s="95">
        <f t="shared" si="127"/>
        <v>2487.4302597989922</v>
      </c>
      <c r="BB86" s="56">
        <f t="shared" si="89"/>
        <v>-4.6755320163950898E-2</v>
      </c>
      <c r="BC86" s="2">
        <f t="shared" si="90"/>
        <v>2009</v>
      </c>
      <c r="BD86" s="95">
        <f t="shared" si="71"/>
        <v>554.23170103519442</v>
      </c>
      <c r="BE86" s="95">
        <f t="shared" si="104"/>
        <v>592.21358818227054</v>
      </c>
      <c r="BF86" s="95">
        <f t="shared" si="128"/>
        <v>21.17731350661089</v>
      </c>
      <c r="BG86" s="95">
        <f t="shared" si="129"/>
        <v>550.70681641999954</v>
      </c>
      <c r="BH86" s="95">
        <f t="shared" si="130"/>
        <v>633.72035994454154</v>
      </c>
      <c r="BI86" s="56">
        <f t="shared" si="91"/>
        <v>-2.2802718225389484E-2</v>
      </c>
      <c r="BJ86" s="134">
        <f t="shared" si="107"/>
        <v>6.8530701286363668E-2</v>
      </c>
      <c r="BL86" s="2">
        <f t="shared" si="92"/>
        <v>2009</v>
      </c>
      <c r="BM86" s="95">
        <f t="shared" si="93"/>
        <v>811.06494542907751</v>
      </c>
      <c r="BN86" s="95">
        <f t="shared" si="105"/>
        <v>768.10071613755167</v>
      </c>
      <c r="BO86" s="95">
        <f t="shared" si="131"/>
        <v>47.771597258523499</v>
      </c>
      <c r="BP86" s="95">
        <f t="shared" si="132"/>
        <v>674.47010602689329</v>
      </c>
      <c r="BQ86" s="95">
        <f t="shared" si="133"/>
        <v>861.73132624821005</v>
      </c>
      <c r="BR86" s="56">
        <f t="shared" si="94"/>
        <v>3.2073116598451135E-2</v>
      </c>
      <c r="BS86" s="134">
        <f t="shared" si="108"/>
        <v>5.2972612777385519E-2</v>
      </c>
      <c r="BU86" s="2">
        <f t="shared" si="95"/>
        <v>2009</v>
      </c>
      <c r="BV86" s="95">
        <f t="shared" si="96"/>
        <v>715.7475394886643</v>
      </c>
      <c r="BW86" s="95">
        <f t="shared" si="106"/>
        <v>796.41257982835236</v>
      </c>
      <c r="BX86" s="95">
        <f t="shared" si="134"/>
        <v>112.82702050563746</v>
      </c>
      <c r="BY86" s="95">
        <f t="shared" si="135"/>
        <v>575.27568315434087</v>
      </c>
      <c r="BZ86" s="95">
        <f t="shared" si="136"/>
        <v>1017.5494765023639</v>
      </c>
      <c r="CA86" s="56">
        <f t="shared" si="97"/>
        <v>-0.10277959397553782</v>
      </c>
      <c r="CB86" s="134">
        <f t="shared" si="109"/>
        <v>0.11270040885829073</v>
      </c>
    </row>
    <row r="87" spans="1:80" ht="15.5">
      <c r="A87" s="2">
        <v>2010</v>
      </c>
      <c r="B87" s="95">
        <v>983.59306755424939</v>
      </c>
      <c r="C87" s="95">
        <v>402.69479438842939</v>
      </c>
      <c r="D87" s="95">
        <v>1719.2672831487957</v>
      </c>
      <c r="E87" s="95">
        <v>730.18824777552436</v>
      </c>
      <c r="F87" s="95">
        <v>349.93231555031645</v>
      </c>
      <c r="G87" s="147">
        <v>1923.7574769087769</v>
      </c>
      <c r="H87" s="95">
        <v>550.75824121635708</v>
      </c>
      <c r="I87" s="95">
        <v>752.84388125588316</v>
      </c>
      <c r="J87" s="95">
        <v>897.52450351600714</v>
      </c>
      <c r="K87" s="95"/>
      <c r="L87" s="2"/>
      <c r="M87" s="2">
        <f t="shared" si="77"/>
        <v>2010</v>
      </c>
      <c r="N87" s="95">
        <f t="shared" si="72"/>
        <v>983.59306755424939</v>
      </c>
      <c r="O87" s="95">
        <f t="shared" si="98"/>
        <v>1009.7691881837109</v>
      </c>
      <c r="P87" s="95">
        <f t="shared" si="110"/>
        <v>12.247789020390842</v>
      </c>
      <c r="Q87" s="95">
        <f t="shared" si="111"/>
        <v>985.76396281349969</v>
      </c>
      <c r="R87" s="95">
        <f t="shared" si="112"/>
        <v>1033.7744135539219</v>
      </c>
      <c r="S87" s="56">
        <f t="shared" si="78"/>
        <v>-2.400766713152569E-2</v>
      </c>
      <c r="T87" s="2">
        <f t="shared" si="79"/>
        <v>2010</v>
      </c>
      <c r="U87" s="95">
        <f t="shared" si="73"/>
        <v>402.69479438842939</v>
      </c>
      <c r="V87" s="95">
        <f t="shared" si="99"/>
        <v>403.60353094163622</v>
      </c>
      <c r="W87" s="95">
        <f t="shared" si="113"/>
        <v>8.2491593029950359</v>
      </c>
      <c r="X87" s="95">
        <f t="shared" si="114"/>
        <v>387.43547580503241</v>
      </c>
      <c r="Y87" s="95">
        <f t="shared" si="115"/>
        <v>419.77158607824003</v>
      </c>
      <c r="Z87" s="56">
        <f t="shared" si="80"/>
        <v>-4.824874002603563E-4</v>
      </c>
      <c r="AA87" s="2">
        <f t="shared" si="81"/>
        <v>2010</v>
      </c>
      <c r="AB87" s="95">
        <f t="shared" si="74"/>
        <v>1719.2672831487957</v>
      </c>
      <c r="AC87" s="95">
        <f t="shared" si="100"/>
        <v>1834.5171914408506</v>
      </c>
      <c r="AD87" s="95">
        <f t="shared" si="116"/>
        <v>228.4545425097823</v>
      </c>
      <c r="AE87" s="95">
        <f t="shared" si="117"/>
        <v>1386.7545160171026</v>
      </c>
      <c r="AF87" s="95">
        <f t="shared" si="118"/>
        <v>2282.2798668645987</v>
      </c>
      <c r="AG87" s="56">
        <f t="shared" si="82"/>
        <v>3.1564444519477375E-2</v>
      </c>
      <c r="AH87" s="2">
        <f t="shared" si="83"/>
        <v>2010</v>
      </c>
      <c r="AI87" s="95">
        <f t="shared" si="75"/>
        <v>730.18824777552436</v>
      </c>
      <c r="AJ87" s="95">
        <f t="shared" si="101"/>
        <v>737.57913862004341</v>
      </c>
      <c r="AK87" s="95">
        <f t="shared" si="119"/>
        <v>35.703061772448386</v>
      </c>
      <c r="AL87" s="95">
        <f t="shared" si="120"/>
        <v>667.60242340823584</v>
      </c>
      <c r="AM87" s="95">
        <f t="shared" si="121"/>
        <v>807.55585383185098</v>
      </c>
      <c r="AN87" s="56">
        <f t="shared" si="84"/>
        <v>2.3884333594861529E-2</v>
      </c>
      <c r="AO87" s="2">
        <f t="shared" si="85"/>
        <v>2010</v>
      </c>
      <c r="AP87" s="95">
        <f t="shared" si="76"/>
        <v>349.93231555031645</v>
      </c>
      <c r="AQ87" s="95">
        <f t="shared" si="102"/>
        <v>370.62487953959692</v>
      </c>
      <c r="AR87" s="95">
        <f t="shared" si="122"/>
        <v>52.56584822184648</v>
      </c>
      <c r="AS87" s="95">
        <f t="shared" si="123"/>
        <v>267.59771020797899</v>
      </c>
      <c r="AT87" s="95">
        <f t="shared" si="124"/>
        <v>473.65204887121484</v>
      </c>
      <c r="AU87" s="56">
        <f t="shared" si="86"/>
        <v>0.13088948304199199</v>
      </c>
      <c r="AV87" s="2">
        <f t="shared" si="87"/>
        <v>2010</v>
      </c>
      <c r="AW87" s="95">
        <f t="shared" si="88"/>
        <v>1923.7574769087769</v>
      </c>
      <c r="AX87" s="95">
        <f t="shared" si="103"/>
        <v>1762.7637019252356</v>
      </c>
      <c r="AY87" s="95">
        <f t="shared" si="125"/>
        <v>185.83955949152079</v>
      </c>
      <c r="AZ87" s="95">
        <f t="shared" si="126"/>
        <v>1398.5248584190663</v>
      </c>
      <c r="BA87" s="95">
        <f t="shared" si="127"/>
        <v>2127.002545431405</v>
      </c>
      <c r="BB87" s="56">
        <f t="shared" si="89"/>
        <v>0.16182896985646855</v>
      </c>
      <c r="BC87" s="2">
        <f t="shared" si="90"/>
        <v>2010</v>
      </c>
      <c r="BD87" s="95">
        <f t="shared" si="71"/>
        <v>550.75824121635708</v>
      </c>
      <c r="BE87" s="95">
        <f t="shared" si="104"/>
        <v>577.22499790324218</v>
      </c>
      <c r="BF87" s="95">
        <f t="shared" si="128"/>
        <v>17.389902993713296</v>
      </c>
      <c r="BG87" s="95">
        <f t="shared" si="129"/>
        <v>543.14141434091891</v>
      </c>
      <c r="BH87" s="95">
        <f t="shared" si="130"/>
        <v>611.30858146556545</v>
      </c>
      <c r="BI87" s="56">
        <f t="shared" si="91"/>
        <v>-6.2671619330860739E-3</v>
      </c>
      <c r="BJ87" s="134">
        <f t="shared" si="107"/>
        <v>4.8055126017602409E-2</v>
      </c>
      <c r="BL87" s="2">
        <f t="shared" si="92"/>
        <v>2010</v>
      </c>
      <c r="BM87" s="95">
        <f t="shared" si="93"/>
        <v>752.84388125588316</v>
      </c>
      <c r="BN87" s="95">
        <f t="shared" si="105"/>
        <v>780.59687628989991</v>
      </c>
      <c r="BO87" s="95">
        <f t="shared" si="131"/>
        <v>41.08689517988379</v>
      </c>
      <c r="BP87" s="95">
        <f t="shared" si="132"/>
        <v>700.06804150075538</v>
      </c>
      <c r="BQ87" s="95">
        <f t="shared" si="133"/>
        <v>861.12571107904444</v>
      </c>
      <c r="BR87" s="56">
        <f t="shared" si="94"/>
        <v>-7.1783479857329691E-2</v>
      </c>
      <c r="BS87" s="134">
        <f t="shared" si="108"/>
        <v>3.6864210130418552E-2</v>
      </c>
      <c r="BU87" s="2">
        <f t="shared" si="95"/>
        <v>2010</v>
      </c>
      <c r="BV87" s="95">
        <f t="shared" si="96"/>
        <v>897.52450351600714</v>
      </c>
      <c r="BW87" s="95">
        <f t="shared" si="106"/>
        <v>794.07387461326311</v>
      </c>
      <c r="BX87" s="95">
        <f t="shared" si="134"/>
        <v>104.53249444584952</v>
      </c>
      <c r="BY87" s="95">
        <f t="shared" si="135"/>
        <v>589.19395028526492</v>
      </c>
      <c r="BZ87" s="95">
        <f t="shared" si="136"/>
        <v>998.95379894126131</v>
      </c>
      <c r="CA87" s="56">
        <f t="shared" si="97"/>
        <v>0.25396799010612847</v>
      </c>
      <c r="CB87" s="134">
        <f t="shared" si="109"/>
        <v>0.11526217779846833</v>
      </c>
    </row>
    <row r="88" spans="1:80" ht="1" customHeight="1">
      <c r="A88" s="2">
        <v>2011</v>
      </c>
      <c r="B88" s="95">
        <v>961.18473257480946</v>
      </c>
      <c r="C88" s="95">
        <v>395.08317324910428</v>
      </c>
      <c r="D88" s="95">
        <v>1653.7525197034186</v>
      </c>
      <c r="E88" s="95">
        <v>654.44827847933948</v>
      </c>
      <c r="F88" s="95">
        <v>308.23900205538069</v>
      </c>
      <c r="G88" s="147">
        <v>1783.3364392969647</v>
      </c>
      <c r="H88" s="95">
        <v>547.30175135437946</v>
      </c>
      <c r="I88" s="95">
        <v>734.06449620112971</v>
      </c>
      <c r="J88" s="95">
        <v>903.79566700928626</v>
      </c>
      <c r="K88" s="95"/>
      <c r="L88" s="2"/>
      <c r="M88" s="2">
        <f t="shared" si="77"/>
        <v>2011</v>
      </c>
      <c r="N88" s="95">
        <f t="shared" si="72"/>
        <v>961.18473257480946</v>
      </c>
      <c r="O88" s="95">
        <f t="shared" si="98"/>
        <v>1004.1292160193323</v>
      </c>
      <c r="P88" s="95">
        <f t="shared" si="110"/>
        <v>13.117877905534666</v>
      </c>
      <c r="Q88" s="95">
        <f t="shared" si="111"/>
        <v>978.41864777089063</v>
      </c>
      <c r="R88" s="95">
        <f t="shared" si="112"/>
        <v>1029.8397842677739</v>
      </c>
      <c r="S88" s="56">
        <f t="shared" si="78"/>
        <v>-2.2782119677967394E-2</v>
      </c>
      <c r="T88" s="2">
        <f t="shared" si="79"/>
        <v>2011</v>
      </c>
      <c r="U88" s="95">
        <f t="shared" si="73"/>
        <v>395.08317324910428</v>
      </c>
      <c r="V88" s="95">
        <f t="shared" si="99"/>
        <v>401.46870459373321</v>
      </c>
      <c r="W88" s="95">
        <f t="shared" si="113"/>
        <v>2.4538537955797306</v>
      </c>
      <c r="X88" s="95">
        <f t="shared" si="114"/>
        <v>396.65923953107</v>
      </c>
      <c r="Y88" s="95">
        <f t="shared" si="115"/>
        <v>406.27816965639641</v>
      </c>
      <c r="Z88" s="56">
        <f t="shared" si="80"/>
        <v>-1.8901712277867522E-2</v>
      </c>
      <c r="AA88" s="2">
        <f t="shared" si="81"/>
        <v>2011</v>
      </c>
      <c r="AB88" s="95">
        <f t="shared" si="74"/>
        <v>1653.7525197034186</v>
      </c>
      <c r="AC88" s="95">
        <f t="shared" si="100"/>
        <v>1782.5561708430864</v>
      </c>
      <c r="AD88" s="95">
        <f t="shared" si="116"/>
        <v>149.88668516955894</v>
      </c>
      <c r="AE88" s="95">
        <f t="shared" si="117"/>
        <v>1488.7836661486572</v>
      </c>
      <c r="AF88" s="95">
        <f t="shared" si="118"/>
        <v>2076.3286755375157</v>
      </c>
      <c r="AG88" s="56">
        <f t="shared" si="82"/>
        <v>-3.8106211923831013E-2</v>
      </c>
      <c r="AH88" s="2">
        <f t="shared" si="83"/>
        <v>2011</v>
      </c>
      <c r="AI88" s="95">
        <f t="shared" si="75"/>
        <v>654.44827847933948</v>
      </c>
      <c r="AJ88" s="95">
        <f t="shared" si="101"/>
        <v>739.72925286683358</v>
      </c>
      <c r="AK88" s="95">
        <f t="shared" si="119"/>
        <v>32.252437366622566</v>
      </c>
      <c r="AL88" s="95">
        <f t="shared" si="120"/>
        <v>676.51563721461946</v>
      </c>
      <c r="AM88" s="95">
        <f t="shared" si="121"/>
        <v>802.94286851904769</v>
      </c>
      <c r="AN88" s="56">
        <f t="shared" si="84"/>
        <v>-0.10372663423017592</v>
      </c>
      <c r="AO88" s="2">
        <f t="shared" si="85"/>
        <v>2011</v>
      </c>
      <c r="AP88" s="95">
        <f t="shared" si="76"/>
        <v>308.23900205538069</v>
      </c>
      <c r="AQ88" s="95">
        <f t="shared" si="102"/>
        <v>372.34948223037065</v>
      </c>
      <c r="AR88" s="95">
        <f t="shared" si="122"/>
        <v>51.329899290279727</v>
      </c>
      <c r="AS88" s="95">
        <f t="shared" si="123"/>
        <v>271.74472829135436</v>
      </c>
      <c r="AT88" s="95">
        <f t="shared" si="124"/>
        <v>472.95423616938695</v>
      </c>
      <c r="AU88" s="56">
        <f t="shared" si="86"/>
        <v>-0.11914679394318672</v>
      </c>
      <c r="AV88" s="2">
        <f t="shared" si="87"/>
        <v>2011</v>
      </c>
      <c r="AW88" s="95">
        <f t="shared" si="88"/>
        <v>1783.3364392969647</v>
      </c>
      <c r="AX88" s="95">
        <f t="shared" si="103"/>
        <v>1825.2500160085779</v>
      </c>
      <c r="AY88" s="95">
        <f t="shared" si="125"/>
        <v>181.11660436225156</v>
      </c>
      <c r="AZ88" s="95">
        <f t="shared" si="126"/>
        <v>1470.2679944563747</v>
      </c>
      <c r="BA88" s="95">
        <f t="shared" si="127"/>
        <v>2180.232037560781</v>
      </c>
      <c r="BB88" s="56">
        <f t="shared" si="89"/>
        <v>-7.2993108173619703E-2</v>
      </c>
      <c r="BC88" s="2">
        <f t="shared" si="90"/>
        <v>2011</v>
      </c>
      <c r="BD88" s="95">
        <f t="shared" si="71"/>
        <v>547.30175135437946</v>
      </c>
      <c r="BE88" s="95">
        <f t="shared" si="104"/>
        <v>567.20152144027611</v>
      </c>
      <c r="BF88" s="95">
        <f t="shared" si="128"/>
        <v>18.752118972126993</v>
      </c>
      <c r="BG88" s="95">
        <f t="shared" si="129"/>
        <v>530.44804362109699</v>
      </c>
      <c r="BH88" s="95">
        <f t="shared" si="130"/>
        <v>603.95499925945524</v>
      </c>
      <c r="BI88" s="56">
        <f t="shared" si="91"/>
        <v>-6.2758749725539964E-3</v>
      </c>
      <c r="BJ88" s="134">
        <f t="shared" si="107"/>
        <v>3.6359777831245214E-2</v>
      </c>
      <c r="BL88" s="2">
        <f t="shared" si="92"/>
        <v>2011</v>
      </c>
      <c r="BM88" s="95">
        <f t="shared" si="93"/>
        <v>734.06449620112971</v>
      </c>
      <c r="BN88" s="95">
        <f t="shared" si="105"/>
        <v>781.11696595746957</v>
      </c>
      <c r="BO88" s="95">
        <f t="shared" si="131"/>
        <v>37.03521860613661</v>
      </c>
      <c r="BP88" s="95">
        <f t="shared" si="132"/>
        <v>708.52927132987418</v>
      </c>
      <c r="BQ88" s="95">
        <f t="shared" si="133"/>
        <v>853.70466058506497</v>
      </c>
      <c r="BR88" s="56">
        <f t="shared" si="94"/>
        <v>-2.4944594121461106E-2</v>
      </c>
      <c r="BS88" s="134">
        <f t="shared" si="108"/>
        <v>6.4098549922850023E-2</v>
      </c>
      <c r="BU88" s="2">
        <f t="shared" si="95"/>
        <v>2011</v>
      </c>
      <c r="BV88" s="95">
        <f t="shared" si="96"/>
        <v>903.79566700928626</v>
      </c>
      <c r="BW88" s="95">
        <f t="shared" si="106"/>
        <v>818.83967390929445</v>
      </c>
      <c r="BX88" s="95">
        <f t="shared" si="134"/>
        <v>92.3031772853939</v>
      </c>
      <c r="BY88" s="95">
        <f t="shared" si="135"/>
        <v>637.92877077130686</v>
      </c>
      <c r="BZ88" s="95">
        <f t="shared" si="136"/>
        <v>999.75057704728204</v>
      </c>
      <c r="CA88" s="56">
        <f t="shared" si="97"/>
        <v>6.9871780310311049E-3</v>
      </c>
      <c r="CB88" s="134">
        <f t="shared" si="109"/>
        <v>9.3999115287990112E-2</v>
      </c>
    </row>
    <row r="89" spans="1:80" ht="1" customHeight="1">
      <c r="A89" s="2">
        <v>2012</v>
      </c>
      <c r="B89" s="95">
        <v>947.80942878941244</v>
      </c>
      <c r="C89" s="95">
        <v>398.96900957018534</v>
      </c>
      <c r="D89" s="95">
        <v>1590.3072687461797</v>
      </c>
      <c r="E89" s="95">
        <v>666.66461040748163</v>
      </c>
      <c r="F89" s="95">
        <v>282.85495127656162</v>
      </c>
      <c r="G89" s="147">
        <v>1871.9214185076275</v>
      </c>
      <c r="H89" s="95">
        <v>558.47219275106056</v>
      </c>
      <c r="I89" s="95">
        <v>795.67604938290401</v>
      </c>
      <c r="J89" s="95">
        <v>864.93561093682229</v>
      </c>
      <c r="K89" s="95"/>
      <c r="L89" s="2"/>
      <c r="M89" s="2">
        <f t="shared" si="77"/>
        <v>2012</v>
      </c>
      <c r="N89" s="95">
        <f t="shared" si="72"/>
        <v>947.80942878941244</v>
      </c>
      <c r="O89" s="95">
        <f t="shared" si="98"/>
        <v>998.71663767714813</v>
      </c>
      <c r="P89" s="95">
        <f t="shared" si="110"/>
        <v>20.839512210376469</v>
      </c>
      <c r="Q89" s="95">
        <f t="shared" si="111"/>
        <v>957.87194428942757</v>
      </c>
      <c r="R89" s="95">
        <f t="shared" si="112"/>
        <v>1039.5613310648687</v>
      </c>
      <c r="S89" s="56">
        <f t="shared" si="78"/>
        <v>-1.3915435120954722E-2</v>
      </c>
      <c r="T89" s="2">
        <f t="shared" si="79"/>
        <v>2012</v>
      </c>
      <c r="U89" s="95">
        <f t="shared" si="73"/>
        <v>398.96900957018534</v>
      </c>
      <c r="V89" s="95">
        <f t="shared" si="99"/>
        <v>400.2409765420951</v>
      </c>
      <c r="W89" s="95">
        <f t="shared" si="113"/>
        <v>3.291696874761104</v>
      </c>
      <c r="X89" s="95">
        <f t="shared" si="114"/>
        <v>393.78936921954028</v>
      </c>
      <c r="Y89" s="95">
        <f t="shared" si="115"/>
        <v>406.69258386464992</v>
      </c>
      <c r="Z89" s="56">
        <f t="shared" si="80"/>
        <v>9.8354892948857575E-3</v>
      </c>
      <c r="AA89" s="2">
        <f t="shared" si="81"/>
        <v>2012</v>
      </c>
      <c r="AB89" s="95">
        <f t="shared" si="74"/>
        <v>1590.3072687461797</v>
      </c>
      <c r="AC89" s="95">
        <f t="shared" si="100"/>
        <v>1725.4297119389823</v>
      </c>
      <c r="AD89" s="95">
        <f t="shared" si="116"/>
        <v>110.23389301712126</v>
      </c>
      <c r="AE89" s="95">
        <f t="shared" si="117"/>
        <v>1509.3752517497833</v>
      </c>
      <c r="AF89" s="95">
        <f t="shared" si="118"/>
        <v>1941.4841721281814</v>
      </c>
      <c r="AG89" s="56">
        <f t="shared" si="82"/>
        <v>-3.8364416804406165E-2</v>
      </c>
      <c r="AH89" s="2">
        <f t="shared" si="83"/>
        <v>2012</v>
      </c>
      <c r="AI89" s="95">
        <f t="shared" si="75"/>
        <v>666.66461040748163</v>
      </c>
      <c r="AJ89" s="95">
        <f t="shared" si="101"/>
        <v>720.63608275370791</v>
      </c>
      <c r="AK89" s="95">
        <f t="shared" si="119"/>
        <v>36.771985492488632</v>
      </c>
      <c r="AL89" s="95">
        <f t="shared" si="120"/>
        <v>648.56431554840083</v>
      </c>
      <c r="AM89" s="95">
        <f t="shared" si="121"/>
        <v>792.70784995901499</v>
      </c>
      <c r="AN89" s="56">
        <f t="shared" si="84"/>
        <v>1.8666611755061346E-2</v>
      </c>
      <c r="AO89" s="2">
        <f t="shared" si="85"/>
        <v>2012</v>
      </c>
      <c r="AP89" s="95">
        <f t="shared" si="76"/>
        <v>282.85495127656162</v>
      </c>
      <c r="AQ89" s="95">
        <f t="shared" si="102"/>
        <v>365.82892312519209</v>
      </c>
      <c r="AR89" s="95">
        <f t="shared" si="122"/>
        <v>57.106282743872931</v>
      </c>
      <c r="AS89" s="95">
        <f t="shared" si="123"/>
        <v>253.90266565624</v>
      </c>
      <c r="AT89" s="95">
        <f t="shared" si="124"/>
        <v>477.75518059414418</v>
      </c>
      <c r="AU89" s="56">
        <f t="shared" si="86"/>
        <v>-8.2351845838958382E-2</v>
      </c>
      <c r="AV89" s="2">
        <f t="shared" si="87"/>
        <v>2012</v>
      </c>
      <c r="AW89" s="95">
        <f t="shared" si="88"/>
        <v>1871.9214185076275</v>
      </c>
      <c r="AX89" s="95">
        <f t="shared" si="103"/>
        <v>1864.1785482345608</v>
      </c>
      <c r="AY89" s="95">
        <f t="shared" si="125"/>
        <v>184.68888322112014</v>
      </c>
      <c r="AZ89" s="95">
        <f t="shared" si="126"/>
        <v>1502.1949887762416</v>
      </c>
      <c r="BA89" s="95">
        <f t="shared" si="127"/>
        <v>2226.16210769288</v>
      </c>
      <c r="BB89" s="56">
        <f t="shared" si="89"/>
        <v>4.9673733603281978E-2</v>
      </c>
      <c r="BC89" s="2">
        <f t="shared" si="90"/>
        <v>2012</v>
      </c>
      <c r="BD89" s="95">
        <f t="shared" si="71"/>
        <v>558.47219275106056</v>
      </c>
      <c r="BE89" s="95">
        <f t="shared" si="104"/>
        <v>558.78173087790663</v>
      </c>
      <c r="BF89" s="95">
        <f t="shared" si="128"/>
        <v>19.183415064644038</v>
      </c>
      <c r="BG89" s="95">
        <f t="shared" si="129"/>
        <v>521.18292825072126</v>
      </c>
      <c r="BH89" s="95">
        <f t="shared" si="130"/>
        <v>596.38053350509199</v>
      </c>
      <c r="BI89" s="56">
        <f t="shared" si="91"/>
        <v>2.0410023116202769E-2</v>
      </c>
      <c r="BJ89" s="134">
        <f t="shared" si="107"/>
        <v>5.5425879903037731E-4</v>
      </c>
      <c r="BL89" s="2">
        <f t="shared" si="92"/>
        <v>2012</v>
      </c>
      <c r="BM89" s="95">
        <f t="shared" si="93"/>
        <v>795.67604938290401</v>
      </c>
      <c r="BN89" s="95">
        <f t="shared" si="105"/>
        <v>775.27379972451024</v>
      </c>
      <c r="BO89" s="95">
        <f t="shared" si="131"/>
        <v>35.299664278171328</v>
      </c>
      <c r="BP89" s="95">
        <f t="shared" si="132"/>
        <v>706.0877290729394</v>
      </c>
      <c r="BQ89" s="95">
        <f t="shared" si="133"/>
        <v>844.45987037608108</v>
      </c>
      <c r="BR89" s="56">
        <f t="shared" si="94"/>
        <v>8.3932070684008542E-2</v>
      </c>
      <c r="BS89" s="134">
        <f t="shared" si="108"/>
        <v>2.5641402269449956E-2</v>
      </c>
      <c r="BU89" s="2">
        <f t="shared" si="95"/>
        <v>2012</v>
      </c>
      <c r="BV89" s="95">
        <f t="shared" si="96"/>
        <v>864.93561093682229</v>
      </c>
      <c r="BW89" s="95">
        <f t="shared" si="106"/>
        <v>832.46439495793254</v>
      </c>
      <c r="BX89" s="95">
        <f t="shared" si="134"/>
        <v>73.289061989832945</v>
      </c>
      <c r="BY89" s="95">
        <f t="shared" si="135"/>
        <v>688.82047299713656</v>
      </c>
      <c r="BZ89" s="95">
        <f t="shared" si="136"/>
        <v>976.10831691872852</v>
      </c>
      <c r="CA89" s="56">
        <f t="shared" si="97"/>
        <v>-4.2996506280069013E-2</v>
      </c>
      <c r="CB89" s="134">
        <f t="shared" si="109"/>
        <v>3.7541772553126559E-2</v>
      </c>
    </row>
    <row r="90" spans="1:80" ht="1" customHeight="1">
      <c r="A90" s="2">
        <v>2013</v>
      </c>
      <c r="B90" s="95">
        <v>969.98665349824796</v>
      </c>
      <c r="C90" s="95">
        <v>382.88694746372079</v>
      </c>
      <c r="D90" s="95">
        <v>1724.3327685098116</v>
      </c>
      <c r="E90" s="95">
        <v>592.17058665928073</v>
      </c>
      <c r="F90" s="95">
        <v>210.23183897498473</v>
      </c>
      <c r="G90" s="147">
        <v>1799.7310341613229</v>
      </c>
      <c r="H90" s="95">
        <v>535.0904798076682</v>
      </c>
      <c r="I90" s="95">
        <v>693.13538825291334</v>
      </c>
      <c r="J90" s="95">
        <v>820.89324796923574</v>
      </c>
      <c r="K90" s="95"/>
      <c r="L90" s="2"/>
      <c r="M90" s="2">
        <f t="shared" si="77"/>
        <v>2013</v>
      </c>
      <c r="N90" s="95">
        <f t="shared" si="72"/>
        <v>969.98665349824796</v>
      </c>
      <c r="O90" s="95">
        <f t="shared" si="98"/>
        <v>985.29005102786346</v>
      </c>
      <c r="P90" s="95">
        <f t="shared" si="110"/>
        <v>26.277476625226825</v>
      </c>
      <c r="Q90" s="95">
        <f t="shared" si="111"/>
        <v>933.78714323782572</v>
      </c>
      <c r="R90" s="95">
        <f t="shared" si="112"/>
        <v>1036.7929588179011</v>
      </c>
      <c r="S90" s="56">
        <f t="shared" si="78"/>
        <v>2.3398400601649882E-2</v>
      </c>
      <c r="T90" s="2">
        <f t="shared" si="79"/>
        <v>2013</v>
      </c>
      <c r="U90" s="95">
        <f t="shared" si="73"/>
        <v>382.88694746372079</v>
      </c>
      <c r="V90" s="95">
        <f t="shared" si="99"/>
        <v>400.39368720006496</v>
      </c>
      <c r="W90" s="95">
        <f t="shared" si="113"/>
        <v>3.3440861613409023</v>
      </c>
      <c r="X90" s="95">
        <f t="shared" si="114"/>
        <v>393.83939876263798</v>
      </c>
      <c r="Y90" s="95">
        <f t="shared" si="115"/>
        <v>406.94797563749194</v>
      </c>
      <c r="Z90" s="56">
        <f t="shared" si="80"/>
        <v>-4.0309050880392827E-2</v>
      </c>
      <c r="AA90" s="2">
        <f t="shared" si="81"/>
        <v>2013</v>
      </c>
      <c r="AB90" s="95">
        <f t="shared" si="74"/>
        <v>1724.3327685098116</v>
      </c>
      <c r="AC90" s="95">
        <f t="shared" si="100"/>
        <v>1673.6176312829473</v>
      </c>
      <c r="AD90" s="95">
        <f t="shared" si="116"/>
        <v>113.20905570197557</v>
      </c>
      <c r="AE90" s="95">
        <f t="shared" si="117"/>
        <v>1451.7319593832863</v>
      </c>
      <c r="AF90" s="95">
        <f t="shared" si="118"/>
        <v>1895.5033031826083</v>
      </c>
      <c r="AG90" s="56">
        <f t="shared" si="82"/>
        <v>8.4276480650999908E-2</v>
      </c>
      <c r="AH90" s="2">
        <f t="shared" si="83"/>
        <v>2013</v>
      </c>
      <c r="AI90" s="95">
        <f t="shared" si="75"/>
        <v>592.17058665928073</v>
      </c>
      <c r="AJ90" s="95">
        <f t="shared" si="101"/>
        <v>701.88283561936987</v>
      </c>
      <c r="AK90" s="95">
        <f t="shared" si="119"/>
        <v>35.608015809113802</v>
      </c>
      <c r="AL90" s="95">
        <f t="shared" si="120"/>
        <v>632.09240707257391</v>
      </c>
      <c r="AM90" s="95">
        <f t="shared" si="121"/>
        <v>771.67326416616584</v>
      </c>
      <c r="AN90" s="56">
        <f t="shared" si="84"/>
        <v>-0.11174138027616065</v>
      </c>
      <c r="AO90" s="2">
        <f t="shared" si="85"/>
        <v>2013</v>
      </c>
      <c r="AP90" s="95">
        <f t="shared" si="76"/>
        <v>210.23183897498473</v>
      </c>
      <c r="AQ90" s="95">
        <f t="shared" si="102"/>
        <v>326.42193578494164</v>
      </c>
      <c r="AR90" s="95">
        <f t="shared" si="122"/>
        <v>43.645135558151694</v>
      </c>
      <c r="AS90" s="95">
        <f t="shared" si="123"/>
        <v>240.87904199059585</v>
      </c>
      <c r="AT90" s="95">
        <f t="shared" si="124"/>
        <v>411.96482957928743</v>
      </c>
      <c r="AU90" s="56">
        <f t="shared" si="86"/>
        <v>-0.25675036612871449</v>
      </c>
      <c r="AV90" s="2">
        <f t="shared" si="87"/>
        <v>2013</v>
      </c>
      <c r="AW90" s="95">
        <f t="shared" si="88"/>
        <v>1799.7310341613229</v>
      </c>
      <c r="AX90" s="95">
        <f t="shared" si="103"/>
        <v>1794.3663793491082</v>
      </c>
      <c r="AY90" s="95">
        <f t="shared" si="125"/>
        <v>93.055552812632939</v>
      </c>
      <c r="AZ90" s="95">
        <f t="shared" si="126"/>
        <v>1611.9808472748828</v>
      </c>
      <c r="BA90" s="95">
        <f t="shared" si="127"/>
        <v>1976.7519114233337</v>
      </c>
      <c r="BB90" s="56">
        <f t="shared" si="89"/>
        <v>-3.8564858349587006E-2</v>
      </c>
      <c r="BC90" s="2">
        <f t="shared" si="90"/>
        <v>2013</v>
      </c>
      <c r="BD90" s="95">
        <f t="shared" si="71"/>
        <v>535.0904798076682</v>
      </c>
      <c r="BE90" s="95">
        <f t="shared" si="104"/>
        <v>555.58569637012897</v>
      </c>
      <c r="BF90" s="95">
        <f t="shared" si="128"/>
        <v>17.701112910303916</v>
      </c>
      <c r="BG90" s="95">
        <f t="shared" si="129"/>
        <v>520.89215257965634</v>
      </c>
      <c r="BH90" s="95">
        <f t="shared" si="130"/>
        <v>590.2792401606016</v>
      </c>
      <c r="BI90" s="56">
        <f t="shared" si="91"/>
        <v>-4.1867282287078478E-2</v>
      </c>
      <c r="BJ90" s="134">
        <f t="shared" si="107"/>
        <v>3.8302338269646519E-2</v>
      </c>
      <c r="BL90" s="2">
        <f t="shared" si="92"/>
        <v>2013</v>
      </c>
      <c r="BM90" s="95">
        <f t="shared" si="93"/>
        <v>693.13538825291334</v>
      </c>
      <c r="BN90" s="95">
        <f t="shared" si="105"/>
        <v>775.90186786880383</v>
      </c>
      <c r="BO90" s="95">
        <f t="shared" si="131"/>
        <v>28.748170379722009</v>
      </c>
      <c r="BP90" s="95">
        <f t="shared" si="132"/>
        <v>719.55648930312759</v>
      </c>
      <c r="BQ90" s="95">
        <f t="shared" si="133"/>
        <v>832.24724643448008</v>
      </c>
      <c r="BR90" s="56">
        <f t="shared" si="94"/>
        <v>-0.12887237363688064</v>
      </c>
      <c r="BS90" s="134">
        <f t="shared" si="108"/>
        <v>0.11940882116047782</v>
      </c>
      <c r="BU90" s="2">
        <f t="shared" si="95"/>
        <v>2013</v>
      </c>
      <c r="BV90" s="95">
        <f t="shared" si="96"/>
        <v>820.89324796923574</v>
      </c>
      <c r="BW90" s="95">
        <f t="shared" si="106"/>
        <v>835.94842629692869</v>
      </c>
      <c r="BX90" s="95">
        <f t="shared" si="134"/>
        <v>60.425960179353602</v>
      </c>
      <c r="BY90" s="95">
        <f t="shared" si="135"/>
        <v>717.51572061414413</v>
      </c>
      <c r="BZ90" s="95">
        <f t="shared" si="136"/>
        <v>954.38113197971325</v>
      </c>
      <c r="CA90" s="56">
        <f t="shared" si="97"/>
        <v>-5.0919816932827766E-2</v>
      </c>
      <c r="CB90" s="134">
        <f t="shared" si="109"/>
        <v>1.8339995322092306E-2</v>
      </c>
    </row>
    <row r="91" spans="1:80" ht="1" customHeight="1">
      <c r="A91" s="2">
        <v>2014</v>
      </c>
      <c r="B91" s="95">
        <v>965.92793731209645</v>
      </c>
      <c r="C91" s="95">
        <v>387.08429638795468</v>
      </c>
      <c r="D91" s="95">
        <v>1921.7052882862888</v>
      </c>
      <c r="E91" s="95">
        <v>613.46348309129621</v>
      </c>
      <c r="F91" s="95">
        <v>198.37414181092896</v>
      </c>
      <c r="G91" s="147">
        <v>1738.1260515712058</v>
      </c>
      <c r="H91" s="95">
        <v>544.64040316607031</v>
      </c>
      <c r="I91" s="95">
        <v>768.15267346706344</v>
      </c>
      <c r="J91" s="95">
        <v>863.58370063170139</v>
      </c>
      <c r="K91" s="95"/>
      <c r="L91" s="2"/>
      <c r="M91" s="2">
        <f t="shared" si="77"/>
        <v>2014</v>
      </c>
      <c r="N91" s="95">
        <f t="shared" si="72"/>
        <v>965.92793731209645</v>
      </c>
      <c r="O91" s="95">
        <f t="shared" si="98"/>
        <v>974.07231631840295</v>
      </c>
      <c r="P91" s="95">
        <f t="shared" si="110"/>
        <v>25.517810553191335</v>
      </c>
      <c r="Q91" s="95">
        <f t="shared" si="111"/>
        <v>924.05832666983179</v>
      </c>
      <c r="R91" s="95">
        <f t="shared" si="112"/>
        <v>1024.0863059669741</v>
      </c>
      <c r="S91" s="56">
        <f t="shared" si="78"/>
        <v>-4.1843010638484834E-3</v>
      </c>
      <c r="T91" s="2">
        <f t="shared" si="79"/>
        <v>2014</v>
      </c>
      <c r="U91" s="95">
        <f t="shared" si="73"/>
        <v>387.08429638795468</v>
      </c>
      <c r="V91" s="95">
        <f t="shared" si="99"/>
        <v>396.5046216029067</v>
      </c>
      <c r="W91" s="95">
        <f t="shared" si="113"/>
        <v>6.5739984605340558</v>
      </c>
      <c r="X91" s="95">
        <f t="shared" si="114"/>
        <v>383.61982138583818</v>
      </c>
      <c r="Y91" s="95">
        <f t="shared" si="115"/>
        <v>409.38942181997521</v>
      </c>
      <c r="Z91" s="56">
        <f t="shared" si="80"/>
        <v>1.0962371405025761E-2</v>
      </c>
      <c r="AA91" s="2">
        <f t="shared" si="81"/>
        <v>2014</v>
      </c>
      <c r="AB91" s="95">
        <f t="shared" si="74"/>
        <v>1921.7052882862888</v>
      </c>
      <c r="AC91" s="95">
        <f t="shared" si="100"/>
        <v>1670.8639847042564</v>
      </c>
      <c r="AD91" s="95">
        <f t="shared" si="116"/>
        <v>97.075887073418315</v>
      </c>
      <c r="AE91" s="95">
        <f t="shared" si="117"/>
        <v>1480.5987422730791</v>
      </c>
      <c r="AF91" s="95">
        <f t="shared" si="118"/>
        <v>1861.1292271354337</v>
      </c>
      <c r="AG91" s="56">
        <f t="shared" si="82"/>
        <v>0.11446312648053936</v>
      </c>
      <c r="AH91" s="2">
        <f t="shared" si="83"/>
        <v>2014</v>
      </c>
      <c r="AI91" s="95">
        <f t="shared" si="75"/>
        <v>613.46348309129621</v>
      </c>
      <c r="AJ91" s="95">
        <f t="shared" si="101"/>
        <v>671.32534776051102</v>
      </c>
      <c r="AK91" s="95">
        <f t="shared" si="119"/>
        <v>50.148167655453236</v>
      </c>
      <c r="AL91" s="95">
        <f t="shared" si="120"/>
        <v>573.03674526514624</v>
      </c>
      <c r="AM91" s="95">
        <f t="shared" si="121"/>
        <v>769.61395025587581</v>
      </c>
      <c r="AN91" s="56">
        <f t="shared" si="84"/>
        <v>3.5957369230611436E-2</v>
      </c>
      <c r="AO91" s="2">
        <f t="shared" si="85"/>
        <v>2014</v>
      </c>
      <c r="AP91" s="95">
        <f t="shared" si="76"/>
        <v>198.37414181092896</v>
      </c>
      <c r="AQ91" s="95">
        <f t="shared" si="102"/>
        <v>292.13783075415847</v>
      </c>
      <c r="AR91" s="95">
        <f t="shared" si="122"/>
        <v>56.869125671359427</v>
      </c>
      <c r="AS91" s="95">
        <f t="shared" si="123"/>
        <v>180.6763926060118</v>
      </c>
      <c r="AT91" s="95">
        <f t="shared" si="124"/>
        <v>403.59926890230514</v>
      </c>
      <c r="AU91" s="56">
        <f t="shared" si="86"/>
        <v>-5.6402956002619131E-2</v>
      </c>
      <c r="AV91" s="2">
        <f t="shared" si="87"/>
        <v>2014</v>
      </c>
      <c r="AW91" s="95">
        <f t="shared" si="88"/>
        <v>1738.1260515712058</v>
      </c>
      <c r="AX91" s="95">
        <f t="shared" si="103"/>
        <v>1806.9094577297997</v>
      </c>
      <c r="AY91" s="95">
        <f t="shared" si="125"/>
        <v>82.154144216536324</v>
      </c>
      <c r="AZ91" s="95">
        <f t="shared" si="126"/>
        <v>1645.8902938846788</v>
      </c>
      <c r="BA91" s="95">
        <f t="shared" si="127"/>
        <v>1967.9286215749205</v>
      </c>
      <c r="BB91" s="56">
        <f t="shared" si="89"/>
        <v>-3.4230105177257775E-2</v>
      </c>
      <c r="BC91" s="2">
        <f t="shared" si="90"/>
        <v>2014</v>
      </c>
      <c r="BD91" s="95">
        <f t="shared" si="71"/>
        <v>544.64040316607031</v>
      </c>
      <c r="BE91" s="95">
        <f t="shared" si="104"/>
        <v>549.17087323293185</v>
      </c>
      <c r="BF91" s="95">
        <f t="shared" si="128"/>
        <v>15.082787776882919</v>
      </c>
      <c r="BG91" s="95">
        <f t="shared" si="129"/>
        <v>519.6091524037804</v>
      </c>
      <c r="BH91" s="95">
        <f t="shared" si="130"/>
        <v>578.73259406208331</v>
      </c>
      <c r="BI91" s="56">
        <f t="shared" si="91"/>
        <v>1.7847305677788805E-2</v>
      </c>
      <c r="BJ91" s="134">
        <f t="shared" si="107"/>
        <v>8.3182776021119408E-3</v>
      </c>
      <c r="BL91" s="2">
        <f t="shared" si="92"/>
        <v>2014</v>
      </c>
      <c r="BM91" s="95">
        <f t="shared" si="93"/>
        <v>768.15267346706344</v>
      </c>
      <c r="BN91" s="95">
        <f t="shared" si="105"/>
        <v>757.35695210438166</v>
      </c>
      <c r="BO91" s="95">
        <f t="shared" si="131"/>
        <v>39.852991783743647</v>
      </c>
      <c r="BP91" s="95">
        <f t="shared" si="132"/>
        <v>679.24652353207341</v>
      </c>
      <c r="BQ91" s="95">
        <f t="shared" si="133"/>
        <v>835.46738067668991</v>
      </c>
      <c r="BR91" s="56">
        <f t="shared" si="94"/>
        <v>0.10822890662563833</v>
      </c>
      <c r="BS91" s="134">
        <f t="shared" si="108"/>
        <v>1.4054134985894402E-2</v>
      </c>
      <c r="BU91" s="2">
        <f t="shared" si="95"/>
        <v>2014</v>
      </c>
      <c r="BV91" s="95">
        <f t="shared" si="96"/>
        <v>863.58370063170139</v>
      </c>
      <c r="BW91" s="95">
        <f t="shared" si="106"/>
        <v>840.57931378400315</v>
      </c>
      <c r="BX91" s="95">
        <f t="shared" si="134"/>
        <v>61.061060615359843</v>
      </c>
      <c r="BY91" s="95">
        <f t="shared" si="135"/>
        <v>720.90183412008071</v>
      </c>
      <c r="BZ91" s="95">
        <f t="shared" si="136"/>
        <v>960.25679344792559</v>
      </c>
      <c r="CA91" s="56">
        <f t="shared" si="97"/>
        <v>5.2004877330974919E-2</v>
      </c>
      <c r="CB91" s="134">
        <f t="shared" si="109"/>
        <v>2.6638282810190608E-2</v>
      </c>
    </row>
    <row r="92" spans="1:80" ht="15.5">
      <c r="A92" s="2">
        <v>2015</v>
      </c>
      <c r="B92" s="95">
        <v>988.70416632526872</v>
      </c>
      <c r="C92" s="95">
        <v>376.77675975057116</v>
      </c>
      <c r="D92" s="95">
        <v>1721.718255134735</v>
      </c>
      <c r="E92" s="95">
        <v>591.86057264172484</v>
      </c>
      <c r="F92" s="95">
        <v>192.0510496285421</v>
      </c>
      <c r="G92" s="147">
        <v>1777.3486246105676</v>
      </c>
      <c r="H92" s="95">
        <v>517.05274791067859</v>
      </c>
      <c r="I92" s="95">
        <v>680.81035850812418</v>
      </c>
      <c r="J92" s="95">
        <v>829.82091796332247</v>
      </c>
      <c r="K92" s="95"/>
      <c r="L92" s="2"/>
      <c r="M92" s="2">
        <f t="shared" si="77"/>
        <v>2015</v>
      </c>
      <c r="N92" s="95">
        <f t="shared" si="72"/>
        <v>988.70416632526872</v>
      </c>
      <c r="O92" s="95">
        <f t="shared" si="98"/>
        <v>965.70036394576312</v>
      </c>
      <c r="P92" s="95">
        <f t="shared" si="110"/>
        <v>25.502622485106944</v>
      </c>
      <c r="Q92" s="95">
        <f t="shared" si="111"/>
        <v>915.71614236363212</v>
      </c>
      <c r="R92" s="95">
        <f t="shared" si="112"/>
        <v>1015.6845855278941</v>
      </c>
      <c r="S92" s="56">
        <f t="shared" si="78"/>
        <v>2.3579635843800073E-2</v>
      </c>
      <c r="T92" s="2">
        <f t="shared" si="79"/>
        <v>2015</v>
      </c>
      <c r="U92" s="95">
        <f t="shared" si="73"/>
        <v>376.77675975057116</v>
      </c>
      <c r="V92" s="95">
        <f t="shared" si="99"/>
        <v>393.34364421187894</v>
      </c>
      <c r="W92" s="95">
        <f t="shared" si="113"/>
        <v>7.138016832213868</v>
      </c>
      <c r="X92" s="95">
        <f t="shared" si="114"/>
        <v>379.35338829969908</v>
      </c>
      <c r="Y92" s="95">
        <f t="shared" si="115"/>
        <v>407.3339001240588</v>
      </c>
      <c r="Z92" s="56">
        <f t="shared" si="80"/>
        <v>-2.6628661336994153E-2</v>
      </c>
      <c r="AA92" s="2">
        <f t="shared" si="81"/>
        <v>2015</v>
      </c>
      <c r="AB92" s="95">
        <f t="shared" si="74"/>
        <v>1721.718255134735</v>
      </c>
      <c r="AC92" s="95">
        <f t="shared" si="100"/>
        <v>1721.873025678899</v>
      </c>
      <c r="AD92" s="95">
        <f t="shared" si="116"/>
        <v>108.51319156563054</v>
      </c>
      <c r="AE92" s="95">
        <f t="shared" si="117"/>
        <v>1509.1910783627677</v>
      </c>
      <c r="AF92" s="95">
        <f t="shared" si="118"/>
        <v>1934.5549729950303</v>
      </c>
      <c r="AG92" s="56">
        <f t="shared" si="82"/>
        <v>-0.10406748338081295</v>
      </c>
      <c r="AH92" s="2">
        <f t="shared" si="83"/>
        <v>2015</v>
      </c>
      <c r="AI92" s="95">
        <f t="shared" si="75"/>
        <v>591.86057264172484</v>
      </c>
      <c r="AJ92" s="95">
        <f t="shared" si="101"/>
        <v>651.38704128258451</v>
      </c>
      <c r="AK92" s="95">
        <f t="shared" si="119"/>
        <v>51.799328317596249</v>
      </c>
      <c r="AL92" s="95">
        <f t="shared" si="120"/>
        <v>549.86222335673017</v>
      </c>
      <c r="AM92" s="95">
        <f t="shared" si="121"/>
        <v>752.91185920843884</v>
      </c>
      <c r="AN92" s="56">
        <f t="shared" si="84"/>
        <v>-3.521466402647544E-2</v>
      </c>
      <c r="AO92" s="2">
        <f t="shared" si="85"/>
        <v>2015</v>
      </c>
      <c r="AP92" s="95">
        <f t="shared" si="76"/>
        <v>192.0510496285421</v>
      </c>
      <c r="AQ92" s="95">
        <f t="shared" si="102"/>
        <v>269.92644993363444</v>
      </c>
      <c r="AR92" s="95">
        <f t="shared" si="122"/>
        <v>59.237715683436896</v>
      </c>
      <c r="AS92" s="95">
        <f t="shared" si="123"/>
        <v>153.82266066767465</v>
      </c>
      <c r="AT92" s="95">
        <f t="shared" si="124"/>
        <v>386.03023919959423</v>
      </c>
      <c r="AU92" s="56">
        <f t="shared" si="86"/>
        <v>-3.1874578635422202E-2</v>
      </c>
      <c r="AV92" s="2">
        <f t="shared" si="87"/>
        <v>2015</v>
      </c>
      <c r="AW92" s="95">
        <f t="shared" si="88"/>
        <v>1777.3486246105676</v>
      </c>
      <c r="AX92" s="95">
        <f t="shared" si="103"/>
        <v>1823.3744840891795</v>
      </c>
      <c r="AY92" s="95">
        <f t="shared" si="125"/>
        <v>76.906144801389999</v>
      </c>
      <c r="AZ92" s="95">
        <f t="shared" si="126"/>
        <v>1672.6412100886328</v>
      </c>
      <c r="BA92" s="95">
        <f t="shared" si="127"/>
        <v>1974.1077580897263</v>
      </c>
      <c r="BB92" s="56">
        <f t="shared" si="89"/>
        <v>2.2566011828604626E-2</v>
      </c>
      <c r="BC92" s="2">
        <f t="shared" si="90"/>
        <v>2015</v>
      </c>
      <c r="BD92" s="95">
        <f t="shared" si="71"/>
        <v>517.05274791067859</v>
      </c>
      <c r="BE92" s="95">
        <f t="shared" si="104"/>
        <v>547.25261365910706</v>
      </c>
      <c r="BF92" s="95">
        <f t="shared" si="128"/>
        <v>11.095804417978895</v>
      </c>
      <c r="BG92" s="95">
        <f t="shared" si="129"/>
        <v>525.50523662036801</v>
      </c>
      <c r="BH92" s="95">
        <f t="shared" si="130"/>
        <v>568.9999906978461</v>
      </c>
      <c r="BI92" s="56">
        <f t="shared" si="91"/>
        <v>-5.0652972300660903E-2</v>
      </c>
      <c r="BJ92" s="134">
        <f t="shared" si="107"/>
        <v>5.8407707667082205E-2</v>
      </c>
      <c r="BL92" s="2">
        <f t="shared" si="92"/>
        <v>2015</v>
      </c>
      <c r="BM92" s="95">
        <f t="shared" si="93"/>
        <v>680.81035850812418</v>
      </c>
      <c r="BN92" s="95">
        <f t="shared" si="105"/>
        <v>748.77449771197871</v>
      </c>
      <c r="BO92" s="95">
        <f t="shared" si="131"/>
        <v>38.440903290898198</v>
      </c>
      <c r="BP92" s="95">
        <f t="shared" si="132"/>
        <v>673.43171172863106</v>
      </c>
      <c r="BQ92" s="95">
        <f t="shared" si="133"/>
        <v>824.11728369532636</v>
      </c>
      <c r="BR92" s="56">
        <f t="shared" si="94"/>
        <v>-0.11370436890458113</v>
      </c>
      <c r="BS92" s="134">
        <f t="shared" si="108"/>
        <v>9.982829778440204E-2</v>
      </c>
      <c r="BU92" s="2">
        <f t="shared" si="95"/>
        <v>2015</v>
      </c>
      <c r="BV92" s="95">
        <f t="shared" si="96"/>
        <v>829.82091796332247</v>
      </c>
      <c r="BW92" s="95">
        <f t="shared" si="106"/>
        <v>870.14654601261066</v>
      </c>
      <c r="BX92" s="95">
        <f t="shared" si="134"/>
        <v>50.100542477713766</v>
      </c>
      <c r="BY92" s="95">
        <f t="shared" si="135"/>
        <v>771.95128715037254</v>
      </c>
      <c r="BZ92" s="95">
        <f t="shared" si="136"/>
        <v>968.34180487484878</v>
      </c>
      <c r="CA92" s="56">
        <f t="shared" si="97"/>
        <v>-3.9096132365260994E-2</v>
      </c>
      <c r="CB92" s="134">
        <f t="shared" si="109"/>
        <v>4.8595579089837491E-2</v>
      </c>
    </row>
    <row r="93" spans="1:80" ht="1" customHeight="1">
      <c r="A93" s="2">
        <v>2016</v>
      </c>
      <c r="B93" s="95">
        <v>984.50754916654012</v>
      </c>
      <c r="C93" s="95">
        <v>378.96550725972571</v>
      </c>
      <c r="D93" s="95">
        <v>1734.8707938444863</v>
      </c>
      <c r="E93" s="95">
        <v>569.98599194783253</v>
      </c>
      <c r="F93" s="95">
        <v>200.10078175242086</v>
      </c>
      <c r="G93" s="147">
        <v>1828.1069607947688</v>
      </c>
      <c r="H93" s="95">
        <v>492.02286488839422</v>
      </c>
      <c r="I93" s="95">
        <v>610.00266210027428</v>
      </c>
      <c r="J93" s="95">
        <v>853.19822613192662</v>
      </c>
      <c r="K93" s="95"/>
      <c r="L93" s="2"/>
      <c r="M93" s="2">
        <f t="shared" si="77"/>
        <v>2016</v>
      </c>
      <c r="N93" s="95">
        <f t="shared" si="72"/>
        <v>984.50754916654012</v>
      </c>
      <c r="O93" s="95">
        <f t="shared" si="98"/>
        <v>966.72258369996689</v>
      </c>
      <c r="P93" s="95">
        <f t="shared" si="110"/>
        <v>25.742475984343297</v>
      </c>
      <c r="Q93" s="95">
        <f t="shared" si="111"/>
        <v>916.26825789776672</v>
      </c>
      <c r="R93" s="95">
        <f t="shared" si="112"/>
        <v>1017.1769095021671</v>
      </c>
      <c r="S93" s="56">
        <f t="shared" si="78"/>
        <v>-4.2445630368144194E-3</v>
      </c>
      <c r="T93" s="2">
        <f t="shared" si="79"/>
        <v>2016</v>
      </c>
      <c r="U93" s="95">
        <f t="shared" si="73"/>
        <v>378.96550725972571</v>
      </c>
      <c r="V93" s="95">
        <f t="shared" si="99"/>
        <v>388.16003728430724</v>
      </c>
      <c r="W93" s="95">
        <f t="shared" si="113"/>
        <v>8.7502243709546672</v>
      </c>
      <c r="X93" s="95">
        <f t="shared" si="114"/>
        <v>371.00991266059145</v>
      </c>
      <c r="Y93" s="95">
        <f t="shared" si="115"/>
        <v>405.31016190802302</v>
      </c>
      <c r="Z93" s="56">
        <f t="shared" si="80"/>
        <v>5.809136186115893E-3</v>
      </c>
      <c r="AA93" s="2">
        <f t="shared" si="81"/>
        <v>2016</v>
      </c>
      <c r="AB93" s="95">
        <f t="shared" si="74"/>
        <v>1734.8707938444863</v>
      </c>
      <c r="AC93" s="95">
        <f t="shared" si="100"/>
        <v>1722.3632200760869</v>
      </c>
      <c r="AD93" s="95">
        <f t="shared" si="116"/>
        <v>104.75733520187613</v>
      </c>
      <c r="AE93" s="95">
        <f t="shared" si="117"/>
        <v>1517.0426159640197</v>
      </c>
      <c r="AF93" s="95">
        <f t="shared" si="118"/>
        <v>1927.6838241881542</v>
      </c>
      <c r="AG93" s="56">
        <f t="shared" si="82"/>
        <v>7.6391933874930817E-3</v>
      </c>
      <c r="AH93" s="2">
        <f t="shared" si="83"/>
        <v>2016</v>
      </c>
      <c r="AI93" s="95">
        <f t="shared" si="75"/>
        <v>569.98599194783253</v>
      </c>
      <c r="AJ93" s="95">
        <f t="shared" si="101"/>
        <v>623.72150625582458</v>
      </c>
      <c r="AK93" s="95">
        <f t="shared" si="119"/>
        <v>53.553600034694817</v>
      </c>
      <c r="AL93" s="95">
        <f t="shared" si="120"/>
        <v>518.75837894535971</v>
      </c>
      <c r="AM93" s="95">
        <f t="shared" si="121"/>
        <v>728.68463356628945</v>
      </c>
      <c r="AN93" s="56">
        <f t="shared" si="84"/>
        <v>-3.6959009782078889E-2</v>
      </c>
      <c r="AO93" s="2">
        <f t="shared" si="85"/>
        <v>2016</v>
      </c>
      <c r="AP93" s="95">
        <f t="shared" si="76"/>
        <v>200.10078175242086</v>
      </c>
      <c r="AQ93" s="95">
        <f t="shared" si="102"/>
        <v>238.35019674927963</v>
      </c>
      <c r="AR93" s="95">
        <f t="shared" si="122"/>
        <v>61.946132178054334</v>
      </c>
      <c r="AS93" s="95">
        <f t="shared" si="123"/>
        <v>116.93800869873543</v>
      </c>
      <c r="AT93" s="95">
        <f t="shared" si="124"/>
        <v>359.76238479982385</v>
      </c>
      <c r="AU93" s="56">
        <f t="shared" si="86"/>
        <v>4.1914543760360745E-2</v>
      </c>
      <c r="AV93" s="2">
        <f t="shared" si="87"/>
        <v>2016</v>
      </c>
      <c r="AW93" s="95">
        <f t="shared" si="88"/>
        <v>1828.1069607947688</v>
      </c>
      <c r="AX93" s="95">
        <f t="shared" si="103"/>
        <v>1794.0927136295377</v>
      </c>
      <c r="AY93" s="95">
        <f t="shared" si="125"/>
        <v>63.481367668210787</v>
      </c>
      <c r="AZ93" s="95">
        <f t="shared" si="126"/>
        <v>1669.6715193104992</v>
      </c>
      <c r="BA93" s="95">
        <f t="shared" si="127"/>
        <v>1918.5139079485762</v>
      </c>
      <c r="BB93" s="56">
        <f t="shared" si="89"/>
        <v>2.8558458077026172E-2</v>
      </c>
      <c r="BC93" s="2">
        <f t="shared" si="90"/>
        <v>2016</v>
      </c>
      <c r="BD93" s="95">
        <f t="shared" si="71"/>
        <v>492.02286488839422</v>
      </c>
      <c r="BE93" s="95">
        <f t="shared" si="104"/>
        <v>540.5115149979714</v>
      </c>
      <c r="BF93" s="95">
        <f t="shared" si="128"/>
        <v>13.382949354635739</v>
      </c>
      <c r="BG93" s="95">
        <f t="shared" si="129"/>
        <v>514.28141625596186</v>
      </c>
      <c r="BH93" s="95">
        <f t="shared" si="130"/>
        <v>566.74161373998095</v>
      </c>
      <c r="BI93" s="56">
        <f t="shared" si="91"/>
        <v>-4.8408761240368303E-2</v>
      </c>
      <c r="BJ93" s="134">
        <f t="shared" si="107"/>
        <v>9.8549586959898461E-2</v>
      </c>
      <c r="BL93" s="2">
        <f t="shared" si="92"/>
        <v>2016</v>
      </c>
      <c r="BM93" s="95">
        <f t="shared" si="93"/>
        <v>610.00266210027428</v>
      </c>
      <c r="BN93" s="95">
        <f t="shared" si="105"/>
        <v>734.36779316242701</v>
      </c>
      <c r="BO93" s="95">
        <f t="shared" si="131"/>
        <v>43.491485873232193</v>
      </c>
      <c r="BP93" s="95">
        <f t="shared" si="132"/>
        <v>649.12604721675939</v>
      </c>
      <c r="BQ93" s="95">
        <f t="shared" si="133"/>
        <v>819.60953910809462</v>
      </c>
      <c r="BR93" s="56">
        <f t="shared" si="94"/>
        <v>-0.10400502213716678</v>
      </c>
      <c r="BS93" s="134">
        <f t="shared" si="108"/>
        <v>0.20387637429967342</v>
      </c>
      <c r="BU93" s="2">
        <f t="shared" si="95"/>
        <v>2016</v>
      </c>
      <c r="BV93" s="95">
        <f t="shared" si="96"/>
        <v>853.19822613192662</v>
      </c>
      <c r="BW93" s="95">
        <f t="shared" si="106"/>
        <v>856.60582890207365</v>
      </c>
      <c r="BX93" s="95">
        <f t="shared" si="134"/>
        <v>37.620342440135836</v>
      </c>
      <c r="BY93" s="95">
        <f t="shared" si="135"/>
        <v>782.87131263334368</v>
      </c>
      <c r="BZ93" s="95">
        <f t="shared" si="136"/>
        <v>930.34034517080363</v>
      </c>
      <c r="CA93" s="56">
        <f t="shared" si="97"/>
        <v>2.8171509855379862E-2</v>
      </c>
      <c r="CB93" s="134">
        <f t="shared" si="109"/>
        <v>3.9939168481348116E-3</v>
      </c>
    </row>
    <row r="94" spans="1:80" ht="1" customHeight="1">
      <c r="A94" s="2">
        <v>2017</v>
      </c>
      <c r="B94" s="95">
        <v>967.80034421598816</v>
      </c>
      <c r="C94" s="95">
        <v>379.75188582894424</v>
      </c>
      <c r="D94" s="95">
        <v>1585.685863973637</v>
      </c>
      <c r="E94" s="95">
        <v>571.38941502240186</v>
      </c>
      <c r="F94" s="95">
        <v>194.1072361150361</v>
      </c>
      <c r="G94" s="147">
        <v>1787.1759546191136</v>
      </c>
      <c r="H94" s="95">
        <v>470.81669833555816</v>
      </c>
      <c r="I94" s="95">
        <v>618.77673504957511</v>
      </c>
      <c r="J94" s="95">
        <v>814.70942026710918</v>
      </c>
      <c r="K94" s="95"/>
      <c r="L94" s="2"/>
      <c r="M94" s="2">
        <f t="shared" si="77"/>
        <v>2017</v>
      </c>
      <c r="N94" s="95">
        <f t="shared" si="72"/>
        <v>967.80034421598816</v>
      </c>
      <c r="O94" s="95">
        <f t="shared" si="98"/>
        <v>971.38714701831304</v>
      </c>
      <c r="P94" s="95">
        <f t="shared" si="110"/>
        <v>20.38075759603996</v>
      </c>
      <c r="Q94" s="95">
        <f t="shared" si="111"/>
        <v>931.44159615243359</v>
      </c>
      <c r="R94" s="95">
        <f t="shared" si="112"/>
        <v>1011.3326978841925</v>
      </c>
      <c r="S94" s="56">
        <f t="shared" si="78"/>
        <v>-1.6970113601156078E-2</v>
      </c>
      <c r="T94" s="2">
        <f t="shared" si="79"/>
        <v>2017</v>
      </c>
      <c r="U94" s="95">
        <f t="shared" si="73"/>
        <v>379.75188582894424</v>
      </c>
      <c r="V94" s="95">
        <f t="shared" si="99"/>
        <v>384.93650408643151</v>
      </c>
      <c r="W94" s="95">
        <f t="shared" si="113"/>
        <v>8.8530446853677258</v>
      </c>
      <c r="X94" s="95">
        <f t="shared" si="114"/>
        <v>367.58485534958703</v>
      </c>
      <c r="Y94" s="95">
        <f t="shared" si="115"/>
        <v>402.28815282327599</v>
      </c>
      <c r="Z94" s="56">
        <f t="shared" si="80"/>
        <v>2.0750663428574789E-3</v>
      </c>
      <c r="AA94" s="2">
        <f t="shared" si="81"/>
        <v>2017</v>
      </c>
      <c r="AB94" s="95">
        <f t="shared" si="74"/>
        <v>1585.685863973637</v>
      </c>
      <c r="AC94" s="95">
        <f t="shared" si="100"/>
        <v>1738.5868749043002</v>
      </c>
      <c r="AD94" s="95">
        <f t="shared" si="116"/>
        <v>99.746364108833887</v>
      </c>
      <c r="AE94" s="95">
        <f t="shared" si="117"/>
        <v>1543.0875936621671</v>
      </c>
      <c r="AF94" s="95">
        <f t="shared" si="118"/>
        <v>1934.0861561464333</v>
      </c>
      <c r="AG94" s="56">
        <f t="shared" si="82"/>
        <v>-8.5991954213635924E-2</v>
      </c>
      <c r="AH94" s="2">
        <f t="shared" si="83"/>
        <v>2017</v>
      </c>
      <c r="AI94" s="95">
        <f t="shared" si="75"/>
        <v>571.38941502240186</v>
      </c>
      <c r="AJ94" s="95">
        <f t="shared" si="101"/>
        <v>606.82904894952321</v>
      </c>
      <c r="AK94" s="95">
        <f t="shared" si="119"/>
        <v>47.57420687294335</v>
      </c>
      <c r="AL94" s="95">
        <f t="shared" si="120"/>
        <v>513.58531688549635</v>
      </c>
      <c r="AM94" s="95">
        <f t="shared" si="121"/>
        <v>700.07278101355007</v>
      </c>
      <c r="AN94" s="56">
        <f t="shared" si="84"/>
        <v>2.4622062548824708E-3</v>
      </c>
      <c r="AO94" s="2">
        <f t="shared" si="85"/>
        <v>2017</v>
      </c>
      <c r="AP94" s="95">
        <f t="shared" si="76"/>
        <v>194.1072361150361</v>
      </c>
      <c r="AQ94" s="95">
        <f t="shared" si="102"/>
        <v>216.72255268868767</v>
      </c>
      <c r="AR94" s="95">
        <f t="shared" si="122"/>
        <v>56.826579554528017</v>
      </c>
      <c r="AS94" s="95">
        <f t="shared" si="123"/>
        <v>105.34450339721259</v>
      </c>
      <c r="AT94" s="95">
        <f t="shared" si="124"/>
        <v>328.10060198016276</v>
      </c>
      <c r="AU94" s="56">
        <f t="shared" si="86"/>
        <v>-2.99526347918041E-2</v>
      </c>
      <c r="AV94" s="2">
        <f t="shared" si="87"/>
        <v>2017</v>
      </c>
      <c r="AW94" s="95">
        <f t="shared" si="88"/>
        <v>1787.1759546191136</v>
      </c>
      <c r="AX94" s="95">
        <f t="shared" si="103"/>
        <v>1803.0468179290988</v>
      </c>
      <c r="AY94" s="95">
        <f t="shared" si="125"/>
        <v>53.370374531386666</v>
      </c>
      <c r="AZ94" s="95">
        <f t="shared" si="126"/>
        <v>1698.4428060061671</v>
      </c>
      <c r="BA94" s="95">
        <f t="shared" si="127"/>
        <v>1907.6508298520305</v>
      </c>
      <c r="BB94" s="56">
        <f t="shared" si="89"/>
        <v>-2.2389831149628447E-2</v>
      </c>
      <c r="BC94" s="2">
        <f t="shared" si="90"/>
        <v>2017</v>
      </c>
      <c r="BD94" s="95">
        <f t="shared" si="71"/>
        <v>470.81669833555816</v>
      </c>
      <c r="BE94" s="95">
        <f t="shared" si="104"/>
        <v>529.45573770477438</v>
      </c>
      <c r="BF94" s="95">
        <f t="shared" si="128"/>
        <v>20.808395923618981</v>
      </c>
      <c r="BG94" s="95">
        <f t="shared" si="129"/>
        <v>488.67203111843111</v>
      </c>
      <c r="BH94" s="95">
        <f t="shared" si="130"/>
        <v>570.23944429111759</v>
      </c>
      <c r="BI94" s="56">
        <f t="shared" si="91"/>
        <v>-4.3099961538670128E-2</v>
      </c>
      <c r="BJ94" s="134">
        <f t="shared" si="107"/>
        <v>0.12454749284916673</v>
      </c>
      <c r="BL94" s="2">
        <f t="shared" si="92"/>
        <v>2017</v>
      </c>
      <c r="BM94" s="95">
        <f t="shared" si="93"/>
        <v>618.77673504957511</v>
      </c>
      <c r="BN94" s="95">
        <f t="shared" si="105"/>
        <v>709.55542634225583</v>
      </c>
      <c r="BO94" s="95">
        <f t="shared" si="131"/>
        <v>59.447612043958898</v>
      </c>
      <c r="BP94" s="95">
        <f t="shared" si="132"/>
        <v>593.04024776918686</v>
      </c>
      <c r="BQ94" s="95">
        <f t="shared" si="133"/>
        <v>826.07060491532479</v>
      </c>
      <c r="BR94" s="56">
        <f t="shared" si="94"/>
        <v>1.4383663374666567E-2</v>
      </c>
      <c r="BS94" s="134">
        <f t="shared" si="108"/>
        <v>0.14670669750602003</v>
      </c>
      <c r="BU94" s="2">
        <f t="shared" si="95"/>
        <v>2017</v>
      </c>
      <c r="BV94" s="95">
        <f t="shared" si="96"/>
        <v>814.70942026710918</v>
      </c>
      <c r="BW94" s="95">
        <f t="shared" si="106"/>
        <v>846.48634072660172</v>
      </c>
      <c r="BX94" s="95">
        <f t="shared" si="134"/>
        <v>20.166059901703182</v>
      </c>
      <c r="BY94" s="95">
        <f t="shared" si="135"/>
        <v>806.96158960918615</v>
      </c>
      <c r="BZ94" s="95">
        <f t="shared" si="136"/>
        <v>886.0110918440173</v>
      </c>
      <c r="CA94" s="56">
        <f t="shared" si="97"/>
        <v>-4.5111211774678583E-2</v>
      </c>
      <c r="CB94" s="134">
        <f t="shared" si="109"/>
        <v>3.9003992919431595E-2</v>
      </c>
    </row>
    <row r="95" spans="1:80" ht="1" customHeight="1">
      <c r="A95" s="2">
        <v>2018</v>
      </c>
      <c r="B95" s="95">
        <v>983.54081117183841</v>
      </c>
      <c r="C95" s="95">
        <v>378.51056530095701</v>
      </c>
      <c r="D95" s="95">
        <v>1743.3979125694013</v>
      </c>
      <c r="E95" s="95">
        <v>563.31613958045784</v>
      </c>
      <c r="F95" s="95">
        <v>196.39084601424528</v>
      </c>
      <c r="G95" s="147">
        <v>1813.9008629294733</v>
      </c>
      <c r="H95" s="95">
        <v>469.98648469933829</v>
      </c>
      <c r="I95" s="95">
        <v>565.99313734221084</v>
      </c>
      <c r="J95" s="95">
        <v>855.46518577648339</v>
      </c>
      <c r="K95" s="95"/>
      <c r="L95" s="2"/>
      <c r="M95" s="2">
        <f t="shared" si="77"/>
        <v>2018</v>
      </c>
      <c r="N95" s="95">
        <f t="shared" si="72"/>
        <v>983.54081117183841</v>
      </c>
      <c r="O95" s="95">
        <f t="shared" si="98"/>
        <v>975.38533010362823</v>
      </c>
      <c r="P95" s="95">
        <f t="shared" si="110"/>
        <v>12.07982920803877</v>
      </c>
      <c r="Q95" s="95">
        <f t="shared" si="111"/>
        <v>951.70929991647722</v>
      </c>
      <c r="R95" s="95">
        <f t="shared" si="112"/>
        <v>999.06136029077925</v>
      </c>
      <c r="S95" s="56">
        <f t="shared" si="78"/>
        <v>1.6264167552659359E-2</v>
      </c>
      <c r="T95" s="2">
        <f t="shared" si="79"/>
        <v>2018</v>
      </c>
      <c r="U95" s="95">
        <f t="shared" si="73"/>
        <v>378.51056530095701</v>
      </c>
      <c r="V95" s="95">
        <f t="shared" si="99"/>
        <v>381.09307933818332</v>
      </c>
      <c r="W95" s="95">
        <f t="shared" si="113"/>
        <v>8.8504360873996983</v>
      </c>
      <c r="X95" s="95">
        <f t="shared" si="114"/>
        <v>363.7465433594063</v>
      </c>
      <c r="Y95" s="95">
        <f t="shared" si="115"/>
        <v>398.43961531696033</v>
      </c>
      <c r="Z95" s="56">
        <f t="shared" si="80"/>
        <v>-3.2687672512213828E-3</v>
      </c>
      <c r="AA95" s="2">
        <f t="shared" si="81"/>
        <v>2018</v>
      </c>
      <c r="AB95" s="95">
        <f t="shared" si="74"/>
        <v>1743.3979125694013</v>
      </c>
      <c r="AC95" s="95">
        <f t="shared" si="100"/>
        <v>1737.6625939497917</v>
      </c>
      <c r="AD95" s="95">
        <f t="shared" si="116"/>
        <v>114.80679048984666</v>
      </c>
      <c r="AE95" s="95">
        <f t="shared" si="117"/>
        <v>1512.6454194090568</v>
      </c>
      <c r="AF95" s="95">
        <f t="shared" si="118"/>
        <v>1962.6797684905266</v>
      </c>
      <c r="AG95" s="56">
        <f t="shared" si="82"/>
        <v>9.9459831344240524E-2</v>
      </c>
      <c r="AH95" s="2">
        <f t="shared" si="83"/>
        <v>2018</v>
      </c>
      <c r="AI95" s="95">
        <f t="shared" si="75"/>
        <v>563.31613958045784</v>
      </c>
      <c r="AJ95" s="95">
        <f t="shared" si="101"/>
        <v>587.77400987250735</v>
      </c>
      <c r="AK95" s="95">
        <f t="shared" si="119"/>
        <v>45.485508371952648</v>
      </c>
      <c r="AL95" s="95">
        <f t="shared" si="120"/>
        <v>498.62405164498506</v>
      </c>
      <c r="AM95" s="95">
        <f t="shared" si="121"/>
        <v>676.92396810002958</v>
      </c>
      <c r="AN95" s="56">
        <f t="shared" si="84"/>
        <v>-1.4129200208630954E-2</v>
      </c>
      <c r="AO95" s="2">
        <f t="shared" si="85"/>
        <v>2018</v>
      </c>
      <c r="AP95" s="95">
        <f t="shared" si="76"/>
        <v>196.39084601424528</v>
      </c>
      <c r="AQ95" s="95">
        <f t="shared" si="102"/>
        <v>198.97300965638254</v>
      </c>
      <c r="AR95" s="95">
        <f t="shared" si="122"/>
        <v>53.426387361186514</v>
      </c>
      <c r="AS95" s="95">
        <f t="shared" si="123"/>
        <v>94.259214604371067</v>
      </c>
      <c r="AT95" s="95">
        <f t="shared" si="124"/>
        <v>303.68680470839399</v>
      </c>
      <c r="AU95" s="56">
        <f t="shared" si="86"/>
        <v>1.1764681960933387E-2</v>
      </c>
      <c r="AV95" s="2">
        <f t="shared" si="87"/>
        <v>2018</v>
      </c>
      <c r="AW95" s="95">
        <f t="shared" si="88"/>
        <v>1813.9008629294733</v>
      </c>
      <c r="AX95" s="95">
        <f t="shared" si="103"/>
        <v>1786.0977251513955</v>
      </c>
      <c r="AY95" s="95">
        <f t="shared" si="125"/>
        <v>40.566890114989143</v>
      </c>
      <c r="AZ95" s="95">
        <f t="shared" si="126"/>
        <v>1706.5880815612229</v>
      </c>
      <c r="BA95" s="95">
        <f t="shared" si="127"/>
        <v>1865.6073687415681</v>
      </c>
      <c r="BB95" s="56">
        <f t="shared" si="89"/>
        <v>1.4953708526173282E-2</v>
      </c>
      <c r="BC95" s="2">
        <f t="shared" si="90"/>
        <v>2018</v>
      </c>
      <c r="BD95" s="95">
        <f t="shared" si="71"/>
        <v>469.98648469933829</v>
      </c>
      <c r="BE95" s="95">
        <f t="shared" si="104"/>
        <v>511.92463882167385</v>
      </c>
      <c r="BF95" s="95">
        <f t="shared" si="128"/>
        <v>27.736177149071263</v>
      </c>
      <c r="BG95" s="95">
        <f t="shared" si="129"/>
        <v>457.56273054067134</v>
      </c>
      <c r="BH95" s="95">
        <f t="shared" si="130"/>
        <v>566.28654710267631</v>
      </c>
      <c r="BI95" s="56">
        <f t="shared" si="91"/>
        <v>-1.7633478998405616E-3</v>
      </c>
      <c r="BJ95" s="134">
        <f t="shared" si="107"/>
        <v>8.9232681125212376E-2</v>
      </c>
      <c r="BL95" s="2">
        <f t="shared" si="92"/>
        <v>2018</v>
      </c>
      <c r="BM95" s="95">
        <f t="shared" si="93"/>
        <v>565.99313734221084</v>
      </c>
      <c r="BN95" s="95">
        <f t="shared" si="105"/>
        <v>674.17556347559002</v>
      </c>
      <c r="BO95" s="95">
        <f t="shared" si="131"/>
        <v>63.793580907592407</v>
      </c>
      <c r="BP95" s="95">
        <f t="shared" si="132"/>
        <v>549.14244245186694</v>
      </c>
      <c r="BQ95" s="95">
        <f t="shared" si="133"/>
        <v>799.20868449931311</v>
      </c>
      <c r="BR95" s="56">
        <f t="shared" si="94"/>
        <v>-8.5303138785809973E-2</v>
      </c>
      <c r="BS95" s="134">
        <f t="shared" si="108"/>
        <v>0.19113734601338445</v>
      </c>
      <c r="BU95" s="2">
        <f t="shared" si="95"/>
        <v>2018</v>
      </c>
      <c r="BV95" s="95">
        <f t="shared" si="96"/>
        <v>855.46518577648339</v>
      </c>
      <c r="BW95" s="95">
        <f t="shared" si="106"/>
        <v>836.44110259265904</v>
      </c>
      <c r="BX95" s="95">
        <f t="shared" si="134"/>
        <v>18.250254809984092</v>
      </c>
      <c r="BY95" s="95">
        <f t="shared" si="135"/>
        <v>800.67126045641135</v>
      </c>
      <c r="BZ95" s="95">
        <f t="shared" si="136"/>
        <v>872.21094472890672</v>
      </c>
      <c r="CA95" s="56">
        <f t="shared" si="97"/>
        <v>5.0024910103545928E-2</v>
      </c>
      <c r="CB95" s="134">
        <f t="shared" si="109"/>
        <v>2.2238290347907842E-2</v>
      </c>
    </row>
    <row r="96" spans="1:80" ht="1" customHeight="1">
      <c r="A96" s="2">
        <v>2019</v>
      </c>
      <c r="B96" s="95">
        <v>1042.424945078365</v>
      </c>
      <c r="C96" s="95">
        <v>378.79942731591143</v>
      </c>
      <c r="D96" s="95">
        <v>1489.2715807019301</v>
      </c>
      <c r="E96" s="95">
        <v>555.92147438331938</v>
      </c>
      <c r="F96" s="95">
        <v>199.46569559151425</v>
      </c>
      <c r="G96" s="147">
        <v>1915.0636605522095</v>
      </c>
      <c r="H96" s="95">
        <v>439.47175517697826</v>
      </c>
      <c r="I96" s="95">
        <v>559.80441902629161</v>
      </c>
      <c r="J96" s="95">
        <v>828.07068683233854</v>
      </c>
      <c r="K96" s="95"/>
      <c r="L96" s="2"/>
      <c r="M96" s="2">
        <f t="shared" si="77"/>
        <v>2019</v>
      </c>
      <c r="N96" s="95">
        <f t="shared" si="72"/>
        <v>1042.424945078365</v>
      </c>
      <c r="O96" s="95">
        <f t="shared" si="98"/>
        <v>978.09616163834653</v>
      </c>
      <c r="P96" s="95">
        <f t="shared" si="110"/>
        <v>12.186574057867858</v>
      </c>
      <c r="Q96" s="95">
        <f t="shared" si="111"/>
        <v>954.21091538999542</v>
      </c>
      <c r="R96" s="95">
        <f t="shared" si="112"/>
        <v>1001.9814078866976</v>
      </c>
      <c r="S96" s="56">
        <f t="shared" si="78"/>
        <v>5.9869537936477757E-2</v>
      </c>
      <c r="T96" s="2">
        <f t="shared" si="79"/>
        <v>2019</v>
      </c>
      <c r="U96" s="95">
        <f t="shared" si="73"/>
        <v>378.79942731591143</v>
      </c>
      <c r="V96" s="95">
        <f t="shared" si="99"/>
        <v>380.21780290563055</v>
      </c>
      <c r="W96" s="95">
        <f t="shared" si="113"/>
        <v>6.467220515236713</v>
      </c>
      <c r="X96" s="95">
        <f t="shared" si="114"/>
        <v>367.54228361568801</v>
      </c>
      <c r="Y96" s="95">
        <f t="shared" si="115"/>
        <v>392.89332219557309</v>
      </c>
      <c r="Z96" s="56">
        <f t="shared" si="80"/>
        <v>7.6315443064256527E-4</v>
      </c>
      <c r="AA96" s="2">
        <f t="shared" si="81"/>
        <v>2019</v>
      </c>
      <c r="AB96" s="95">
        <f t="shared" si="74"/>
        <v>1489.2715807019301</v>
      </c>
      <c r="AC96" s="95">
        <f t="shared" si="100"/>
        <v>1741.4756227617095</v>
      </c>
      <c r="AD96" s="95">
        <f t="shared" si="116"/>
        <v>112.2922794045586</v>
      </c>
      <c r="AE96" s="95">
        <f t="shared" si="117"/>
        <v>1521.3867993868657</v>
      </c>
      <c r="AF96" s="95">
        <f t="shared" si="118"/>
        <v>1961.5644461365532</v>
      </c>
      <c r="AG96" s="56">
        <f t="shared" si="82"/>
        <v>-0.14576496279781737</v>
      </c>
      <c r="AH96" s="2">
        <f t="shared" si="83"/>
        <v>2019</v>
      </c>
      <c r="AI96" s="95">
        <f t="shared" si="75"/>
        <v>555.92147438331938</v>
      </c>
      <c r="AJ96" s="95">
        <f t="shared" si="101"/>
        <v>582.00312045674264</v>
      </c>
      <c r="AK96" s="95">
        <f t="shared" si="119"/>
        <v>29.760323951706795</v>
      </c>
      <c r="AL96" s="95">
        <f t="shared" si="120"/>
        <v>523.67395734315255</v>
      </c>
      <c r="AM96" s="95">
        <f t="shared" si="121"/>
        <v>640.33228357033272</v>
      </c>
      <c r="AN96" s="56">
        <f t="shared" si="84"/>
        <v>-1.3127025266213455E-2</v>
      </c>
      <c r="AO96" s="2">
        <f t="shared" si="85"/>
        <v>2019</v>
      </c>
      <c r="AP96" s="95">
        <f t="shared" si="76"/>
        <v>199.46569559151425</v>
      </c>
      <c r="AQ96" s="95">
        <f t="shared" si="102"/>
        <v>196.20481106423466</v>
      </c>
      <c r="AR96" s="95">
        <f t="shared" si="122"/>
        <v>38.893026243814717</v>
      </c>
      <c r="AS96" s="95">
        <f t="shared" si="123"/>
        <v>119.9758803765867</v>
      </c>
      <c r="AT96" s="95">
        <f t="shared" si="124"/>
        <v>272.43374175188262</v>
      </c>
      <c r="AU96" s="56">
        <f t="shared" si="86"/>
        <v>1.5656786656165878E-2</v>
      </c>
      <c r="AV96" s="2">
        <f t="shared" si="87"/>
        <v>2019</v>
      </c>
      <c r="AW96" s="95">
        <f t="shared" si="88"/>
        <v>1915.0636605522095</v>
      </c>
      <c r="AX96" s="95">
        <f t="shared" si="103"/>
        <v>1788.9316909050256</v>
      </c>
      <c r="AY96" s="95">
        <f t="shared" si="125"/>
        <v>41.953051509195426</v>
      </c>
      <c r="AZ96" s="95">
        <f t="shared" si="126"/>
        <v>1706.7052209054489</v>
      </c>
      <c r="BA96" s="95">
        <f t="shared" si="127"/>
        <v>1871.1581609046023</v>
      </c>
      <c r="BB96" s="56">
        <f t="shared" si="89"/>
        <v>5.5770852580860897E-2</v>
      </c>
      <c r="BC96" s="2">
        <f t="shared" si="90"/>
        <v>2019</v>
      </c>
      <c r="BD96" s="95">
        <f t="shared" si="71"/>
        <v>439.47175517697826</v>
      </c>
      <c r="BE96" s="95">
        <f t="shared" si="104"/>
        <v>498.90383980000797</v>
      </c>
      <c r="BF96" s="95">
        <f t="shared" si="128"/>
        <v>29.948066920024512</v>
      </c>
      <c r="BG96" s="95">
        <f t="shared" si="129"/>
        <v>440.20670723016457</v>
      </c>
      <c r="BH96" s="95">
        <f t="shared" si="130"/>
        <v>557.60097236985143</v>
      </c>
      <c r="BI96" s="56">
        <f t="shared" si="91"/>
        <v>-6.4926823463617334E-2</v>
      </c>
      <c r="BJ96" s="134">
        <f t="shared" si="107"/>
        <v>0.13523527717747413</v>
      </c>
      <c r="BL96" s="2">
        <f t="shared" si="92"/>
        <v>2019</v>
      </c>
      <c r="BM96" s="95">
        <f t="shared" si="93"/>
        <v>559.80441902629161</v>
      </c>
      <c r="BN96" s="95">
        <f t="shared" si="105"/>
        <v>648.74711329344962</v>
      </c>
      <c r="BO96" s="95">
        <f t="shared" si="131"/>
        <v>67.929251574380928</v>
      </c>
      <c r="BP96" s="95">
        <f t="shared" si="132"/>
        <v>515.60822671090227</v>
      </c>
      <c r="BQ96" s="95">
        <f t="shared" si="133"/>
        <v>781.88599987599696</v>
      </c>
      <c r="BR96" s="56">
        <f t="shared" si="94"/>
        <v>-1.0934263876378747E-2</v>
      </c>
      <c r="BS96" s="134">
        <f t="shared" si="108"/>
        <v>0.15888172948306209</v>
      </c>
      <c r="BU96" s="2">
        <f t="shared" si="95"/>
        <v>2019</v>
      </c>
      <c r="BV96" s="95">
        <f t="shared" si="96"/>
        <v>828.07068683233854</v>
      </c>
      <c r="BW96" s="95">
        <f t="shared" si="106"/>
        <v>843.35549015410868</v>
      </c>
      <c r="BX96" s="95">
        <f t="shared" si="134"/>
        <v>16.878759101011813</v>
      </c>
      <c r="BY96" s="95">
        <f t="shared" si="135"/>
        <v>810.27373021239782</v>
      </c>
      <c r="BZ96" s="95">
        <f t="shared" si="136"/>
        <v>876.43725009581954</v>
      </c>
      <c r="CA96" s="56">
        <f t="shared" si="97"/>
        <v>-3.2022926706572585E-2</v>
      </c>
      <c r="CB96" s="134">
        <f t="shared" si="109"/>
        <v>1.8458331595144234E-2</v>
      </c>
    </row>
    <row r="97" spans="1:80" ht="15.5">
      <c r="A97" s="2">
        <v>2020</v>
      </c>
      <c r="B97" s="95">
        <v>1073.7949816031362</v>
      </c>
      <c r="C97" s="95">
        <v>380.91245435465947</v>
      </c>
      <c r="D97" s="95">
        <v>1454.4562746196971</v>
      </c>
      <c r="E97" s="95">
        <v>533.65625804135948</v>
      </c>
      <c r="F97" s="95">
        <v>192.49646426486862</v>
      </c>
      <c r="G97" s="147">
        <v>1849.7903356762392</v>
      </c>
      <c r="H97" s="95">
        <v>422.47352014818097</v>
      </c>
      <c r="I97" s="95">
        <v>541.85854079476019</v>
      </c>
      <c r="J97" s="95">
        <v>762.55287026504436</v>
      </c>
      <c r="K97" s="95"/>
      <c r="L97" s="2"/>
      <c r="M97" s="2">
        <f t="shared" si="77"/>
        <v>2020</v>
      </c>
      <c r="N97" s="95">
        <f t="shared" si="72"/>
        <v>1073.7949816031362</v>
      </c>
      <c r="O97" s="95">
        <f t="shared" si="98"/>
        <v>993.39556319159999</v>
      </c>
      <c r="P97" s="95">
        <f t="shared" si="110"/>
        <v>25.085419808728197</v>
      </c>
      <c r="Q97" s="95">
        <f t="shared" si="111"/>
        <v>944.22904382942511</v>
      </c>
      <c r="R97" s="95">
        <f t="shared" si="112"/>
        <v>1042.5620825537749</v>
      </c>
      <c r="S97" s="56">
        <f t="shared" si="78"/>
        <v>3.0093328707145428E-2</v>
      </c>
      <c r="T97" s="2">
        <f t="shared" si="79"/>
        <v>2020</v>
      </c>
      <c r="U97" s="95">
        <f t="shared" si="73"/>
        <v>380.91245435465947</v>
      </c>
      <c r="V97" s="95">
        <f t="shared" si="99"/>
        <v>378.56082909122199</v>
      </c>
      <c r="W97" s="95">
        <f t="shared" si="113"/>
        <v>5.830989622619005</v>
      </c>
      <c r="X97" s="95">
        <f t="shared" si="114"/>
        <v>367.13229943666192</v>
      </c>
      <c r="Y97" s="95">
        <f t="shared" si="115"/>
        <v>389.98935874578206</v>
      </c>
      <c r="Z97" s="56">
        <f t="shared" si="80"/>
        <v>5.5782213128474645E-3</v>
      </c>
      <c r="AA97" s="2">
        <f t="shared" si="81"/>
        <v>2020</v>
      </c>
      <c r="AB97" s="95">
        <f t="shared" si="74"/>
        <v>1454.4562746196971</v>
      </c>
      <c r="AC97" s="95">
        <f t="shared" si="100"/>
        <v>1654.9888812448378</v>
      </c>
      <c r="AD97" s="95">
        <f t="shared" si="116"/>
        <v>100.57541507724129</v>
      </c>
      <c r="AE97" s="95">
        <f t="shared" si="117"/>
        <v>1457.8646899632781</v>
      </c>
      <c r="AF97" s="95">
        <f t="shared" si="118"/>
        <v>1852.1130725263974</v>
      </c>
      <c r="AG97" s="56">
        <f t="shared" si="82"/>
        <v>-2.3377405795807715E-2</v>
      </c>
      <c r="AH97" s="2">
        <f t="shared" si="83"/>
        <v>2020</v>
      </c>
      <c r="AI97" s="95">
        <f t="shared" si="75"/>
        <v>533.65625804135948</v>
      </c>
      <c r="AJ97" s="95">
        <f t="shared" si="101"/>
        <v>570.49471871514731</v>
      </c>
      <c r="AK97" s="95">
        <f t="shared" si="119"/>
        <v>25.308368548840878</v>
      </c>
      <c r="AL97" s="95">
        <f t="shared" si="120"/>
        <v>520.89122785195298</v>
      </c>
      <c r="AM97" s="95">
        <f t="shared" si="121"/>
        <v>620.09820957834165</v>
      </c>
      <c r="AN97" s="56">
        <f t="shared" si="84"/>
        <v>-4.0051009662216419E-2</v>
      </c>
      <c r="AO97" s="2">
        <f t="shared" si="85"/>
        <v>2020</v>
      </c>
      <c r="AP97" s="95">
        <f t="shared" si="76"/>
        <v>192.49646426486862</v>
      </c>
      <c r="AQ97" s="95">
        <f t="shared" si="102"/>
        <v>196.4231218203517</v>
      </c>
      <c r="AR97" s="95">
        <f t="shared" si="122"/>
        <v>22.148868636915438</v>
      </c>
      <c r="AS97" s="95">
        <f t="shared" si="123"/>
        <v>153.01213699368867</v>
      </c>
      <c r="AT97" s="95">
        <f t="shared" si="124"/>
        <v>239.83410664701472</v>
      </c>
      <c r="AU97" s="56">
        <f t="shared" si="86"/>
        <v>-3.4939498273015901E-2</v>
      </c>
      <c r="AV97" s="2">
        <f t="shared" si="87"/>
        <v>2020</v>
      </c>
      <c r="AW97" s="95">
        <f t="shared" si="88"/>
        <v>1849.7903356762392</v>
      </c>
      <c r="AX97" s="95">
        <f t="shared" si="103"/>
        <v>1824.3192127012267</v>
      </c>
      <c r="AY97" s="95">
        <f t="shared" si="125"/>
        <v>44.198534418404087</v>
      </c>
      <c r="AZ97" s="95">
        <f t="shared" si="126"/>
        <v>1737.6916770717007</v>
      </c>
      <c r="BA97" s="95">
        <f t="shared" si="127"/>
        <v>1910.9467483307526</v>
      </c>
      <c r="BB97" s="56">
        <f t="shared" si="89"/>
        <v>-3.4084154078276807E-2</v>
      </c>
      <c r="BC97" s="2">
        <f t="shared" si="90"/>
        <v>2020</v>
      </c>
      <c r="BD97" s="95">
        <f t="shared" si="71"/>
        <v>422.47352014818097</v>
      </c>
      <c r="BE97" s="95">
        <f t="shared" si="104"/>
        <v>477.87011020218949</v>
      </c>
      <c r="BF97" s="95">
        <f t="shared" si="128"/>
        <v>34.502300173216177</v>
      </c>
      <c r="BG97" s="95">
        <f t="shared" si="129"/>
        <v>410.24684447889575</v>
      </c>
      <c r="BH97" s="95">
        <f t="shared" si="130"/>
        <v>545.49337592548329</v>
      </c>
      <c r="BI97" s="56">
        <f t="shared" si="91"/>
        <v>-3.8678788405757669E-2</v>
      </c>
      <c r="BJ97" s="134">
        <f t="shared" si="107"/>
        <v>0.13112440759500948</v>
      </c>
      <c r="BL97" s="2">
        <f t="shared" si="92"/>
        <v>2020</v>
      </c>
      <c r="BM97" s="95">
        <f t="shared" si="93"/>
        <v>541.85854079476019</v>
      </c>
      <c r="BN97" s="95">
        <f t="shared" si="105"/>
        <v>607.07746240529525</v>
      </c>
      <c r="BO97" s="95">
        <f t="shared" si="131"/>
        <v>70.613232516286743</v>
      </c>
      <c r="BP97" s="95">
        <f t="shared" si="132"/>
        <v>468.67806984142061</v>
      </c>
      <c r="BQ97" s="95">
        <f t="shared" si="133"/>
        <v>745.47685496916984</v>
      </c>
      <c r="BR97" s="56">
        <f t="shared" si="94"/>
        <v>-3.2057407232951141E-2</v>
      </c>
      <c r="BS97" s="134">
        <f t="shared" si="108"/>
        <v>0.12036152741059782</v>
      </c>
      <c r="BU97" s="2">
        <f t="shared" si="95"/>
        <v>2020</v>
      </c>
      <c r="BV97" s="95">
        <f t="shared" si="96"/>
        <v>762.55287026504436</v>
      </c>
      <c r="BW97" s="95">
        <f t="shared" si="106"/>
        <v>836.25288739423593</v>
      </c>
      <c r="BX97" s="95">
        <f t="shared" si="134"/>
        <v>17.019635780423371</v>
      </c>
      <c r="BY97" s="95">
        <f t="shared" si="135"/>
        <v>802.89501423461684</v>
      </c>
      <c r="BZ97" s="95">
        <f t="shared" si="136"/>
        <v>869.61076055385502</v>
      </c>
      <c r="CA97" s="56">
        <f t="shared" si="97"/>
        <v>-7.9121043177995842E-2</v>
      </c>
      <c r="CB97" s="134">
        <f t="shared" si="109"/>
        <v>9.664905871192285E-2</v>
      </c>
    </row>
    <row r="98" spans="1:80" ht="15.5">
      <c r="A98" s="2">
        <v>2021</v>
      </c>
      <c r="B98" s="95">
        <v>1046.657908669232</v>
      </c>
      <c r="C98" s="95">
        <v>382.12351124739865</v>
      </c>
      <c r="D98" s="95">
        <v>1839.7973299025316</v>
      </c>
      <c r="E98" s="95">
        <v>546.33055132743755</v>
      </c>
      <c r="F98" s="95">
        <v>194.02061025569057</v>
      </c>
      <c r="G98" s="147">
        <v>1831.9995338146325</v>
      </c>
      <c r="H98" s="95">
        <v>427.69901123848678</v>
      </c>
      <c r="I98" s="95">
        <v>636.31687559148349</v>
      </c>
      <c r="J98" s="95">
        <v>863.15871956974775</v>
      </c>
      <c r="K98" s="95"/>
      <c r="L98" s="2"/>
      <c r="M98" s="2">
        <f t="shared" si="77"/>
        <v>2021</v>
      </c>
      <c r="N98" s="95">
        <f t="shared" si="72"/>
        <v>1046.657908669232</v>
      </c>
      <c r="O98" s="95">
        <f t="shared" si="98"/>
        <v>1010.4137262471735</v>
      </c>
      <c r="P98" s="95">
        <f t="shared" si="110"/>
        <v>36.552387037471149</v>
      </c>
      <c r="Q98" s="95">
        <f t="shared" si="111"/>
        <v>938.77236410476132</v>
      </c>
      <c r="R98" s="95">
        <f t="shared" si="112"/>
        <v>1082.0550883895858</v>
      </c>
      <c r="S98" s="56">
        <f t="shared" si="78"/>
        <v>-2.5272117488749579E-2</v>
      </c>
      <c r="T98" s="2">
        <f t="shared" si="79"/>
        <v>2021</v>
      </c>
      <c r="U98" s="95">
        <f t="shared" si="73"/>
        <v>382.12351124739865</v>
      </c>
      <c r="V98" s="95">
        <f t="shared" si="99"/>
        <v>379.38796801203961</v>
      </c>
      <c r="W98" s="95">
        <f t="shared" si="113"/>
        <v>2.9239442913375298</v>
      </c>
      <c r="X98" s="95">
        <f t="shared" si="114"/>
        <v>373.65714250821657</v>
      </c>
      <c r="Y98" s="95">
        <f t="shared" si="115"/>
        <v>385.11879351586265</v>
      </c>
      <c r="Z98" s="56">
        <f t="shared" si="80"/>
        <v>3.1793575633827231E-3</v>
      </c>
      <c r="AA98" s="2">
        <f t="shared" si="81"/>
        <v>2021</v>
      </c>
      <c r="AB98" s="95">
        <f t="shared" si="74"/>
        <v>1839.7973299025316</v>
      </c>
      <c r="AC98" s="95">
        <f t="shared" si="100"/>
        <v>1601.5364851418303</v>
      </c>
      <c r="AD98" s="95">
        <f t="shared" si="116"/>
        <v>120.17424261234711</v>
      </c>
      <c r="AE98" s="95">
        <f t="shared" si="117"/>
        <v>1365.9992977522513</v>
      </c>
      <c r="AF98" s="95">
        <f t="shared" si="118"/>
        <v>1837.0736725314093</v>
      </c>
      <c r="AG98" s="56">
        <f t="shared" si="82"/>
        <v>0.26493821918681704</v>
      </c>
      <c r="AH98" s="2">
        <f t="shared" si="83"/>
        <v>2021</v>
      </c>
      <c r="AI98" s="95">
        <f t="shared" si="75"/>
        <v>546.33055132743755</v>
      </c>
      <c r="AJ98" s="95">
        <f t="shared" si="101"/>
        <v>558.8538557950742</v>
      </c>
      <c r="AK98" s="95">
        <f t="shared" si="119"/>
        <v>23.758650781623647</v>
      </c>
      <c r="AL98" s="95">
        <f t="shared" si="120"/>
        <v>512.28775594182741</v>
      </c>
      <c r="AM98" s="95">
        <f t="shared" si="121"/>
        <v>605.41995564832098</v>
      </c>
      <c r="AN98" s="56">
        <f t="shared" si="84"/>
        <v>2.3749919719100898E-2</v>
      </c>
      <c r="AO98" s="2">
        <f t="shared" si="85"/>
        <v>2021</v>
      </c>
      <c r="AP98" s="95">
        <f t="shared" si="76"/>
        <v>194.02061025569057</v>
      </c>
      <c r="AQ98" s="95">
        <f t="shared" si="102"/>
        <v>196.51220474761703</v>
      </c>
      <c r="AR98" s="95">
        <f t="shared" si="122"/>
        <v>8.0669332090177548</v>
      </c>
      <c r="AS98" s="95">
        <f t="shared" si="123"/>
        <v>180.7013061922521</v>
      </c>
      <c r="AT98" s="95">
        <f t="shared" si="124"/>
        <v>212.32310330298196</v>
      </c>
      <c r="AU98" s="56">
        <f t="shared" si="86"/>
        <v>7.9177869403606049E-3</v>
      </c>
      <c r="AV98" s="2">
        <f t="shared" si="87"/>
        <v>2021</v>
      </c>
      <c r="AW98" s="95">
        <f t="shared" si="88"/>
        <v>1831.9995338146325</v>
      </c>
      <c r="AX98" s="95">
        <f t="shared" si="103"/>
        <v>1838.8075549143609</v>
      </c>
      <c r="AY98" s="95">
        <f t="shared" si="125"/>
        <v>43.835622910739033</v>
      </c>
      <c r="AZ98" s="95">
        <f t="shared" si="126"/>
        <v>1752.8913127694336</v>
      </c>
      <c r="BA98" s="95">
        <f t="shared" si="127"/>
        <v>1924.7237970592882</v>
      </c>
      <c r="BB98" s="56">
        <f t="shared" si="89"/>
        <v>-9.6177396532363124E-3</v>
      </c>
      <c r="BC98" s="2">
        <f t="shared" si="90"/>
        <v>2021</v>
      </c>
      <c r="BD98" s="95">
        <f t="shared" si="71"/>
        <v>427.69901123848678</v>
      </c>
      <c r="BE98" s="95">
        <f t="shared" si="104"/>
        <v>458.95426464968995</v>
      </c>
      <c r="BF98" s="95">
        <f t="shared" si="128"/>
        <v>36.694889432568374</v>
      </c>
      <c r="BG98" s="95">
        <f t="shared" si="129"/>
        <v>387.03360294517654</v>
      </c>
      <c r="BH98" s="95">
        <f t="shared" si="130"/>
        <v>530.87492635420335</v>
      </c>
      <c r="BI98" s="56">
        <f t="shared" si="91"/>
        <v>1.2368801454048395E-2</v>
      </c>
      <c r="BJ98" s="134">
        <f t="shared" si="107"/>
        <v>7.3077684516261621E-2</v>
      </c>
      <c r="BL98" s="2">
        <f t="shared" si="92"/>
        <v>2021</v>
      </c>
      <c r="BM98" s="95">
        <f t="shared" si="93"/>
        <v>636.31687559148349</v>
      </c>
      <c r="BN98" s="95">
        <f t="shared" si="105"/>
        <v>579.28709886262254</v>
      </c>
      <c r="BO98" s="95">
        <f t="shared" si="131"/>
        <v>68.503490691037499</v>
      </c>
      <c r="BP98" s="95">
        <f t="shared" si="132"/>
        <v>445.02272429291418</v>
      </c>
      <c r="BQ98" s="95">
        <f t="shared" si="133"/>
        <v>713.55147343233091</v>
      </c>
      <c r="BR98" s="56">
        <f t="shared" si="94"/>
        <v>0.17432286784329065</v>
      </c>
      <c r="BS98" s="134">
        <f t="shared" si="108"/>
        <v>8.9624806313441482E-2</v>
      </c>
      <c r="BU98" s="2">
        <f t="shared" si="95"/>
        <v>2021</v>
      </c>
      <c r="BV98" s="95">
        <f t="shared" si="96"/>
        <v>863.15871956974775</v>
      </c>
      <c r="BW98" s="95">
        <f t="shared" si="106"/>
        <v>822.7992778545804</v>
      </c>
      <c r="BX98" s="95">
        <f t="shared" si="134"/>
        <v>29.531468585016253</v>
      </c>
      <c r="BY98" s="95">
        <f t="shared" si="135"/>
        <v>764.91866301737252</v>
      </c>
      <c r="BZ98" s="95">
        <f t="shared" si="136"/>
        <v>880.67989269178827</v>
      </c>
      <c r="CA98" s="56">
        <f t="shared" si="97"/>
        <v>0.13193294947501188</v>
      </c>
      <c r="CB98" s="134">
        <f t="shared" si="109"/>
        <v>4.6757845110207565E-2</v>
      </c>
    </row>
    <row r="99" spans="1:80" ht="15.5">
      <c r="A99" s="2">
        <v>2022</v>
      </c>
      <c r="B99" s="95">
        <v>1035.6967941786147</v>
      </c>
      <c r="C99" s="95">
        <v>378.13644222855964</v>
      </c>
      <c r="D99" s="95">
        <v>1693.3325497692854</v>
      </c>
      <c r="E99" s="95">
        <v>558.17076859507017</v>
      </c>
      <c r="F99" s="95">
        <v>212.68884971816308</v>
      </c>
      <c r="G99" s="147">
        <v>1847.217529389068</v>
      </c>
      <c r="H99" s="95">
        <v>453.12901570219174</v>
      </c>
      <c r="I99" s="95">
        <v>624.00997036279216</v>
      </c>
      <c r="J99" s="95">
        <v>753.04614225292323</v>
      </c>
      <c r="K99" s="95"/>
      <c r="L99" s="2"/>
      <c r="M99" s="2">
        <f t="shared" si="77"/>
        <v>2022</v>
      </c>
      <c r="N99" s="95">
        <f t="shared" si="72"/>
        <v>1035.6967941786147</v>
      </c>
      <c r="O99" s="95">
        <f t="shared" si="98"/>
        <v>1022.8437981477118</v>
      </c>
      <c r="P99" s="95">
        <f t="shared" si="110"/>
        <v>37.617421224973477</v>
      </c>
      <c r="Q99" s="95">
        <f t="shared" si="111"/>
        <v>949.11500735549123</v>
      </c>
      <c r="R99" s="95">
        <f t="shared" si="112"/>
        <v>1096.5725889399323</v>
      </c>
      <c r="S99" s="56">
        <f t="shared" si="78"/>
        <v>-1.0472490008271884E-2</v>
      </c>
      <c r="T99" s="2">
        <f t="shared" si="79"/>
        <v>2022</v>
      </c>
      <c r="U99" s="95">
        <f t="shared" si="73"/>
        <v>378.13644222855964</v>
      </c>
      <c r="V99" s="95">
        <f t="shared" si="99"/>
        <v>380.0195688095742</v>
      </c>
      <c r="W99" s="95">
        <f t="shared" si="113"/>
        <v>1.5179605904880822</v>
      </c>
      <c r="X99" s="95">
        <f t="shared" si="114"/>
        <v>377.04442072226641</v>
      </c>
      <c r="Y99" s="95">
        <f t="shared" si="115"/>
        <v>382.99471689688198</v>
      </c>
      <c r="Z99" s="56">
        <f t="shared" si="80"/>
        <v>-1.043397985594674E-2</v>
      </c>
      <c r="AA99" s="2">
        <f t="shared" si="81"/>
        <v>2022</v>
      </c>
      <c r="AB99" s="95">
        <f t="shared" si="74"/>
        <v>1693.3325497692854</v>
      </c>
      <c r="AC99" s="95">
        <f t="shared" si="100"/>
        <v>1622.5217923534394</v>
      </c>
      <c r="AD99" s="95">
        <f t="shared" si="116"/>
        <v>154.53419873675873</v>
      </c>
      <c r="AE99" s="95">
        <f t="shared" si="117"/>
        <v>1319.6403284496373</v>
      </c>
      <c r="AF99" s="95">
        <f t="shared" si="118"/>
        <v>1925.4032562572415</v>
      </c>
      <c r="AG99" s="56">
        <f t="shared" si="82"/>
        <v>-7.9609192682655761E-2</v>
      </c>
      <c r="AH99" s="2">
        <f t="shared" si="83"/>
        <v>2022</v>
      </c>
      <c r="AI99" s="95">
        <f t="shared" si="75"/>
        <v>558.17076859507017</v>
      </c>
      <c r="AJ99" s="95">
        <f t="shared" si="101"/>
        <v>554.12276767099524</v>
      </c>
      <c r="AK99" s="95">
        <f t="shared" si="119"/>
        <v>17.468115073646089</v>
      </c>
      <c r="AL99" s="95">
        <f t="shared" si="120"/>
        <v>519.88589124884766</v>
      </c>
      <c r="AM99" s="95">
        <f t="shared" si="121"/>
        <v>588.35964409314283</v>
      </c>
      <c r="AN99" s="56">
        <f t="shared" si="84"/>
        <v>2.1672259109186021E-2</v>
      </c>
      <c r="AO99" s="2">
        <f t="shared" si="85"/>
        <v>2022</v>
      </c>
      <c r="AP99" s="95">
        <f t="shared" si="76"/>
        <v>212.68884971816308</v>
      </c>
      <c r="AQ99" s="95">
        <f t="shared" si="102"/>
        <v>195.29617044827097</v>
      </c>
      <c r="AR99" s="95">
        <f t="shared" si="122"/>
        <v>3.1849911064534879</v>
      </c>
      <c r="AS99" s="95">
        <f t="shared" si="123"/>
        <v>189.05370258854177</v>
      </c>
      <c r="AT99" s="95">
        <f t="shared" si="124"/>
        <v>201.53863830800017</v>
      </c>
      <c r="AU99" s="56">
        <f t="shared" si="86"/>
        <v>9.6217816436462655E-2</v>
      </c>
      <c r="AV99" s="2">
        <f t="shared" si="87"/>
        <v>2022</v>
      </c>
      <c r="AW99" s="95">
        <f t="shared" si="88"/>
        <v>1847.217529389068</v>
      </c>
      <c r="AX99" s="95">
        <f t="shared" si="103"/>
        <v>1839.5860695183335</v>
      </c>
      <c r="AY99" s="95">
        <f t="shared" si="125"/>
        <v>42.51435979383502</v>
      </c>
      <c r="AZ99" s="95">
        <f t="shared" si="126"/>
        <v>1756.2594554966392</v>
      </c>
      <c r="BA99" s="95">
        <f t="shared" si="127"/>
        <v>1922.9126835400277</v>
      </c>
      <c r="BB99" s="56">
        <f t="shared" si="89"/>
        <v>8.3067682570574508E-3</v>
      </c>
      <c r="BC99" s="2">
        <f t="shared" si="90"/>
        <v>2022</v>
      </c>
      <c r="BD99" s="95">
        <f t="shared" si="71"/>
        <v>453.12901570219174</v>
      </c>
      <c r="BE99" s="95">
        <f t="shared" si="104"/>
        <v>446.08949391970845</v>
      </c>
      <c r="BF99" s="95">
        <f t="shared" si="128"/>
        <v>33.673623025457516</v>
      </c>
      <c r="BG99" s="95">
        <f t="shared" si="129"/>
        <v>380.09040556083301</v>
      </c>
      <c r="BH99" s="95">
        <f t="shared" si="130"/>
        <v>512.08858227858389</v>
      </c>
      <c r="BI99" s="56">
        <f t="shared" si="91"/>
        <v>5.9457711604399943E-2</v>
      </c>
      <c r="BJ99" s="134">
        <f t="shared" si="107"/>
        <v>1.5535358669482887E-2</v>
      </c>
      <c r="BL99" s="2">
        <f t="shared" si="92"/>
        <v>2022</v>
      </c>
      <c r="BM99" s="95">
        <f t="shared" si="93"/>
        <v>624.00997036279216</v>
      </c>
      <c r="BN99" s="95">
        <f t="shared" si="105"/>
        <v>584.54994156086434</v>
      </c>
      <c r="BO99" s="95">
        <f t="shared" si="131"/>
        <v>56.978423591735535</v>
      </c>
      <c r="BP99" s="95">
        <f t="shared" si="132"/>
        <v>472.87428342519536</v>
      </c>
      <c r="BQ99" s="95">
        <f t="shared" si="133"/>
        <v>696.22559969653332</v>
      </c>
      <c r="BR99" s="56">
        <f t="shared" si="94"/>
        <v>-1.9340843690891507E-2</v>
      </c>
      <c r="BS99" s="134">
        <f t="shared" si="108"/>
        <v>6.3236215246667005E-2</v>
      </c>
      <c r="BU99" s="2">
        <f t="shared" si="95"/>
        <v>2022</v>
      </c>
      <c r="BV99" s="95">
        <f t="shared" si="96"/>
        <v>753.04614225292323</v>
      </c>
      <c r="BW99" s="95">
        <f t="shared" si="106"/>
        <v>824.79137654214469</v>
      </c>
      <c r="BX99" s="95">
        <f t="shared" si="134"/>
        <v>34.022174502058384</v>
      </c>
      <c r="BY99" s="95">
        <f t="shared" si="135"/>
        <v>758.10913984237334</v>
      </c>
      <c r="BZ99" s="95">
        <f t="shared" si="136"/>
        <v>891.47361324191604</v>
      </c>
      <c r="CA99" s="56">
        <f t="shared" si="97"/>
        <v>-0.12756932742533322</v>
      </c>
      <c r="CB99" s="134">
        <f t="shared" si="109"/>
        <v>9.5273357452675997E-2</v>
      </c>
    </row>
    <row r="100" spans="1:80" ht="15.5">
      <c r="A100" s="2">
        <v>2023</v>
      </c>
      <c r="B100" s="95">
        <v>1023.2102995343096</v>
      </c>
      <c r="C100" s="95">
        <v>380.79844520423137</v>
      </c>
      <c r="D100" s="95">
        <v>1452.6561795830003</v>
      </c>
      <c r="E100" s="95">
        <v>557.92886994437231</v>
      </c>
      <c r="F100" s="95">
        <v>240.47496709388244</v>
      </c>
      <c r="G100" s="147">
        <v>1931.4878512625128</v>
      </c>
      <c r="H100" s="95">
        <v>431.99290659755718</v>
      </c>
      <c r="I100" s="95">
        <v>591.25497075114868</v>
      </c>
      <c r="J100" s="95">
        <v>776.50695633311682</v>
      </c>
      <c r="K100" s="95"/>
      <c r="L100" s="2"/>
      <c r="M100" s="2">
        <f t="shared" si="77"/>
        <v>2023</v>
      </c>
      <c r="N100" s="95">
        <f t="shared" si="72"/>
        <v>1023.2102995343096</v>
      </c>
      <c r="O100" s="95">
        <f t="shared" si="98"/>
        <v>1036.423088140237</v>
      </c>
      <c r="P100" s="95">
        <f t="shared" si="110"/>
        <v>37.465577241218142</v>
      </c>
      <c r="Q100" s="95">
        <f t="shared" si="111"/>
        <v>962.99190608744595</v>
      </c>
      <c r="R100" s="95">
        <f t="shared" si="112"/>
        <v>1109.854270193028</v>
      </c>
      <c r="S100" s="56">
        <f t="shared" si="78"/>
        <v>-1.2056129471954113E-2</v>
      </c>
      <c r="T100" s="2">
        <f t="shared" si="79"/>
        <v>2023</v>
      </c>
      <c r="U100" s="95">
        <f t="shared" si="73"/>
        <v>380.79844520423137</v>
      </c>
      <c r="V100" s="95">
        <f t="shared" si="99"/>
        <v>379.69648008949724</v>
      </c>
      <c r="W100" s="95">
        <f t="shared" si="113"/>
        <v>1.5592267230719439</v>
      </c>
      <c r="X100" s="95">
        <f t="shared" si="114"/>
        <v>376.64045186854383</v>
      </c>
      <c r="Y100" s="95">
        <f t="shared" si="115"/>
        <v>382.75250831045065</v>
      </c>
      <c r="Z100" s="56">
        <f t="shared" si="80"/>
        <v>7.0397948422615819E-3</v>
      </c>
      <c r="AA100" s="2">
        <f t="shared" si="81"/>
        <v>2023</v>
      </c>
      <c r="AB100" s="95">
        <f t="shared" si="74"/>
        <v>1452.6561795830003</v>
      </c>
      <c r="AC100" s="95">
        <f t="shared" si="100"/>
        <v>1644.0511295125693</v>
      </c>
      <c r="AD100" s="95">
        <f t="shared" si="116"/>
        <v>140.52460626120552</v>
      </c>
      <c r="AE100" s="95">
        <f t="shared" si="117"/>
        <v>1368.6279622989348</v>
      </c>
      <c r="AF100" s="95">
        <f t="shared" si="118"/>
        <v>1919.4742967262039</v>
      </c>
      <c r="AG100" s="56">
        <f t="shared" si="82"/>
        <v>-0.14213178044624308</v>
      </c>
      <c r="AH100" s="2">
        <f t="shared" si="83"/>
        <v>2023</v>
      </c>
      <c r="AI100" s="95">
        <f t="shared" si="75"/>
        <v>557.92886994437231</v>
      </c>
      <c r="AJ100" s="95">
        <f t="shared" si="101"/>
        <v>551.47903838552884</v>
      </c>
      <c r="AK100" s="95">
        <f t="shared" si="119"/>
        <v>16.136911265331378</v>
      </c>
      <c r="AL100" s="95">
        <f t="shared" si="120"/>
        <v>519.85127348376068</v>
      </c>
      <c r="AM100" s="95">
        <f t="shared" si="121"/>
        <v>583.106803287297</v>
      </c>
      <c r="AN100" s="56">
        <f t="shared" si="84"/>
        <v>-4.3337749718908025E-4</v>
      </c>
      <c r="AO100" s="2">
        <f t="shared" si="85"/>
        <v>2023</v>
      </c>
      <c r="AP100" s="95">
        <f t="shared" si="76"/>
        <v>240.47496709388244</v>
      </c>
      <c r="AQ100" s="95">
        <f t="shared" si="102"/>
        <v>199.01249316889636</v>
      </c>
      <c r="AR100" s="95">
        <f t="shared" si="122"/>
        <v>6.5435130938654495</v>
      </c>
      <c r="AS100" s="95">
        <f t="shared" si="123"/>
        <v>186.18744317255383</v>
      </c>
      <c r="AT100" s="95">
        <f t="shared" si="124"/>
        <v>211.83754316523888</v>
      </c>
      <c r="AU100" s="56">
        <f t="shared" si="86"/>
        <v>0.13064209718816544</v>
      </c>
      <c r="AV100" s="2">
        <f t="shared" si="87"/>
        <v>2023</v>
      </c>
      <c r="AW100" s="95">
        <f t="shared" si="88"/>
        <v>1931.4878512625128</v>
      </c>
      <c r="AX100" s="95">
        <f t="shared" si="103"/>
        <v>1851.5943844723247</v>
      </c>
      <c r="AY100" s="95">
        <f t="shared" si="125"/>
        <v>42.556663931828716</v>
      </c>
      <c r="AZ100" s="95">
        <f t="shared" si="126"/>
        <v>1768.1848558637657</v>
      </c>
      <c r="BA100" s="95">
        <f t="shared" si="127"/>
        <v>1935.0039130808836</v>
      </c>
      <c r="BB100" s="56">
        <f t="shared" si="89"/>
        <v>4.5620139768441703E-2</v>
      </c>
      <c r="BC100" s="2">
        <f t="shared" si="90"/>
        <v>2023</v>
      </c>
      <c r="BD100" s="95">
        <f t="shared" si="71"/>
        <v>431.99290659755718</v>
      </c>
      <c r="BE100" s="95">
        <f t="shared" si="104"/>
        <v>442.55195739303525</v>
      </c>
      <c r="BF100" s="95">
        <f t="shared" si="128"/>
        <v>28.606208521117857</v>
      </c>
      <c r="BG100" s="95">
        <f t="shared" si="129"/>
        <v>386.48481895740144</v>
      </c>
      <c r="BH100" s="95">
        <f t="shared" si="130"/>
        <v>498.61909582866906</v>
      </c>
      <c r="BI100" s="56">
        <f t="shared" si="91"/>
        <v>-4.6644792922565292E-2</v>
      </c>
      <c r="BJ100" s="134">
        <f t="shared" si="107"/>
        <v>2.4442648557919125E-2</v>
      </c>
      <c r="BL100" s="2">
        <f t="shared" si="92"/>
        <v>2023</v>
      </c>
      <c r="BM100" s="95">
        <f t="shared" si="93"/>
        <v>591.25497075114868</v>
      </c>
      <c r="BN100" s="95">
        <f t="shared" si="105"/>
        <v>585.59658862350761</v>
      </c>
      <c r="BO100" s="95">
        <f t="shared" si="131"/>
        <v>54.109632193666194</v>
      </c>
      <c r="BP100" s="95">
        <f t="shared" si="132"/>
        <v>479.54365830721287</v>
      </c>
      <c r="BQ100" s="95">
        <f t="shared" si="133"/>
        <v>691.64951893980242</v>
      </c>
      <c r="BR100" s="56">
        <f t="shared" si="94"/>
        <v>-5.2491147845923236E-2</v>
      </c>
      <c r="BS100" s="134">
        <f t="shared" si="108"/>
        <v>9.5701218722144144E-3</v>
      </c>
      <c r="BU100" s="2">
        <f t="shared" si="95"/>
        <v>2023</v>
      </c>
      <c r="BV100" s="95">
        <f t="shared" si="96"/>
        <v>776.50695633311682</v>
      </c>
      <c r="BW100" s="95">
        <f t="shared" si="106"/>
        <v>812.45872093930757</v>
      </c>
      <c r="BX100" s="95">
        <f t="shared" si="134"/>
        <v>42.059791437214116</v>
      </c>
      <c r="BY100" s="95">
        <f t="shared" si="135"/>
        <v>730.0230445251018</v>
      </c>
      <c r="BZ100" s="95">
        <f t="shared" si="136"/>
        <v>894.89439735351334</v>
      </c>
      <c r="CA100" s="56">
        <f t="shared" si="97"/>
        <v>3.1154550516658608E-2</v>
      </c>
      <c r="CB100" s="134">
        <f t="shared" si="109"/>
        <v>4.6299346468143758E-2</v>
      </c>
    </row>
    <row r="101" spans="1:80" ht="15.5">
      <c r="A101" s="2">
        <v>2024</v>
      </c>
      <c r="B101" s="95">
        <v>989.53608769562243</v>
      </c>
      <c r="C101" s="95">
        <v>379.99834706160146</v>
      </c>
      <c r="D101" s="95">
        <v>1410.022432288765</v>
      </c>
      <c r="E101" s="95">
        <v>513.20147320365754</v>
      </c>
      <c r="F101" s="95">
        <v>208.88358664029752</v>
      </c>
      <c r="G101" s="147">
        <v>1868.3995628034238</v>
      </c>
      <c r="H101" s="95">
        <v>385.17828875748148</v>
      </c>
      <c r="I101" s="95">
        <v>506.42344967866063</v>
      </c>
      <c r="J101" s="95">
        <v>721.4012809830524</v>
      </c>
      <c r="K101" s="95"/>
      <c r="L101" s="2"/>
      <c r="M101" s="773">
        <f t="shared" si="77"/>
        <v>2024</v>
      </c>
      <c r="N101" s="779">
        <f t="shared" si="72"/>
        <v>989.53608769562243</v>
      </c>
      <c r="O101" s="779">
        <f t="shared" si="98"/>
        <v>1044.3569858127316</v>
      </c>
      <c r="P101" s="779">
        <f t="shared" si="110"/>
        <v>38.563935281824818</v>
      </c>
      <c r="Q101" s="779">
        <f t="shared" si="111"/>
        <v>968.77306155822157</v>
      </c>
      <c r="R101" s="779">
        <f t="shared" si="112"/>
        <v>1119.9409100672417</v>
      </c>
      <c r="S101" s="56">
        <f>(+N101/N100-1)</f>
        <v>-3.2910352694859646E-2</v>
      </c>
      <c r="T101" s="773">
        <f t="shared" si="79"/>
        <v>2024</v>
      </c>
      <c r="U101" s="779">
        <f t="shared" si="73"/>
        <v>379.99834706160146</v>
      </c>
      <c r="V101" s="779">
        <f t="shared" si="99"/>
        <v>380.15405607015208</v>
      </c>
      <c r="W101" s="779">
        <f t="shared" si="113"/>
        <v>1.3897134227614256</v>
      </c>
      <c r="X101" s="779">
        <f t="shared" si="114"/>
        <v>377.43026781270783</v>
      </c>
      <c r="Y101" s="779">
        <f t="shared" si="115"/>
        <v>382.87784432759634</v>
      </c>
      <c r="Z101" s="56">
        <f>(+U101/U100-1)</f>
        <v>-2.101106642388717E-3</v>
      </c>
      <c r="AA101" s="773">
        <f t="shared" si="81"/>
        <v>2024</v>
      </c>
      <c r="AB101" s="779">
        <f t="shared" si="74"/>
        <v>1410.022432288765</v>
      </c>
      <c r="AC101" s="779">
        <f t="shared" si="100"/>
        <v>1585.9027829152888</v>
      </c>
      <c r="AD101" s="779">
        <f t="shared" si="116"/>
        <v>152.63471880658193</v>
      </c>
      <c r="AE101" s="779">
        <f t="shared" si="117"/>
        <v>1286.7442312639898</v>
      </c>
      <c r="AF101" s="779">
        <f t="shared" si="118"/>
        <v>1885.0613345665877</v>
      </c>
      <c r="AG101" s="56">
        <f>(+AB101/AB100-1)</f>
        <v>-2.9348821760751154E-2</v>
      </c>
      <c r="AH101" s="773">
        <f t="shared" si="83"/>
        <v>2024</v>
      </c>
      <c r="AI101" s="779">
        <f t="shared" si="75"/>
        <v>513.20147320365754</v>
      </c>
      <c r="AJ101" s="779">
        <f t="shared" si="101"/>
        <v>550.40158445831173</v>
      </c>
      <c r="AK101" s="779">
        <f t="shared" si="119"/>
        <v>14.208844417783721</v>
      </c>
      <c r="AL101" s="779">
        <f t="shared" si="120"/>
        <v>522.55276113752268</v>
      </c>
      <c r="AM101" s="779">
        <f t="shared" si="121"/>
        <v>578.25040777910078</v>
      </c>
      <c r="AN101" s="56">
        <f>(+AI101/AI100-1)</f>
        <v>-8.0166844108952917E-2</v>
      </c>
      <c r="AO101" s="773">
        <f t="shared" si="85"/>
        <v>2024</v>
      </c>
      <c r="AP101" s="779">
        <f t="shared" si="76"/>
        <v>208.88358664029752</v>
      </c>
      <c r="AQ101" s="779">
        <f t="shared" si="102"/>
        <v>207.82931738482381</v>
      </c>
      <c r="AR101" s="779">
        <f t="shared" si="122"/>
        <v>15.998697784331558</v>
      </c>
      <c r="AS101" s="779">
        <f t="shared" si="123"/>
        <v>176.47244592799319</v>
      </c>
      <c r="AT101" s="779">
        <f t="shared" si="124"/>
        <v>239.18618884165443</v>
      </c>
      <c r="AU101" s="56">
        <f>(+AP101/AP100-1)</f>
        <v>-0.13137076526244629</v>
      </c>
      <c r="AV101" s="773">
        <f t="shared" si="87"/>
        <v>2024</v>
      </c>
      <c r="AW101" s="95">
        <f t="shared" si="88"/>
        <v>1868.3995628034238</v>
      </c>
      <c r="AX101" s="779">
        <f t="shared" si="103"/>
        <v>1875.1117821389321</v>
      </c>
      <c r="AY101" s="779">
        <f t="shared" si="125"/>
        <v>48.187446172781016</v>
      </c>
      <c r="AZ101" s="779">
        <f t="shared" si="126"/>
        <v>1780.6661231333189</v>
      </c>
      <c r="BA101" s="779">
        <f t="shared" si="127"/>
        <v>1969.5574411445452</v>
      </c>
      <c r="BB101" s="56">
        <f>(+AW101/AW100-1)</f>
        <v>-3.2663052173924623E-2</v>
      </c>
      <c r="BC101" s="773">
        <f t="shared" si="90"/>
        <v>2024</v>
      </c>
      <c r="BD101" s="779">
        <f t="shared" si="71"/>
        <v>385.17828875748148</v>
      </c>
      <c r="BE101" s="779">
        <f t="shared" si="104"/>
        <v>434.95324177267895</v>
      </c>
      <c r="BF101" s="779">
        <f t="shared" si="128"/>
        <v>25.550444176566543</v>
      </c>
      <c r="BG101" s="779">
        <f t="shared" si="129"/>
        <v>384.87529139760738</v>
      </c>
      <c r="BH101" s="779">
        <f t="shared" si="130"/>
        <v>485.03119214775052</v>
      </c>
      <c r="BI101" s="56">
        <f>(+BD101/BD100-1)</f>
        <v>-0.10836895033484428</v>
      </c>
      <c r="BJ101" s="134">
        <f t="shared" si="107"/>
        <v>0.12922574939455403</v>
      </c>
      <c r="BL101" s="773">
        <f t="shared" si="92"/>
        <v>2024</v>
      </c>
      <c r="BM101" s="95">
        <f t="shared" si="93"/>
        <v>506.42344967866063</v>
      </c>
      <c r="BN101" s="779">
        <f t="shared" si="105"/>
        <v>590.6489553052952</v>
      </c>
      <c r="BO101" s="779">
        <f t="shared" si="131"/>
        <v>39.475076186504296</v>
      </c>
      <c r="BP101" s="779">
        <f t="shared" si="132"/>
        <v>513.27922769277211</v>
      </c>
      <c r="BQ101" s="779">
        <f t="shared" si="133"/>
        <v>668.0186829178183</v>
      </c>
      <c r="BR101" s="56">
        <f>(+BM101/BM100-1)</f>
        <v>-0.1434770535031874</v>
      </c>
      <c r="BS101" s="134">
        <f t="shared" si="108"/>
        <v>0.16631438706102161</v>
      </c>
      <c r="BU101" s="773">
        <f t="shared" si="95"/>
        <v>2024</v>
      </c>
      <c r="BV101" s="95">
        <f t="shared" si="96"/>
        <v>721.4012809830524</v>
      </c>
      <c r="BW101" s="779">
        <f t="shared" si="106"/>
        <v>796.66707505063414</v>
      </c>
      <c r="BX101" s="779">
        <f t="shared" si="134"/>
        <v>42.672979594463712</v>
      </c>
      <c r="BY101" s="779">
        <f t="shared" si="135"/>
        <v>713.02957193247266</v>
      </c>
      <c r="BZ101" s="779">
        <f t="shared" si="136"/>
        <v>880.30457816879562</v>
      </c>
      <c r="CA101" s="56">
        <f>(+BV101/BV100-1)</f>
        <v>-7.0966106485753633E-2</v>
      </c>
      <c r="CB101" s="134">
        <f t="shared" si="109"/>
        <v>0.10433277019555214</v>
      </c>
    </row>
    <row r="102" spans="1:80" ht="15.5">
      <c r="A102" s="117"/>
      <c r="B102" s="117"/>
      <c r="C102" s="117"/>
      <c r="D102" s="117"/>
      <c r="E102" s="117"/>
      <c r="F102" s="117"/>
      <c r="G102" s="2"/>
      <c r="H102" s="2"/>
      <c r="I102" s="2"/>
      <c r="J102" s="2"/>
      <c r="K102" s="2"/>
      <c r="L102" s="2"/>
      <c r="M102" s="2"/>
      <c r="N102" s="95"/>
      <c r="O102" s="95">
        <f t="shared" si="98"/>
        <v>1033.7792143361828</v>
      </c>
      <c r="P102" s="95">
        <f t="shared" si="110"/>
        <v>37.388392553941891</v>
      </c>
      <c r="Q102" s="95">
        <f t="shared" si="111"/>
        <v>960.49931149061115</v>
      </c>
      <c r="R102" s="95">
        <f t="shared" si="112"/>
        <v>1107.0591171817543</v>
      </c>
      <c r="S102" s="780"/>
      <c r="T102" s="2"/>
      <c r="U102" s="95"/>
      <c r="V102" s="95">
        <f t="shared" si="99"/>
        <v>380.39384001929017</v>
      </c>
      <c r="W102" s="95">
        <f t="shared" si="113"/>
        <v>1.3968537900419491</v>
      </c>
      <c r="X102" s="95">
        <f t="shared" si="114"/>
        <v>377.65605689913968</v>
      </c>
      <c r="Y102" s="95">
        <f t="shared" si="115"/>
        <v>383.13162313944065</v>
      </c>
      <c r="Z102" s="2"/>
      <c r="AA102" s="2"/>
      <c r="AB102" s="95"/>
      <c r="AC102" s="95">
        <f t="shared" si="100"/>
        <v>1570.0529532326559</v>
      </c>
      <c r="AD102" s="95">
        <f t="shared" si="116"/>
        <v>151.41620181484305</v>
      </c>
      <c r="AE102" s="95">
        <f t="shared" si="117"/>
        <v>1273.2826509997153</v>
      </c>
      <c r="AF102" s="95">
        <f t="shared" si="118"/>
        <v>1866.8232554655965</v>
      </c>
      <c r="AH102" s="2"/>
      <c r="AI102" s="95"/>
      <c r="AJ102" s="95">
        <f t="shared" si="101"/>
        <v>541.85758422237939</v>
      </c>
      <c r="AK102" s="95">
        <f t="shared" si="119"/>
        <v>17.990272631653333</v>
      </c>
      <c r="AL102" s="95">
        <f t="shared" si="120"/>
        <v>506.59729779228223</v>
      </c>
      <c r="AM102" s="95">
        <f t="shared" si="121"/>
        <v>577.11787065247654</v>
      </c>
      <c r="AO102" s="2"/>
      <c r="AP102" s="95"/>
      <c r="AQ102" s="95">
        <f t="shared" si="102"/>
        <v>209.71289559458046</v>
      </c>
      <c r="AR102" s="95">
        <f t="shared" si="122"/>
        <v>15.945044071187542</v>
      </c>
      <c r="AS102" s="95">
        <f t="shared" si="123"/>
        <v>178.46118348314897</v>
      </c>
      <c r="AT102" s="95">
        <f t="shared" si="124"/>
        <v>240.96460770601195</v>
      </c>
      <c r="AV102" s="2"/>
      <c r="AW102" s="95"/>
      <c r="AX102" s="95">
        <f t="shared" si="103"/>
        <v>1865.7789625891753</v>
      </c>
      <c r="AY102" s="95">
        <f t="shared" si="125"/>
        <v>26.009469709997976</v>
      </c>
      <c r="AZ102" s="95">
        <f t="shared" si="126"/>
        <v>1814.8013387005938</v>
      </c>
      <c r="BA102" s="95">
        <f t="shared" si="127"/>
        <v>1916.7565864777569</v>
      </c>
      <c r="BC102" s="2"/>
      <c r="BD102" s="95"/>
      <c r="BE102" s="95">
        <f t="shared" si="104"/>
        <v>424.09454848877959</v>
      </c>
      <c r="BF102" s="95">
        <f t="shared" si="128"/>
        <v>25.70668236443943</v>
      </c>
      <c r="BG102" s="95">
        <f t="shared" si="129"/>
        <v>373.71037689246737</v>
      </c>
      <c r="BH102" s="95">
        <f t="shared" si="130"/>
        <v>474.47872008509182</v>
      </c>
      <c r="BL102" s="2"/>
      <c r="BM102" s="95"/>
      <c r="BN102" s="95">
        <f>AVERAGE(BM97:BM101)</f>
        <v>579.97276143576903</v>
      </c>
      <c r="BO102" s="95">
        <f>SQRT(SUMXMY2(BM97:BM101,BN98:BN102)/5)</f>
        <v>46.831973755721116</v>
      </c>
      <c r="BP102" s="95">
        <f t="shared" si="132"/>
        <v>488.18377954963069</v>
      </c>
      <c r="BQ102" s="95">
        <f t="shared" si="133"/>
        <v>671.76174332190737</v>
      </c>
      <c r="BU102" s="2"/>
      <c r="BV102" s="95"/>
      <c r="BW102" s="95">
        <f>AVERAGE(BV97:BV101)</f>
        <v>775.33319388077689</v>
      </c>
      <c r="BX102" s="95">
        <f>SQRT(SUMXMY2(BV97:BV101,BW98:BW102)/5)</f>
        <v>48.880709405900014</v>
      </c>
      <c r="BY102" s="95">
        <f t="shared" si="135"/>
        <v>679.52876390644462</v>
      </c>
      <c r="BZ102" s="95">
        <f t="shared" si="136"/>
        <v>871.13762385510915</v>
      </c>
    </row>
    <row r="103" spans="1:80" ht="15.5">
      <c r="A103" s="117"/>
      <c r="B103" s="117"/>
      <c r="C103" s="117"/>
      <c r="D103" s="117"/>
      <c r="E103" s="117"/>
      <c r="F103" s="117"/>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H103" s="2"/>
      <c r="AI103" s="2"/>
      <c r="AJ103" s="2"/>
      <c r="AK103" s="2"/>
      <c r="AL103" s="2"/>
      <c r="AM103" s="2"/>
      <c r="AO103" s="2"/>
      <c r="AP103" s="2"/>
      <c r="AQ103" s="2"/>
      <c r="AR103" s="2"/>
      <c r="AS103" s="2"/>
      <c r="AT103" s="2"/>
      <c r="AV103" s="2"/>
      <c r="AW103" s="2"/>
      <c r="AX103" s="2"/>
      <c r="AY103" s="2"/>
      <c r="AZ103" s="2"/>
      <c r="BA103" s="2"/>
      <c r="BC103" s="2"/>
      <c r="BD103" s="2"/>
      <c r="BE103" s="2"/>
      <c r="BF103" s="2"/>
      <c r="BG103" s="2"/>
      <c r="BH103" s="2"/>
      <c r="BL103" s="2"/>
      <c r="BM103" s="2"/>
      <c r="BN103" s="2"/>
      <c r="BO103" s="2"/>
      <c r="BP103" s="2"/>
      <c r="BQ103" s="2"/>
      <c r="BU103" s="2"/>
      <c r="BV103" s="2"/>
      <c r="BW103" s="2"/>
      <c r="BX103" s="2"/>
      <c r="BY103" s="2"/>
      <c r="BZ103" s="2"/>
    </row>
    <row r="104" spans="1:80" ht="15.5">
      <c r="A104" s="117" t="s">
        <v>698</v>
      </c>
      <c r="B104" s="147">
        <f t="shared" ref="B104:H104" si="137">AVERAGE(B67:B101)</f>
        <v>983.70378140472394</v>
      </c>
      <c r="C104" s="147">
        <f t="shared" si="137"/>
        <v>402.3305441451393</v>
      </c>
      <c r="D104" s="147">
        <f t="shared" si="137"/>
        <v>1686.7297329603896</v>
      </c>
      <c r="E104" s="147">
        <f t="shared" si="137"/>
        <v>638.5838443968812</v>
      </c>
      <c r="F104" s="147">
        <f t="shared" si="137"/>
        <v>328.10688236044388</v>
      </c>
      <c r="G104" s="147">
        <f t="shared" si="137"/>
        <v>1717.9028678590996</v>
      </c>
      <c r="H104" s="147">
        <f t="shared" si="137"/>
        <v>558.8451076029163</v>
      </c>
      <c r="I104" s="147"/>
      <c r="J104" s="147"/>
      <c r="K104" s="147"/>
      <c r="L104" s="2"/>
      <c r="M104" s="2"/>
      <c r="N104" s="774" t="s">
        <v>591</v>
      </c>
      <c r="O104" s="774" t="s">
        <v>592</v>
      </c>
      <c r="P104" s="781" t="s">
        <v>593</v>
      </c>
      <c r="Q104" s="2"/>
      <c r="R104" s="2"/>
      <c r="S104" s="2"/>
      <c r="T104" s="2"/>
      <c r="U104" s="774" t="s">
        <v>591</v>
      </c>
      <c r="V104" s="774" t="s">
        <v>592</v>
      </c>
      <c r="W104" s="781" t="s">
        <v>593</v>
      </c>
      <c r="X104" s="2"/>
      <c r="Y104" s="2"/>
      <c r="Z104" s="2"/>
      <c r="AA104" s="2"/>
      <c r="AB104" s="774" t="s">
        <v>591</v>
      </c>
      <c r="AC104" s="774" t="s">
        <v>592</v>
      </c>
      <c r="AD104" s="781" t="s">
        <v>593</v>
      </c>
      <c r="AE104" s="2"/>
      <c r="AF104" s="2"/>
      <c r="AH104" s="2"/>
      <c r="AI104" s="774" t="s">
        <v>591</v>
      </c>
      <c r="AJ104" s="774" t="s">
        <v>592</v>
      </c>
      <c r="AK104" s="781" t="s">
        <v>593</v>
      </c>
      <c r="AL104" s="2"/>
      <c r="AM104" s="2"/>
      <c r="AO104" s="2"/>
      <c r="AP104" s="774" t="s">
        <v>591</v>
      </c>
      <c r="AQ104" s="774" t="s">
        <v>592</v>
      </c>
      <c r="AR104" s="781" t="s">
        <v>593</v>
      </c>
      <c r="AS104" s="2"/>
      <c r="AT104" s="2"/>
      <c r="AV104" s="2"/>
      <c r="AW104" s="774" t="s">
        <v>591</v>
      </c>
      <c r="AX104" s="774" t="s">
        <v>592</v>
      </c>
      <c r="AY104" s="781" t="s">
        <v>593</v>
      </c>
      <c r="AZ104" s="2"/>
      <c r="BA104" s="2"/>
      <c r="BC104" s="2"/>
      <c r="BD104" s="774" t="s">
        <v>591</v>
      </c>
      <c r="BE104" s="774" t="s">
        <v>592</v>
      </c>
      <c r="BF104" s="781" t="s">
        <v>593</v>
      </c>
      <c r="BG104" s="2"/>
      <c r="BH104" s="2"/>
      <c r="BL104" s="2"/>
      <c r="BM104" s="774" t="s">
        <v>591</v>
      </c>
      <c r="BN104" s="774" t="s">
        <v>592</v>
      </c>
      <c r="BO104" s="781" t="s">
        <v>593</v>
      </c>
      <c r="BP104" s="2"/>
      <c r="BQ104" s="2"/>
      <c r="BU104" s="2"/>
      <c r="BV104" s="774" t="s">
        <v>591</v>
      </c>
      <c r="BW104" s="774" t="s">
        <v>592</v>
      </c>
      <c r="BX104" s="781" t="s">
        <v>593</v>
      </c>
      <c r="BY104" s="2"/>
      <c r="BZ104" s="2"/>
    </row>
    <row r="105" spans="1:80" ht="15.5">
      <c r="A105" s="117" t="s">
        <v>699</v>
      </c>
      <c r="B105" s="120">
        <f t="shared" ref="B105:H105" si="138">1.96*_xlfn.STDEV.S(B67:B101)</f>
        <v>67.962016028830902</v>
      </c>
      <c r="C105" s="120">
        <f t="shared" si="138"/>
        <v>47.618825161494989</v>
      </c>
      <c r="D105" s="120">
        <f t="shared" si="138"/>
        <v>345.2316424061508</v>
      </c>
      <c r="E105" s="120">
        <f t="shared" si="138"/>
        <v>128.7022909364627</v>
      </c>
      <c r="F105" s="120">
        <f t="shared" si="138"/>
        <v>318.11670760898556</v>
      </c>
      <c r="G105" s="120">
        <f t="shared" si="138"/>
        <v>697.49141522673676</v>
      </c>
      <c r="H105" s="120">
        <f t="shared" si="138"/>
        <v>159.00867843222079</v>
      </c>
      <c r="I105" s="120"/>
      <c r="J105" s="120"/>
      <c r="K105" s="120"/>
      <c r="L105" s="2"/>
      <c r="M105" s="2"/>
      <c r="N105" s="775">
        <f>SUMPRODUCT(ABS(N72:N101-O72:O101))/COUNT(O72:O101)</f>
        <v>24.726622008722853</v>
      </c>
      <c r="O105" s="776">
        <f>SUMXMY2(N72:N101,O72:O101)/COUNT(O72:O101)</f>
        <v>1001.9393561427011</v>
      </c>
      <c r="P105" s="988" cm="1">
        <f t="array" ref="P105">SUMPRODUCT(ABS(1-O82:O101/N82:N101))/COUNT(O82:O101)</f>
        <v>2.6779830160595201E-2</v>
      </c>
      <c r="Q105" s="2"/>
      <c r="R105" s="2" t="s">
        <v>720</v>
      </c>
      <c r="S105" s="987">
        <f>(N101/N82)^(1/($M$38-$M$19))-1</f>
        <v>-1.1699980530275322E-3</v>
      </c>
      <c r="T105" s="2"/>
      <c r="U105" s="775">
        <f>SUMPRODUCT(ABS(U72:U101-V72:V101))/COUNT(V72:V101)</f>
        <v>10.308202666159927</v>
      </c>
      <c r="V105" s="776">
        <f>SUMXMY2(U72:U101,V72:V101)/COUNT(V72:V101)</f>
        <v>245.21090729172013</v>
      </c>
      <c r="W105" s="988" cm="1">
        <f t="array" ref="W105">SUMPRODUCT(ABS(1-V82:V101/U82:U101))/COUNT(V82:V101)</f>
        <v>1.4639480957027556E-2</v>
      </c>
      <c r="X105" s="2"/>
      <c r="Y105" s="2"/>
      <c r="Z105" s="987">
        <f>(U101/U82)^(1/($M$38-$M$19))-1</f>
        <v>-4.4203893472651856E-3</v>
      </c>
      <c r="AA105" s="2"/>
      <c r="AB105" s="775">
        <f>SUMPRODUCT(ABS(AB72:AB101-AC72:AC101))/COUNT(AC72:AC101)</f>
        <v>178.14713406007198</v>
      </c>
      <c r="AC105" s="776">
        <f>SUMXMY2(AB72:AB101,AC72:AC101)/COUNT(AC72:AC101)</f>
        <v>45809.845074402212</v>
      </c>
      <c r="AD105" s="988" cm="1">
        <f t="array" ref="AD105">SUMPRODUCT(ABS(1-AC82:AC101/AB82:AB101))/COUNT(AC82:AC101)</f>
        <v>9.4757633020565182E-2</v>
      </c>
      <c r="AE105" s="2"/>
      <c r="AF105" s="2"/>
      <c r="AG105" s="987">
        <f>(AB101/AB82)^(1/($M$38-$M$19))-1</f>
        <v>-1.7685047298380607E-2</v>
      </c>
      <c r="AH105" s="2"/>
      <c r="AI105" s="775">
        <f>SUMPRODUCT(ABS(AI72:AI101-AJ72:AJ101))/COUNT(AJ72:AJ101)</f>
        <v>33.689054685159846</v>
      </c>
      <c r="AJ105" s="776">
        <f>SUMXMY2(AI72:AI101,AJ72:AJ101)/COUNT(AJ72:AJ101)</f>
        <v>1853.2647517494806</v>
      </c>
      <c r="AK105" s="988" cm="1">
        <f t="array" ref="AK105">SUMPRODUCT(ABS(1-AJ82:AJ101/AI82:AI101))/COUNT(AJ82:AJ101)</f>
        <v>6.6748483193141611E-2</v>
      </c>
      <c r="AL105" s="2"/>
      <c r="AM105" s="2"/>
      <c r="AN105" s="987">
        <f>(AI101/AI82)^(1/($M$38-$M$19))-1</f>
        <v>-1.7621906681520194E-2</v>
      </c>
      <c r="AO105" s="2"/>
      <c r="AP105" s="775">
        <f>SUMPRODUCT(ABS(AP72:AP101-AQ72:AQ101))/COUNT(AQ72:AQ101)</f>
        <v>67.260557105480046</v>
      </c>
      <c r="AQ105" s="776">
        <f>SUMXMY2(AP72:AP101,AQ72:AQ101)/COUNT(AQ72:AQ101)</f>
        <v>7145.3346736662643</v>
      </c>
      <c r="AR105" s="988" cm="1">
        <f t="array" ref="AR105">SUMPRODUCT(ABS(1-AQ82:AQ101/AP82:AP101))/COUNT(AQ82:AQ101)</f>
        <v>0.17359178502336967</v>
      </c>
      <c r="AS105" s="2"/>
      <c r="AT105" s="2"/>
      <c r="AU105" s="987">
        <f>(AP101/AP82)^(1/($M$38-$M$19))-1</f>
        <v>-2.5511672117812023E-2</v>
      </c>
      <c r="AV105" s="2"/>
      <c r="AW105" s="775">
        <f>SUMPRODUCT(ABS(AW72:AW101-AX72:AX101))/COUNT(AX72:AX101)</f>
        <v>259.7889283969289</v>
      </c>
      <c r="AX105" s="776">
        <f>SUMXMY2(AW72:AW101,AX72:AX101)/COUNT(AX72:AX101)</f>
        <v>155427.76667823544</v>
      </c>
      <c r="AY105" s="988" cm="1">
        <f t="array" ref="AY105">SUMPRODUCT(ABS(1-AX82:AX101/AW82:AW101))/COUNT(AX82:AX101)</f>
        <v>5.1203745786826835E-2</v>
      </c>
      <c r="AZ105" s="2"/>
      <c r="BA105" s="2"/>
      <c r="BB105" s="987">
        <f>(AW101/AW82)^(1/($M$38-$M$19))-1</f>
        <v>7.8212076849077938E-3</v>
      </c>
      <c r="BC105" s="2"/>
      <c r="BD105" s="775">
        <f>SUMPRODUCT(ABS(BD72:BD101-BE72:BE101))/COUNT(BE72:BE101)</f>
        <v>27.484454973047377</v>
      </c>
      <c r="BE105" s="776">
        <f>SUMXMY2(BD72:BD101,BE72:BE101)/COUNT(BE72:BE101)</f>
        <v>1032.4837042991228</v>
      </c>
      <c r="BF105" s="988" cm="1">
        <f t="array" ref="BF105">SUMPRODUCT(ABS(1-BE82:BE101/BD82:BD101))/COUNT(BE82:BE101)</f>
        <v>5.9167295990069535E-2</v>
      </c>
      <c r="BG105" s="2"/>
      <c r="BH105" s="2"/>
      <c r="BI105" s="987">
        <f>(BD101/BD82)^(1/($M$38-$M$19))-1</f>
        <v>-2.3132540973900606E-2</v>
      </c>
      <c r="BJ105" s="56">
        <f>SUM(BJ97:BJ101)*1/COUNTA(BD97:BD101)</f>
        <v>7.4681169746645432E-2</v>
      </c>
      <c r="BL105" s="2"/>
      <c r="BM105" s="775">
        <f>SUMPRODUCT(ABS(BM72:BM101-BN72:BN101))/COUNT(BN72:BN101)</f>
        <v>46.549867964075396</v>
      </c>
      <c r="BN105" s="776">
        <f>SUMXMY2(BM72:BM101,BN72:BN101)/COUNT(BN72:BN101)</f>
        <v>3391.7245938518327</v>
      </c>
      <c r="BO105" s="988" cm="1">
        <f t="array" ref="BO105">SUMPRODUCT(ABS(1-BN82:BN101/BM82:BM101))/COUNT(BN82:BN101)</f>
        <v>9.4089430290012349E-2</v>
      </c>
      <c r="BP105" s="2"/>
      <c r="BQ105" s="2"/>
      <c r="BR105" s="987">
        <f>(BM101/BM82)^(1/($M$38-$M$19))-1</f>
        <v>-2.0473025453733751E-2</v>
      </c>
      <c r="BS105" s="56">
        <f>SUM(BS97:BS101)*1/COUNTA(BM97:BM101)</f>
        <v>8.9821411580788463E-2</v>
      </c>
      <c r="BU105" s="2"/>
      <c r="BV105" s="775">
        <f>SUMPRODUCT(ABS(BV72:BV101-BW72:BW101))/COUNT(BW72:BW101)</f>
        <v>77.859825505868741</v>
      </c>
      <c r="BW105" s="776">
        <f>SUMXMY2(BV72:BV101,BW72:BW101)/COUNT(BW72:BW101)</f>
        <v>9018.4148209383056</v>
      </c>
      <c r="BX105" s="988" cm="1">
        <f t="array" ref="BX105">SUMPRODUCT(ABS(1-BW82:BW101/BV82:BV101))/COUNT(BW82:BW101)</f>
        <v>8.1217125236959148E-2</v>
      </c>
      <c r="BY105" s="2"/>
      <c r="BZ105" s="2"/>
      <c r="CA105" s="987">
        <f>(BV101/BV82)^(1/($M$38-$M$19))-1</f>
        <v>-3.6765328509340556E-3</v>
      </c>
      <c r="CB105" s="56">
        <f>SUM(CB97:CB101)*1/COUNTA(BV97:BV101)</f>
        <v>7.7862475587700458E-2</v>
      </c>
    </row>
    <row r="106" spans="1:80" ht="15.5">
      <c r="L106" s="2" t="s">
        <v>700</v>
      </c>
      <c r="M106" s="940"/>
      <c r="N106" s="940">
        <f>MIN(S106:BB106)</f>
        <v>-1.662155306941486E-2</v>
      </c>
      <c r="O106" s="2"/>
      <c r="P106" s="2"/>
      <c r="Q106" s="2"/>
      <c r="R106" s="2" t="s">
        <v>721</v>
      </c>
      <c r="S106" s="571">
        <f>AVERAGE(S83:S101)</f>
        <v>-8.8014340275434735E-4</v>
      </c>
      <c r="T106" s="2"/>
      <c r="U106" s="2"/>
      <c r="V106" s="2"/>
      <c r="W106" s="2"/>
      <c r="X106" s="2"/>
      <c r="Y106" s="2"/>
      <c r="Z106" s="571">
        <f>AVERAGE(Z83:Z101)</f>
        <v>-4.3178424955982835E-3</v>
      </c>
      <c r="AG106" s="571">
        <f>AVERAGE(AG83:AG101)</f>
        <v>-1.3271443837215265E-2</v>
      </c>
      <c r="AN106" s="571">
        <f>AVERAGE(AN83:AN101)</f>
        <v>-1.662155306941486E-2</v>
      </c>
      <c r="AU106" s="571">
        <f>AVERAGE(AU83:AU101)</f>
        <v>-1.5533830312016828E-2</v>
      </c>
      <c r="BB106" s="571">
        <f>AVERAGE(BB83:BB101)</f>
        <v>1.3790574997471267E-2</v>
      </c>
      <c r="BI106" s="571">
        <f>AVERAGE(BI83:BI101)</f>
        <v>-2.2464157037146333E-2</v>
      </c>
      <c r="BR106" s="571">
        <f>AVERAGE(BR83:BR101)</f>
        <v>-1.7194261224688086E-2</v>
      </c>
      <c r="CA106" s="571">
        <f>AVERAGE(CA83:CA101)</f>
        <v>-4.1802811420100839E-5</v>
      </c>
    </row>
    <row r="107" spans="1:80" ht="15.5">
      <c r="L107" s="2" t="s">
        <v>701</v>
      </c>
      <c r="M107" s="940"/>
      <c r="N107" s="252">
        <f>MAX(S106:BB106)</f>
        <v>1.3790574997471267E-2</v>
      </c>
      <c r="O107" s="2"/>
      <c r="P107" s="2"/>
      <c r="Q107" s="2"/>
      <c r="R107" s="2"/>
      <c r="S107" s="252">
        <f>1.96*_xlfn.STDEV.S(S82:S101)</f>
        <v>4.7488289320209695E-2</v>
      </c>
      <c r="T107" s="2"/>
      <c r="U107" s="2"/>
      <c r="V107" s="2"/>
      <c r="W107" s="2"/>
      <c r="X107" s="2"/>
      <c r="Y107" s="2"/>
      <c r="Z107" s="252">
        <f>1.96*_xlfn.STDEV.S(Z82:Z101)</f>
        <v>2.8654640644299918E-2</v>
      </c>
      <c r="AG107" s="252">
        <f>1.96*_xlfn.STDEV.S(AG82:AG101)</f>
        <v>0.19064822538460913</v>
      </c>
      <c r="AN107" s="252">
        <f>1.96*_xlfn.STDEV.S(AN82:AN101)</f>
        <v>8.6069506509332108E-2</v>
      </c>
      <c r="AU107" s="252">
        <f>1.96*_xlfn.STDEV.S(AU82:AU101)</f>
        <v>0.28942073098854132</v>
      </c>
      <c r="BB107" s="252">
        <f>1.96*_xlfn.STDEV.S(BB82:BB101)</f>
        <v>0.24414492914664582</v>
      </c>
      <c r="BI107" s="252">
        <f>1.96*_xlfn.STDEV.S(BI82:BI101)</f>
        <v>7.1434326400716688E-2</v>
      </c>
      <c r="BR107" s="252">
        <f>1.96*_xlfn.STDEV.S(BR82:BR101)</f>
        <v>0.15912488064565888</v>
      </c>
      <c r="CA107" s="252">
        <f>1.96*_xlfn.STDEV.S(CA82:CA101)</f>
        <v>0.17415263924800795</v>
      </c>
    </row>
  </sheetData>
  <phoneticPr fontId="10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83A4-C8EC-4926-83F8-EDC00976276D}">
  <sheetPr codeName="Foglio33"/>
  <dimension ref="A1:AD87"/>
  <sheetViews>
    <sheetView zoomScaleNormal="100" workbookViewId="0">
      <pane xSplit="1" ySplit="5" topLeftCell="B6"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46.453125" bestFit="1" customWidth="1"/>
    <col min="2" max="2" width="6" bestFit="1" customWidth="1"/>
    <col min="3" max="3" width="9" bestFit="1" customWidth="1"/>
    <col min="4" max="4" width="8.453125" bestFit="1" customWidth="1"/>
    <col min="5" max="8" width="8.984375E-2" customWidth="1"/>
    <col min="9" max="9" width="8.453125" bestFit="1" customWidth="1"/>
    <col min="10" max="13" width="8.984375E-2" customWidth="1"/>
    <col min="14" max="14" width="8.453125" bestFit="1" customWidth="1"/>
    <col min="15" max="18" width="8.984375E-2" customWidth="1"/>
    <col min="19" max="22" width="8.453125" bestFit="1" customWidth="1"/>
    <col min="23" max="23" width="9.90625" bestFit="1" customWidth="1"/>
    <col min="24" max="29" width="8.453125" bestFit="1" customWidth="1"/>
    <col min="30" max="30" width="9.1796875" bestFit="1" customWidth="1"/>
  </cols>
  <sheetData>
    <row r="1" spans="1:30">
      <c r="A1" s="68" t="s">
        <v>468</v>
      </c>
      <c r="AD1" s="226"/>
    </row>
    <row r="2" spans="1:30">
      <c r="D2" s="426">
        <f t="shared" ref="D2:T2" si="0">+D16/D23</f>
        <v>0.28303375305510009</v>
      </c>
      <c r="E2" s="426">
        <f t="shared" si="0"/>
        <v>0.28510607168983176</v>
      </c>
      <c r="F2" s="426">
        <f t="shared" si="0"/>
        <v>0.2822674418604651</v>
      </c>
      <c r="G2" s="426">
        <f t="shared" si="0"/>
        <v>0.28311343216827367</v>
      </c>
      <c r="H2" s="426">
        <f t="shared" si="0"/>
        <v>0.31836441893830703</v>
      </c>
      <c r="I2" s="426">
        <f t="shared" si="0"/>
        <v>0.31115252549750455</v>
      </c>
      <c r="J2" s="426">
        <f t="shared" si="0"/>
        <v>0.29919333592603281</v>
      </c>
      <c r="K2" s="426">
        <f t="shared" si="0"/>
        <v>0.29177117709040495</v>
      </c>
      <c r="L2" s="426">
        <f t="shared" si="0"/>
        <v>0.29552437682163751</v>
      </c>
      <c r="M2" s="426">
        <f t="shared" si="0"/>
        <v>0.31299689457564539</v>
      </c>
      <c r="N2" s="426">
        <f t="shared" si="0"/>
        <v>0.38730819579408332</v>
      </c>
      <c r="O2" s="426">
        <f t="shared" si="0"/>
        <v>0.4040317213842059</v>
      </c>
      <c r="P2" s="426">
        <f t="shared" si="0"/>
        <v>0.40850119681287089</v>
      </c>
      <c r="Q2" s="426">
        <f t="shared" si="0"/>
        <v>0.40849450642141083</v>
      </c>
      <c r="R2" s="426">
        <f t="shared" si="0"/>
        <v>0.4087147570720418</v>
      </c>
      <c r="S2" s="426">
        <f t="shared" si="0"/>
        <v>0.42070485636169497</v>
      </c>
      <c r="T2" s="426">
        <f t="shared" si="0"/>
        <v>0.42197553788398656</v>
      </c>
      <c r="U2" s="426">
        <f>+U16/U23</f>
        <v>0.42604274852226537</v>
      </c>
      <c r="V2" s="426">
        <f>+V16/V23</f>
        <v>0.42420603845819199</v>
      </c>
      <c r="W2" s="426"/>
      <c r="X2" s="426"/>
      <c r="Y2" s="426"/>
      <c r="Z2" s="426"/>
      <c r="AA2" s="426"/>
      <c r="AB2" s="426"/>
      <c r="AC2" s="426"/>
      <c r="AD2" s="226"/>
    </row>
    <row r="3" spans="1:30" ht="15" thickBot="1">
      <c r="A3" s="606"/>
      <c r="B3" s="606"/>
      <c r="C3" s="606"/>
      <c r="D3" s="606"/>
      <c r="E3" s="606"/>
      <c r="F3" s="606"/>
      <c r="G3" s="606"/>
      <c r="H3" s="606"/>
      <c r="I3" s="606"/>
      <c r="J3" s="606"/>
      <c r="AD3" s="226"/>
    </row>
    <row r="4" spans="1:30">
      <c r="A4" s="1117" t="s">
        <v>150</v>
      </c>
      <c r="B4" s="598"/>
      <c r="C4" s="597">
        <v>2000</v>
      </c>
      <c r="D4" s="597">
        <v>2005</v>
      </c>
      <c r="E4" s="597">
        <v>2006</v>
      </c>
      <c r="F4" s="597">
        <v>2007</v>
      </c>
      <c r="G4" s="597">
        <v>2008</v>
      </c>
      <c r="H4" s="597">
        <v>2009</v>
      </c>
      <c r="I4" s="597">
        <v>2010</v>
      </c>
      <c r="J4" s="597">
        <v>2011</v>
      </c>
      <c r="K4" s="597">
        <v>2012</v>
      </c>
      <c r="L4" s="597">
        <v>2013</v>
      </c>
      <c r="M4" s="597">
        <v>2014</v>
      </c>
      <c r="N4" s="597">
        <v>2015</v>
      </c>
      <c r="O4" s="597">
        <v>2016</v>
      </c>
      <c r="P4" s="597">
        <v>2017</v>
      </c>
      <c r="Q4" s="597">
        <v>2018</v>
      </c>
      <c r="R4" s="597">
        <v>2019</v>
      </c>
      <c r="S4" s="597">
        <v>2020</v>
      </c>
      <c r="T4" s="597">
        <v>2021</v>
      </c>
      <c r="U4" s="597">
        <v>2022</v>
      </c>
      <c r="V4" s="597">
        <v>2023</v>
      </c>
      <c r="W4" s="597">
        <v>2024</v>
      </c>
      <c r="X4" s="597">
        <f t="shared" ref="X4:AC4" si="1">W4+1</f>
        <v>2025</v>
      </c>
      <c r="Y4" s="597">
        <f t="shared" si="1"/>
        <v>2026</v>
      </c>
      <c r="Z4" s="597">
        <f t="shared" si="1"/>
        <v>2027</v>
      </c>
      <c r="AA4" s="597">
        <f t="shared" si="1"/>
        <v>2028</v>
      </c>
      <c r="AB4" s="597">
        <f t="shared" si="1"/>
        <v>2029</v>
      </c>
      <c r="AC4" s="597">
        <f t="shared" si="1"/>
        <v>2030</v>
      </c>
      <c r="AD4" s="226"/>
    </row>
    <row r="5" spans="1:30" ht="15" thickBot="1">
      <c r="A5" s="1118"/>
      <c r="B5" s="595"/>
      <c r="C5" s="596" t="s">
        <v>148</v>
      </c>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row>
    <row r="6" spans="1:30" ht="15" thickBot="1">
      <c r="A6" s="595" t="s">
        <v>16</v>
      </c>
      <c r="B6" s="595"/>
      <c r="C6" s="594">
        <v>44.118000000000002</v>
      </c>
      <c r="D6" s="594">
        <v>46.348999999999997</v>
      </c>
      <c r="E6" s="594">
        <v>48.863</v>
      </c>
      <c r="F6" s="594">
        <v>51.848999999999997</v>
      </c>
      <c r="G6" s="594">
        <v>54.497</v>
      </c>
      <c r="H6" s="594">
        <v>52.261000000000003</v>
      </c>
      <c r="I6" s="594">
        <v>53.965000000000003</v>
      </c>
      <c r="J6" s="594">
        <v>55.862000000000002</v>
      </c>
      <c r="K6" s="594">
        <f t="shared" ref="K6:P6" si="2">(SUM(K7:K13))</f>
        <v>57.064900000000002</v>
      </c>
      <c r="L6" s="594">
        <f t="shared" si="2"/>
        <v>55.301900000000003</v>
      </c>
      <c r="M6" s="594">
        <f t="shared" si="2"/>
        <v>51.501599999999996</v>
      </c>
      <c r="N6" s="594">
        <f t="shared" si="2"/>
        <v>42.029799999999987</v>
      </c>
      <c r="O6" s="594">
        <f t="shared" si="2"/>
        <v>38.687399999999997</v>
      </c>
      <c r="P6" s="594">
        <f t="shared" si="2"/>
        <v>37.882599999999996</v>
      </c>
      <c r="Q6" s="594">
        <f t="shared" ref="Q6:V6" si="3">(SUM(Q7:Q14))</f>
        <v>37.868299999999991</v>
      </c>
      <c r="R6" s="594">
        <f t="shared" si="3"/>
        <v>37.812099999999994</v>
      </c>
      <c r="S6" s="594">
        <f t="shared" si="3"/>
        <v>36.295100000000005</v>
      </c>
      <c r="T6" s="594">
        <f t="shared" si="3"/>
        <v>35.798500000000004</v>
      </c>
      <c r="U6" s="594">
        <f t="shared" si="3"/>
        <v>35.810800000000008</v>
      </c>
      <c r="V6" s="594">
        <f t="shared" si="3"/>
        <v>36.396799999999999</v>
      </c>
      <c r="W6" s="594">
        <f>(SUM(W7:W15))</f>
        <v>35.419899999999991</v>
      </c>
      <c r="X6" s="594">
        <f t="shared" ref="X6:AC6" si="4">W6</f>
        <v>35.419899999999991</v>
      </c>
      <c r="Y6" s="594">
        <f t="shared" si="4"/>
        <v>35.419899999999991</v>
      </c>
      <c r="Z6" s="594">
        <f t="shared" si="4"/>
        <v>35.419899999999991</v>
      </c>
      <c r="AA6" s="594">
        <f t="shared" si="4"/>
        <v>35.419899999999991</v>
      </c>
      <c r="AB6" s="594">
        <f t="shared" si="4"/>
        <v>35.419899999999991</v>
      </c>
      <c r="AC6" s="594">
        <f t="shared" si="4"/>
        <v>35.419899999999991</v>
      </c>
      <c r="AD6" s="752">
        <f>W6/K6-1</f>
        <v>-0.37930496680095838</v>
      </c>
    </row>
    <row r="7" spans="1:30">
      <c r="A7" s="592" t="s">
        <v>17</v>
      </c>
      <c r="B7" s="592" t="s">
        <v>467</v>
      </c>
      <c r="C7" s="591">
        <v>0.41899999999999998</v>
      </c>
      <c r="D7" s="591">
        <v>0.504</v>
      </c>
      <c r="E7" s="591">
        <v>0.52800000000000002</v>
      </c>
      <c r="F7" s="591">
        <v>0.55900000000000005</v>
      </c>
      <c r="G7" s="591">
        <v>0.63</v>
      </c>
      <c r="H7" s="591">
        <v>0.72299999999999998</v>
      </c>
      <c r="I7" s="591">
        <v>0.89100000000000001</v>
      </c>
      <c r="J7" s="591">
        <v>1.0515999999999999</v>
      </c>
      <c r="K7" s="591">
        <v>1.3879999999999999</v>
      </c>
      <c r="L7" s="591">
        <v>1.3888</v>
      </c>
      <c r="M7" s="591">
        <v>1.3180000000000001</v>
      </c>
      <c r="N7" s="591">
        <v>1.2370000000000001</v>
      </c>
      <c r="O7" s="591">
        <v>1.2364999999999999</v>
      </c>
      <c r="P7" s="591">
        <v>1.2402</v>
      </c>
      <c r="Q7" s="591">
        <v>1.224</v>
      </c>
      <c r="R7" s="591">
        <v>1.2035</v>
      </c>
      <c r="S7" s="591">
        <v>1.1915</v>
      </c>
      <c r="T7" s="591">
        <v>1.1418999999999999</v>
      </c>
      <c r="U7" s="591">
        <v>1.2854000000000001</v>
      </c>
      <c r="V7" s="591">
        <v>1.5024</v>
      </c>
      <c r="W7" s="591">
        <v>1.6067</v>
      </c>
      <c r="X7" s="591"/>
      <c r="Y7" s="591"/>
      <c r="Z7" s="591"/>
      <c r="AA7" s="591"/>
      <c r="AB7" s="591"/>
      <c r="AC7" s="591"/>
      <c r="AD7" s="752">
        <f>V7/K7-1</f>
        <v>8.2420749279539018E-2</v>
      </c>
    </row>
    <row r="8" spans="1:30">
      <c r="A8" s="592" t="s">
        <v>18</v>
      </c>
      <c r="B8" s="592" t="s">
        <v>466</v>
      </c>
      <c r="C8" s="591">
        <v>4.4829999999999997</v>
      </c>
      <c r="D8" s="591">
        <v>2.98</v>
      </c>
      <c r="E8" s="591">
        <v>2.968</v>
      </c>
      <c r="F8" s="591">
        <v>2.9790000000000001</v>
      </c>
      <c r="G8" s="591">
        <v>3.0990000000000002</v>
      </c>
      <c r="H8" s="591">
        <v>2.5019999999999998</v>
      </c>
      <c r="I8" s="591">
        <v>2.5169999999999999</v>
      </c>
      <c r="J8" s="591">
        <v>2.5489999999999999</v>
      </c>
      <c r="K8" s="591">
        <v>2.5464000000000002</v>
      </c>
      <c r="L8" s="591">
        <v>2.0970999999999997</v>
      </c>
      <c r="M8" s="591">
        <v>1.5161</v>
      </c>
      <c r="N8" s="591">
        <v>2.1242999999999999</v>
      </c>
      <c r="O8" s="591">
        <v>2.7189999999999999</v>
      </c>
      <c r="P8" s="591">
        <v>2.7187000000000001</v>
      </c>
      <c r="Q8" s="591">
        <v>2.7185999999999999</v>
      </c>
      <c r="R8" s="591">
        <v>2.7061000000000002</v>
      </c>
      <c r="S8" s="591">
        <v>2.3544999999999998</v>
      </c>
      <c r="T8" s="591">
        <v>2.3544999999999998</v>
      </c>
      <c r="U8" s="591">
        <v>2.363</v>
      </c>
      <c r="V8" s="591">
        <v>2.6154999999999999</v>
      </c>
      <c r="W8" s="591">
        <v>2.2927</v>
      </c>
      <c r="X8" s="591"/>
      <c r="Y8" s="591"/>
      <c r="Z8" s="591"/>
      <c r="AA8" s="591"/>
      <c r="AB8" s="591"/>
      <c r="AC8" s="591"/>
      <c r="AD8" s="591"/>
    </row>
    <row r="9" spans="1:30">
      <c r="A9" s="592" t="s">
        <v>19</v>
      </c>
      <c r="B9" s="592" t="s">
        <v>465</v>
      </c>
      <c r="C9" s="591">
        <v>37.54</v>
      </c>
      <c r="D9" s="591">
        <v>24.084</v>
      </c>
      <c r="E9" s="591">
        <v>23.736000000000001</v>
      </c>
      <c r="F9" s="591">
        <v>23.288</v>
      </c>
      <c r="G9" s="591">
        <v>23.353999999999999</v>
      </c>
      <c r="H9" s="591">
        <v>21.884</v>
      </c>
      <c r="I9" s="591">
        <v>21.803000000000001</v>
      </c>
      <c r="J9" s="591">
        <v>21.556999999999999</v>
      </c>
      <c r="K9" s="591">
        <v>21.555199999999999</v>
      </c>
      <c r="L9" s="591">
        <v>20.949200000000001</v>
      </c>
      <c r="M9" s="591">
        <v>17.873799999999999</v>
      </c>
      <c r="N9" s="591">
        <v>13.478999999999999</v>
      </c>
      <c r="O9" s="591">
        <v>12.5648</v>
      </c>
      <c r="P9" s="591">
        <v>11.7476</v>
      </c>
      <c r="Q9" s="591">
        <v>11.748200000000001</v>
      </c>
      <c r="R9" s="591">
        <v>11.7067</v>
      </c>
      <c r="S9" s="591">
        <v>10.546799999999999</v>
      </c>
      <c r="T9" s="591">
        <v>9.9123999999999999</v>
      </c>
      <c r="U9" s="591">
        <v>9.1585000000000001</v>
      </c>
      <c r="V9" s="591">
        <v>9.1479999999999997</v>
      </c>
      <c r="W9" s="591">
        <v>7.4996499999999999</v>
      </c>
      <c r="X9" s="591"/>
      <c r="Y9" s="591"/>
      <c r="Z9" s="591"/>
      <c r="AA9" s="591"/>
      <c r="AB9" s="591"/>
      <c r="AC9" s="591"/>
      <c r="AD9" s="591"/>
    </row>
    <row r="10" spans="1:30">
      <c r="A10" s="592" t="s">
        <v>20</v>
      </c>
      <c r="B10" s="592" t="s">
        <v>464</v>
      </c>
      <c r="C10" s="591">
        <v>1.601</v>
      </c>
      <c r="D10" s="591">
        <v>12.782999999999999</v>
      </c>
      <c r="E10" s="591">
        <v>15.555999999999999</v>
      </c>
      <c r="F10" s="591">
        <v>18.940000000000001</v>
      </c>
      <c r="G10" s="591">
        <v>21.768999999999998</v>
      </c>
      <c r="H10" s="591">
        <v>21.504000000000001</v>
      </c>
      <c r="I10" s="591">
        <v>23.106999999999999</v>
      </c>
      <c r="J10" s="591">
        <v>25.065000000000001</v>
      </c>
      <c r="K10" s="591">
        <v>25.9343</v>
      </c>
      <c r="L10" s="591">
        <v>25.2196</v>
      </c>
      <c r="M10" s="591">
        <v>25.131399999999999</v>
      </c>
      <c r="N10" s="591">
        <v>22.611999999999998</v>
      </c>
      <c r="O10" s="591">
        <v>21.821200000000001</v>
      </c>
      <c r="P10" s="591">
        <v>21.823899999999998</v>
      </c>
      <c r="Q10" s="591">
        <v>21.823899999999998</v>
      </c>
      <c r="R10" s="591">
        <v>21.823899999999998</v>
      </c>
      <c r="S10" s="591">
        <v>21.8965</v>
      </c>
      <c r="T10" s="591">
        <v>22.080100000000002</v>
      </c>
      <c r="U10" s="591">
        <v>22.693200000000001</v>
      </c>
      <c r="V10" s="591">
        <v>22.8215</v>
      </c>
      <c r="W10" s="591">
        <v>23.710850000000001</v>
      </c>
      <c r="X10" s="591"/>
      <c r="Y10" s="591"/>
      <c r="Z10" s="591"/>
      <c r="AA10" s="591"/>
      <c r="AB10" s="591"/>
      <c r="AC10" s="591"/>
      <c r="AD10" s="752">
        <f>V10/K10-1</f>
        <v>-0.1200263743382316</v>
      </c>
    </row>
    <row r="11" spans="1:30">
      <c r="A11" s="592" t="s">
        <v>22</v>
      </c>
      <c r="B11" s="592" t="s">
        <v>463</v>
      </c>
      <c r="C11" s="593">
        <v>0</v>
      </c>
      <c r="D11" s="591">
        <v>5.758</v>
      </c>
      <c r="E11" s="591">
        <v>5.758</v>
      </c>
      <c r="F11" s="591">
        <v>5.758</v>
      </c>
      <c r="G11" s="591">
        <v>5.3179999999999996</v>
      </c>
      <c r="H11" s="591">
        <v>5.3179999999999996</v>
      </c>
      <c r="I11" s="591">
        <v>5.3179999999999996</v>
      </c>
      <c r="J11" s="591">
        <v>5.3179999999999996</v>
      </c>
      <c r="K11" s="591">
        <v>5.3176000000000005</v>
      </c>
      <c r="L11" s="591">
        <v>5.3176000000000005</v>
      </c>
      <c r="M11" s="591">
        <v>5.3175999999999997</v>
      </c>
      <c r="N11" s="591">
        <v>2.2444000000000002</v>
      </c>
      <c r="O11" s="591">
        <v>0</v>
      </c>
      <c r="P11" s="591">
        <v>0</v>
      </c>
      <c r="Q11" s="591">
        <v>0</v>
      </c>
      <c r="R11" s="591">
        <v>0</v>
      </c>
      <c r="S11" s="591">
        <v>0</v>
      </c>
      <c r="T11" s="591">
        <v>0</v>
      </c>
      <c r="U11" s="591">
        <v>0</v>
      </c>
      <c r="V11" s="591">
        <v>0</v>
      </c>
      <c r="W11" s="591"/>
      <c r="X11" s="591"/>
      <c r="Y11" s="591"/>
      <c r="Z11" s="591"/>
      <c r="AA11" s="591"/>
      <c r="AB11" s="591"/>
      <c r="AC11" s="591"/>
      <c r="AD11" s="591"/>
    </row>
    <row r="12" spans="1:30">
      <c r="A12" s="592" t="s">
        <v>151</v>
      </c>
      <c r="B12" s="592"/>
      <c r="C12" s="591">
        <v>7.5999999999999998E-2</v>
      </c>
      <c r="D12" s="591">
        <v>0.14399999999999999</v>
      </c>
      <c r="E12" s="591">
        <v>0.14199999999999999</v>
      </c>
      <c r="F12" s="591">
        <v>0.151</v>
      </c>
      <c r="G12" s="591">
        <v>0.152</v>
      </c>
      <c r="H12" s="591">
        <v>0.151</v>
      </c>
      <c r="I12" s="591">
        <v>0.151</v>
      </c>
      <c r="J12" s="591">
        <v>0.14199999999999999</v>
      </c>
      <c r="K12" s="591">
        <v>0.14299999999999999</v>
      </c>
      <c r="L12" s="591">
        <v>0.15230000000000002</v>
      </c>
      <c r="M12" s="591">
        <v>0.1663</v>
      </c>
      <c r="N12" s="591">
        <v>0.1641</v>
      </c>
      <c r="O12" s="591">
        <v>0.16470000000000001</v>
      </c>
      <c r="P12" s="591">
        <v>0.17100000000000001</v>
      </c>
      <c r="Q12" s="591">
        <v>0.17219999999999999</v>
      </c>
      <c r="R12" s="591">
        <v>0.1832</v>
      </c>
      <c r="S12" s="591">
        <v>0.18329999999999999</v>
      </c>
      <c r="T12" s="591">
        <v>0.18709999999999999</v>
      </c>
      <c r="U12" s="591">
        <v>0.1883</v>
      </c>
      <c r="V12" s="591">
        <v>0.18720000000000001</v>
      </c>
      <c r="W12" s="591">
        <v>0.18720000000000001</v>
      </c>
      <c r="X12" s="591"/>
      <c r="Y12" s="591"/>
      <c r="Z12" s="591"/>
      <c r="AA12" s="591"/>
      <c r="AB12" s="591"/>
      <c r="AC12" s="591"/>
      <c r="AD12" s="591"/>
    </row>
    <row r="13" spans="1:30">
      <c r="A13" s="592" t="s">
        <v>152</v>
      </c>
      <c r="B13" s="592"/>
      <c r="C13" s="611">
        <v>0</v>
      </c>
      <c r="D13" s="608">
        <v>9.6000000000000002E-2</v>
      </c>
      <c r="E13" s="608">
        <v>0.17399999999999999</v>
      </c>
      <c r="F13" s="608">
        <v>0.17399999999999999</v>
      </c>
      <c r="G13" s="608">
        <v>0.17399999999999999</v>
      </c>
      <c r="H13" s="608">
        <v>0.18099999999999999</v>
      </c>
      <c r="I13" s="608">
        <v>0.17899999999999999</v>
      </c>
      <c r="J13" s="608">
        <v>0.18</v>
      </c>
      <c r="K13" s="608">
        <v>0.1804</v>
      </c>
      <c r="L13" s="608">
        <v>0.17730000000000001</v>
      </c>
      <c r="M13" s="608">
        <v>0.1784</v>
      </c>
      <c r="N13" s="608">
        <v>0.16900000000000001</v>
      </c>
      <c r="O13" s="608">
        <v>0.1812</v>
      </c>
      <c r="P13" s="608">
        <v>0.1812</v>
      </c>
      <c r="Q13" s="608">
        <v>0.1812</v>
      </c>
      <c r="R13" s="608">
        <v>0.1885</v>
      </c>
      <c r="S13" s="608">
        <v>0.12230000000000001</v>
      </c>
      <c r="T13" s="608">
        <v>0.12230000000000001</v>
      </c>
      <c r="U13" s="608">
        <v>0.12230000000000001</v>
      </c>
      <c r="V13" s="608">
        <v>0.1211</v>
      </c>
      <c r="W13" s="608">
        <v>0.1211</v>
      </c>
      <c r="X13" s="608"/>
      <c r="Y13" s="608"/>
      <c r="Z13" s="608"/>
      <c r="AA13" s="608"/>
      <c r="AB13" s="608"/>
      <c r="AC13" s="608"/>
      <c r="AD13" s="608"/>
    </row>
    <row r="14" spans="1:30">
      <c r="A14" s="592" t="s">
        <v>349</v>
      </c>
      <c r="B14" s="592"/>
      <c r="C14" s="611"/>
      <c r="D14" s="608"/>
      <c r="E14" s="608"/>
      <c r="F14" s="608"/>
      <c r="G14" s="608"/>
      <c r="H14" s="608"/>
      <c r="I14" s="608"/>
      <c r="J14" s="608"/>
      <c r="K14" s="608"/>
      <c r="L14" s="608"/>
      <c r="M14" s="608"/>
      <c r="N14" s="608"/>
      <c r="O14" s="608"/>
      <c r="P14" s="608"/>
      <c r="Q14" s="608">
        <v>2.0000000000000001E-4</v>
      </c>
      <c r="R14" s="608">
        <v>2.0000000000000001E-4</v>
      </c>
      <c r="S14" s="608">
        <v>2.0000000000000001E-4</v>
      </c>
      <c r="T14" s="608">
        <v>2.0000000000000001E-4</v>
      </c>
      <c r="U14" s="608">
        <v>1E-4</v>
      </c>
      <c r="V14" s="608">
        <v>1.1000000000000001E-3</v>
      </c>
      <c r="W14" s="608">
        <v>1.1000000000000001E-3</v>
      </c>
      <c r="X14" s="608"/>
      <c r="Y14" s="608"/>
      <c r="Z14" s="608"/>
      <c r="AA14" s="608"/>
      <c r="AB14" s="608"/>
      <c r="AC14" s="608"/>
      <c r="AD14" s="608"/>
    </row>
    <row r="15" spans="1:30" ht="15" thickBot="1">
      <c r="A15" s="601" t="s">
        <v>691</v>
      </c>
      <c r="B15" s="601"/>
      <c r="C15" s="610"/>
      <c r="D15" s="600"/>
      <c r="E15" s="600"/>
      <c r="F15" s="600"/>
      <c r="G15" s="600"/>
      <c r="H15" s="600"/>
      <c r="I15" s="600"/>
      <c r="J15" s="600"/>
      <c r="K15" s="600"/>
      <c r="L15" s="600"/>
      <c r="M15" s="600"/>
      <c r="N15" s="600"/>
      <c r="O15" s="600"/>
      <c r="P15" s="600"/>
      <c r="Q15" s="600"/>
      <c r="R15" s="600"/>
      <c r="S15" s="600"/>
      <c r="T15" s="600"/>
      <c r="U15" s="600"/>
      <c r="V15" s="600"/>
      <c r="W15" s="600">
        <v>5.9999999999999995E-4</v>
      </c>
      <c r="X15" s="600"/>
      <c r="Y15" s="600"/>
      <c r="Z15" s="600"/>
      <c r="AA15" s="600"/>
      <c r="AB15" s="600"/>
      <c r="AC15" s="600"/>
      <c r="AD15" s="608"/>
    </row>
    <row r="16" spans="1:30">
      <c r="A16" s="604" t="s">
        <v>23</v>
      </c>
      <c r="B16" s="604"/>
      <c r="C16" s="609">
        <v>12.218</v>
      </c>
      <c r="D16" s="609">
        <v>18.297000000000001</v>
      </c>
      <c r="E16" s="609">
        <v>19.486999999999998</v>
      </c>
      <c r="F16" s="609">
        <v>20.390999999999998</v>
      </c>
      <c r="G16" s="609">
        <v>21.521999999999998</v>
      </c>
      <c r="H16" s="609">
        <v>24.408999999999999</v>
      </c>
      <c r="I16" s="609">
        <v>24.376000000000001</v>
      </c>
      <c r="J16" s="609">
        <v>23.849</v>
      </c>
      <c r="K16" s="609">
        <f t="shared" ref="K16:P16" si="5">SUM(K17:K21)</f>
        <v>23.5092</v>
      </c>
      <c r="L16" s="609">
        <f t="shared" si="5"/>
        <v>23.198900000000002</v>
      </c>
      <c r="M16" s="609">
        <f t="shared" si="5"/>
        <v>23.464000000000002</v>
      </c>
      <c r="N16" s="609">
        <f t="shared" si="5"/>
        <v>26.5688</v>
      </c>
      <c r="O16" s="609">
        <f t="shared" si="5"/>
        <v>26.227800000000002</v>
      </c>
      <c r="P16" s="609">
        <f t="shared" si="5"/>
        <v>26.162499999999994</v>
      </c>
      <c r="Q16" s="609">
        <f t="shared" ref="Q16:W16" si="6">SUM(Q17:Q22)</f>
        <v>26.151900000000001</v>
      </c>
      <c r="R16" s="609">
        <f t="shared" si="6"/>
        <v>26.136899999999997</v>
      </c>
      <c r="S16" s="609">
        <f t="shared" si="6"/>
        <v>26.358800000000002</v>
      </c>
      <c r="T16" s="609">
        <f t="shared" si="6"/>
        <v>26.134</v>
      </c>
      <c r="U16" s="609">
        <f t="shared" si="6"/>
        <v>26.582000000000001</v>
      </c>
      <c r="V16" s="609">
        <f t="shared" si="6"/>
        <v>26.814700000000002</v>
      </c>
      <c r="W16" s="609">
        <f t="shared" si="6"/>
        <v>26.689949999999996</v>
      </c>
      <c r="X16" s="609">
        <f t="shared" ref="X16:AC16" si="7">W16</f>
        <v>26.689949999999996</v>
      </c>
      <c r="Y16" s="609">
        <f t="shared" si="7"/>
        <v>26.689949999999996</v>
      </c>
      <c r="Z16" s="609">
        <f t="shared" si="7"/>
        <v>26.689949999999996</v>
      </c>
      <c r="AA16" s="609">
        <f t="shared" si="7"/>
        <v>26.689949999999996</v>
      </c>
      <c r="AB16" s="609">
        <f t="shared" si="7"/>
        <v>26.689949999999996</v>
      </c>
      <c r="AC16" s="609">
        <f t="shared" si="7"/>
        <v>26.689949999999996</v>
      </c>
      <c r="AD16" s="752">
        <f>V16/K16-1</f>
        <v>0.14060452929066081</v>
      </c>
    </row>
    <row r="17" spans="1:30">
      <c r="A17" s="592" t="s">
        <v>24</v>
      </c>
      <c r="B17" s="592" t="s">
        <v>462</v>
      </c>
      <c r="C17" s="591">
        <v>0.42499999999999999</v>
      </c>
      <c r="D17" s="591">
        <v>0.63300000000000001</v>
      </c>
      <c r="E17" s="591">
        <v>0.70399999999999996</v>
      </c>
      <c r="F17" s="591">
        <v>0.76300000000000001</v>
      </c>
      <c r="G17" s="591">
        <v>0.82499999999999996</v>
      </c>
      <c r="H17" s="591">
        <v>1.115</v>
      </c>
      <c r="I17" s="591">
        <v>1.42</v>
      </c>
      <c r="J17" s="591">
        <v>1.8169999999999999</v>
      </c>
      <c r="K17" s="591">
        <v>2.3540999999999999</v>
      </c>
      <c r="L17" s="591">
        <v>2.5390000000000001</v>
      </c>
      <c r="M17" s="591">
        <v>2.8271000000000002</v>
      </c>
      <c r="N17" s="591">
        <v>3.0895000000000001</v>
      </c>
      <c r="O17" s="591">
        <v>3.2547999999999999</v>
      </c>
      <c r="P17" s="591">
        <v>3.3668999999999998</v>
      </c>
      <c r="Q17" s="591">
        <v>3.5444</v>
      </c>
      <c r="R17" s="591">
        <v>3.6852999999999998</v>
      </c>
      <c r="S17" s="591">
        <v>3.7970000000000002</v>
      </c>
      <c r="T17" s="591">
        <v>3.9034</v>
      </c>
      <c r="U17" s="591">
        <v>4.0803000000000003</v>
      </c>
      <c r="V17" s="591">
        <v>4.2134999999999998</v>
      </c>
      <c r="W17" s="591">
        <v>4.3473100000000002</v>
      </c>
      <c r="X17" s="591"/>
      <c r="Y17" s="591"/>
      <c r="Z17" s="591"/>
      <c r="AA17" s="591"/>
      <c r="AB17" s="591"/>
      <c r="AC17" s="591"/>
      <c r="AD17" s="591"/>
    </row>
    <row r="18" spans="1:30">
      <c r="A18" s="592" t="s">
        <v>25</v>
      </c>
      <c r="B18" s="592" t="s">
        <v>461</v>
      </c>
      <c r="C18" s="591">
        <v>0.88300000000000001</v>
      </c>
      <c r="D18" s="591">
        <v>1.0249999999999999</v>
      </c>
      <c r="E18" s="591">
        <v>1.052</v>
      </c>
      <c r="F18" s="591">
        <v>1.0760000000000001</v>
      </c>
      <c r="G18" s="591">
        <v>1.0049999999999999</v>
      </c>
      <c r="H18" s="591">
        <v>0.89</v>
      </c>
      <c r="I18" s="591">
        <v>0.89190000000000003</v>
      </c>
      <c r="J18" s="591">
        <v>0.94799999999999995</v>
      </c>
      <c r="K18" s="591">
        <v>0.94510000000000005</v>
      </c>
      <c r="L18" s="591">
        <v>1.008</v>
      </c>
      <c r="M18" s="591">
        <v>1.0439000000000001</v>
      </c>
      <c r="N18" s="591">
        <v>1.0606</v>
      </c>
      <c r="O18" s="591">
        <v>1.0487</v>
      </c>
      <c r="P18" s="591">
        <v>1.0334000000000001</v>
      </c>
      <c r="Q18" s="591">
        <v>1.0194000000000001</v>
      </c>
      <c r="R18" s="591">
        <v>1.028</v>
      </c>
      <c r="S18" s="591">
        <v>1.0484</v>
      </c>
      <c r="T18" s="591">
        <v>1.6680999999999999</v>
      </c>
      <c r="U18" s="591">
        <v>1.4371</v>
      </c>
      <c r="V18" s="591">
        <v>1.4421999999999999</v>
      </c>
      <c r="W18" s="591">
        <v>1.42</v>
      </c>
      <c r="X18" s="591"/>
      <c r="Y18" s="591"/>
      <c r="Z18" s="591"/>
      <c r="AA18" s="591"/>
      <c r="AB18" s="591"/>
      <c r="AC18" s="591"/>
      <c r="AD18" s="591"/>
    </row>
    <row r="19" spans="1:30">
      <c r="A19" s="592" t="s">
        <v>26</v>
      </c>
      <c r="B19" s="592" t="s">
        <v>460</v>
      </c>
      <c r="C19" s="591">
        <v>6.3440000000000003</v>
      </c>
      <c r="D19" s="591">
        <v>12.555</v>
      </c>
      <c r="E19" s="591">
        <v>13.914999999999999</v>
      </c>
      <c r="F19" s="591">
        <v>15</v>
      </c>
      <c r="G19" s="591">
        <v>16.341999999999999</v>
      </c>
      <c r="H19" s="591">
        <v>19.125</v>
      </c>
      <c r="I19" s="591">
        <v>18.928999999999998</v>
      </c>
      <c r="J19" s="591">
        <v>18.338999999999999</v>
      </c>
      <c r="K19" s="591">
        <v>17.5014</v>
      </c>
      <c r="L19" s="591">
        <v>16.932400000000001</v>
      </c>
      <c r="M19" s="591">
        <v>16.8583</v>
      </c>
      <c r="N19" s="591">
        <v>19.208400000000001</v>
      </c>
      <c r="O19" s="591">
        <v>19.017800000000001</v>
      </c>
      <c r="P19" s="591">
        <v>18.884699999999999</v>
      </c>
      <c r="Q19" s="591">
        <v>18.886700000000001</v>
      </c>
      <c r="R19" s="591">
        <v>18.731999999999999</v>
      </c>
      <c r="S19" s="591">
        <v>18.888999999999999</v>
      </c>
      <c r="T19" s="591">
        <v>17.9984</v>
      </c>
      <c r="U19" s="591">
        <v>18.760300000000001</v>
      </c>
      <c r="V19" s="591">
        <v>18.929300000000001</v>
      </c>
      <c r="W19" s="591">
        <v>18.740739999999999</v>
      </c>
      <c r="X19" s="591"/>
      <c r="Y19" s="591"/>
      <c r="Z19" s="591"/>
      <c r="AA19" s="591"/>
      <c r="AB19" s="591"/>
      <c r="AC19" s="591"/>
      <c r="AD19" s="752">
        <f>V19/K19-1</f>
        <v>8.1587758693590251E-2</v>
      </c>
    </row>
    <row r="20" spans="1:30">
      <c r="A20" s="592" t="s">
        <v>27</v>
      </c>
      <c r="B20" s="592" t="s">
        <v>459</v>
      </c>
      <c r="C20" s="591">
        <v>2.0209999999999999</v>
      </c>
      <c r="D20" s="591">
        <v>1.8879999999999999</v>
      </c>
      <c r="E20" s="591">
        <v>1.7649999999999999</v>
      </c>
      <c r="F20" s="591">
        <v>1.605</v>
      </c>
      <c r="G20" s="591">
        <v>1.579</v>
      </c>
      <c r="H20" s="591">
        <v>1.496</v>
      </c>
      <c r="I20" s="591">
        <v>1.3009999999999999</v>
      </c>
      <c r="J20" s="591">
        <v>1.26</v>
      </c>
      <c r="K20" s="591">
        <v>1.1682000000000001</v>
      </c>
      <c r="L20" s="591">
        <v>1.0539000000000001</v>
      </c>
      <c r="M20" s="591">
        <v>1.0235000000000001</v>
      </c>
      <c r="N20" s="591">
        <v>1.0132000000000001</v>
      </c>
      <c r="O20" s="591">
        <v>0.72699999999999998</v>
      </c>
      <c r="P20" s="591">
        <v>0.71679999999999999</v>
      </c>
      <c r="Q20" s="591">
        <v>0.64419999999999999</v>
      </c>
      <c r="R20" s="591">
        <v>0.60880000000000001</v>
      </c>
      <c r="S20" s="591">
        <v>0.55900000000000005</v>
      </c>
      <c r="T20" s="591">
        <v>0.57299999999999995</v>
      </c>
      <c r="U20" s="591">
        <v>0.56930000000000003</v>
      </c>
      <c r="V20" s="591">
        <v>0.57250000000000001</v>
      </c>
      <c r="W20" s="591">
        <v>0.54</v>
      </c>
      <c r="X20" s="591"/>
      <c r="Y20" s="591"/>
      <c r="Z20" s="591"/>
      <c r="AA20" s="591"/>
      <c r="AB20" s="591"/>
      <c r="AC20" s="591"/>
    </row>
    <row r="21" spans="1:30">
      <c r="A21" s="592" t="s">
        <v>28</v>
      </c>
      <c r="B21" s="592" t="s">
        <v>458</v>
      </c>
      <c r="C21" s="608">
        <v>2.5449999999999999</v>
      </c>
      <c r="D21" s="608">
        <v>2.1960000000000002</v>
      </c>
      <c r="E21" s="608">
        <v>2.0510000000000002</v>
      </c>
      <c r="F21" s="608">
        <v>1.948</v>
      </c>
      <c r="G21" s="608">
        <v>1.772</v>
      </c>
      <c r="H21" s="608">
        <v>1.782</v>
      </c>
      <c r="I21" s="608">
        <v>1.833</v>
      </c>
      <c r="J21" s="608">
        <v>1.486</v>
      </c>
      <c r="K21" s="608">
        <v>1.5404</v>
      </c>
      <c r="L21" s="608">
        <v>1.6656</v>
      </c>
      <c r="M21" s="608">
        <v>1.7112000000000001</v>
      </c>
      <c r="N21" s="608">
        <v>2.1970999999999998</v>
      </c>
      <c r="O21" s="608">
        <v>2.1795</v>
      </c>
      <c r="P21" s="608">
        <v>2.1606999999999998</v>
      </c>
      <c r="Q21" s="608">
        <v>2.0569999999999999</v>
      </c>
      <c r="R21" s="608">
        <v>2.0825</v>
      </c>
      <c r="S21" s="608">
        <v>2.0651000000000002</v>
      </c>
      <c r="T21" s="608">
        <v>1.9907999999999999</v>
      </c>
      <c r="U21" s="608">
        <v>1.7349000000000001</v>
      </c>
      <c r="V21" s="608">
        <v>1.6571</v>
      </c>
      <c r="W21" s="608">
        <v>1.6415</v>
      </c>
      <c r="X21" s="608"/>
      <c r="Y21" s="608"/>
      <c r="Z21" s="608"/>
      <c r="AA21" s="608"/>
      <c r="AB21" s="608"/>
      <c r="AC21" s="608"/>
    </row>
    <row r="22" spans="1:30" ht="15" thickBot="1">
      <c r="A22" s="601" t="s">
        <v>351</v>
      </c>
      <c r="B22" s="601"/>
      <c r="C22" s="600"/>
      <c r="D22" s="600"/>
      <c r="E22" s="600"/>
      <c r="F22" s="600"/>
      <c r="G22" s="600"/>
      <c r="H22" s="600"/>
      <c r="I22" s="600"/>
      <c r="J22" s="600"/>
      <c r="K22" s="600"/>
      <c r="L22" s="600"/>
      <c r="M22" s="600"/>
      <c r="N22" s="600"/>
      <c r="O22" s="600"/>
      <c r="P22" s="600"/>
      <c r="Q22" s="600">
        <v>2.0000000000000001E-4</v>
      </c>
      <c r="R22" s="600">
        <v>2.9999999999999997E-4</v>
      </c>
      <c r="S22" s="600">
        <v>2.9999999999999997E-4</v>
      </c>
      <c r="T22" s="600">
        <v>2.9999999999999997E-4</v>
      </c>
      <c r="U22" s="607">
        <f>0.0001</f>
        <v>1E-4</v>
      </c>
      <c r="V22" s="607">
        <f>0.1/1000</f>
        <v>1E-4</v>
      </c>
      <c r="W22" s="600">
        <v>4.0000000000000002E-4</v>
      </c>
      <c r="X22" s="607"/>
      <c r="Y22" s="607"/>
      <c r="Z22" s="607"/>
      <c r="AA22" s="607"/>
      <c r="AB22" s="607"/>
      <c r="AC22" s="607"/>
    </row>
    <row r="23" spans="1:30" ht="15" thickBot="1">
      <c r="A23" s="595" t="s">
        <v>9</v>
      </c>
      <c r="B23" s="595"/>
      <c r="C23" s="594">
        <v>56.337000000000003</v>
      </c>
      <c r="D23" s="594">
        <v>64.646000000000001</v>
      </c>
      <c r="E23" s="594">
        <v>68.349999999999994</v>
      </c>
      <c r="F23" s="594">
        <v>72.239999999999995</v>
      </c>
      <c r="G23" s="594">
        <v>76.019000000000005</v>
      </c>
      <c r="H23" s="594">
        <v>76.67</v>
      </c>
      <c r="I23" s="594">
        <v>78.340999999999994</v>
      </c>
      <c r="J23" s="594">
        <v>79.710999999999999</v>
      </c>
      <c r="K23" s="594">
        <f t="shared" ref="K23:U23" si="8">(K6+K16)</f>
        <v>80.574100000000001</v>
      </c>
      <c r="L23" s="594">
        <f t="shared" si="8"/>
        <v>78.500799999999998</v>
      </c>
      <c r="M23" s="594">
        <f t="shared" si="8"/>
        <v>74.965599999999995</v>
      </c>
      <c r="N23" s="594">
        <f t="shared" si="8"/>
        <v>68.59859999999999</v>
      </c>
      <c r="O23" s="594">
        <f t="shared" si="8"/>
        <v>64.915199999999999</v>
      </c>
      <c r="P23" s="594">
        <f t="shared" si="8"/>
        <v>64.045099999999991</v>
      </c>
      <c r="Q23" s="594">
        <f t="shared" si="8"/>
        <v>64.020199999999988</v>
      </c>
      <c r="R23" s="594">
        <f t="shared" si="8"/>
        <v>63.948999999999991</v>
      </c>
      <c r="S23" s="594">
        <f t="shared" si="8"/>
        <v>62.653900000000007</v>
      </c>
      <c r="T23" s="594">
        <f t="shared" si="8"/>
        <v>61.932500000000005</v>
      </c>
      <c r="U23" s="594">
        <f t="shared" si="8"/>
        <v>62.392800000000008</v>
      </c>
      <c r="V23" s="594">
        <f t="shared" ref="V23:AC23" si="9">(V6+V16)</f>
        <v>63.211500000000001</v>
      </c>
      <c r="W23" s="594">
        <f t="shared" si="9"/>
        <v>62.109849999999987</v>
      </c>
      <c r="X23" s="594">
        <f t="shared" si="9"/>
        <v>62.109849999999987</v>
      </c>
      <c r="Y23" s="594">
        <f t="shared" si="9"/>
        <v>62.109849999999987</v>
      </c>
      <c r="Z23" s="594">
        <f t="shared" si="9"/>
        <v>62.109849999999987</v>
      </c>
      <c r="AA23" s="594">
        <f t="shared" si="9"/>
        <v>62.109849999999987</v>
      </c>
      <c r="AB23" s="594">
        <f t="shared" si="9"/>
        <v>62.109849999999987</v>
      </c>
      <c r="AC23" s="594">
        <f t="shared" si="9"/>
        <v>62.109849999999987</v>
      </c>
    </row>
    <row r="24" spans="1:30">
      <c r="A24" s="606"/>
      <c r="B24" s="606" t="s">
        <v>457</v>
      </c>
      <c r="C24" s="605">
        <f t="shared" ref="C24:U24" si="10">C12+C13</f>
        <v>7.5999999999999998E-2</v>
      </c>
      <c r="D24" s="605">
        <f t="shared" si="10"/>
        <v>0.24</v>
      </c>
      <c r="E24" s="605">
        <f t="shared" si="10"/>
        <v>0.31599999999999995</v>
      </c>
      <c r="F24" s="605">
        <f t="shared" si="10"/>
        <v>0.32499999999999996</v>
      </c>
      <c r="G24" s="605">
        <f t="shared" si="10"/>
        <v>0.32599999999999996</v>
      </c>
      <c r="H24" s="605">
        <f t="shared" si="10"/>
        <v>0.33199999999999996</v>
      </c>
      <c r="I24" s="605">
        <f t="shared" si="10"/>
        <v>0.32999999999999996</v>
      </c>
      <c r="J24" s="605">
        <f t="shared" si="10"/>
        <v>0.32199999999999995</v>
      </c>
      <c r="K24" s="605">
        <f t="shared" si="10"/>
        <v>0.32340000000000002</v>
      </c>
      <c r="L24" s="605">
        <f t="shared" si="10"/>
        <v>0.3296</v>
      </c>
      <c r="M24" s="605">
        <f t="shared" si="10"/>
        <v>0.34470000000000001</v>
      </c>
      <c r="N24" s="605">
        <f t="shared" si="10"/>
        <v>0.33310000000000001</v>
      </c>
      <c r="O24" s="605">
        <f t="shared" si="10"/>
        <v>0.34589999999999999</v>
      </c>
      <c r="P24" s="605">
        <f t="shared" si="10"/>
        <v>0.35220000000000001</v>
      </c>
      <c r="Q24" s="605">
        <f t="shared" si="10"/>
        <v>0.35339999999999999</v>
      </c>
      <c r="R24" s="605">
        <f t="shared" si="10"/>
        <v>0.37170000000000003</v>
      </c>
      <c r="S24" s="605">
        <f t="shared" si="10"/>
        <v>0.30559999999999998</v>
      </c>
      <c r="T24" s="605">
        <f t="shared" si="10"/>
        <v>0.30940000000000001</v>
      </c>
      <c r="U24" s="605">
        <f t="shared" si="10"/>
        <v>0.31059999999999999</v>
      </c>
      <c r="V24" s="605">
        <f>V12+V13</f>
        <v>0.30830000000000002</v>
      </c>
      <c r="W24" s="605">
        <f>W12+W13</f>
        <v>0.30830000000000002</v>
      </c>
      <c r="X24" s="605"/>
      <c r="Y24" s="605"/>
      <c r="Z24" s="605"/>
      <c r="AA24" s="605"/>
      <c r="AB24" s="605"/>
      <c r="AC24" s="605"/>
    </row>
    <row r="25" spans="1:30">
      <c r="A25" s="604" t="s">
        <v>456</v>
      </c>
      <c r="B25" s="68"/>
      <c r="C25" s="256">
        <f t="shared" ref="C25:U25" si="11">C26/C23</f>
        <v>0.14102632373040808</v>
      </c>
      <c r="D25" s="256">
        <f t="shared" si="11"/>
        <v>0.39195000464065838</v>
      </c>
      <c r="E25" s="256">
        <f t="shared" si="11"/>
        <v>0.43117776152158011</v>
      </c>
      <c r="F25" s="256">
        <f t="shared" si="11"/>
        <v>0.46982281284606864</v>
      </c>
      <c r="G25" s="256">
        <f t="shared" si="11"/>
        <v>0.50133519251766001</v>
      </c>
      <c r="H25" s="256">
        <f t="shared" si="11"/>
        <v>0.52992043824181567</v>
      </c>
      <c r="I25" s="256">
        <f t="shared" si="11"/>
        <v>0.53657727116069498</v>
      </c>
      <c r="J25" s="256">
        <f t="shared" si="11"/>
        <v>0.54451706790781695</v>
      </c>
      <c r="K25" s="256">
        <f t="shared" si="11"/>
        <v>0.53907769370058112</v>
      </c>
      <c r="L25" s="256">
        <f t="shared" si="11"/>
        <v>0.53696268063510189</v>
      </c>
      <c r="M25" s="256">
        <f t="shared" si="11"/>
        <v>0.56011957484499564</v>
      </c>
      <c r="N25" s="256">
        <f t="shared" si="11"/>
        <v>0.6096392637750625</v>
      </c>
      <c r="O25" s="256">
        <f t="shared" si="11"/>
        <v>0.62911305826678499</v>
      </c>
      <c r="P25" s="256">
        <f t="shared" si="11"/>
        <v>0.63562395874157429</v>
      </c>
      <c r="Q25" s="256">
        <f t="shared" si="11"/>
        <v>0.63590241829922445</v>
      </c>
      <c r="R25" s="256">
        <f t="shared" si="11"/>
        <v>0.63419130869911966</v>
      </c>
      <c r="S25" s="256">
        <f t="shared" si="11"/>
        <v>0.65096506362732398</v>
      </c>
      <c r="T25" s="256">
        <f t="shared" si="11"/>
        <v>0.64713195818027691</v>
      </c>
      <c r="U25" s="256">
        <f t="shared" si="11"/>
        <v>0.66439557128386606</v>
      </c>
      <c r="V25" s="256">
        <f>V26/V23</f>
        <v>0.66049373927212607</v>
      </c>
      <c r="W25" s="256">
        <f>W26/W23</f>
        <v>0.68349207090340747</v>
      </c>
      <c r="X25" s="256"/>
      <c r="Y25" s="256"/>
      <c r="Z25" s="256"/>
      <c r="AA25" s="256"/>
      <c r="AB25" s="256"/>
      <c r="AC25" s="256"/>
    </row>
    <row r="26" spans="1:30">
      <c r="A26" s="68" t="s">
        <v>455</v>
      </c>
      <c r="B26" s="68"/>
      <c r="C26" s="271">
        <f t="shared" ref="C26:U26" si="12">C10+C19</f>
        <v>7.9450000000000003</v>
      </c>
      <c r="D26" s="271">
        <f t="shared" si="12"/>
        <v>25.338000000000001</v>
      </c>
      <c r="E26" s="271">
        <f t="shared" si="12"/>
        <v>29.470999999999997</v>
      </c>
      <c r="F26" s="271">
        <f t="shared" si="12"/>
        <v>33.94</v>
      </c>
      <c r="G26" s="271">
        <f t="shared" si="12"/>
        <v>38.110999999999997</v>
      </c>
      <c r="H26" s="271">
        <f t="shared" si="12"/>
        <v>40.629000000000005</v>
      </c>
      <c r="I26" s="271">
        <f t="shared" si="12"/>
        <v>42.036000000000001</v>
      </c>
      <c r="J26" s="287">
        <f t="shared" si="12"/>
        <v>43.403999999999996</v>
      </c>
      <c r="K26" s="287">
        <f t="shared" si="12"/>
        <v>43.435699999999997</v>
      </c>
      <c r="L26" s="271">
        <f t="shared" si="12"/>
        <v>42.152000000000001</v>
      </c>
      <c r="M26" s="271">
        <f t="shared" si="12"/>
        <v>41.989699999999999</v>
      </c>
      <c r="N26" s="271">
        <f t="shared" si="12"/>
        <v>41.820399999999999</v>
      </c>
      <c r="O26" s="271">
        <f t="shared" si="12"/>
        <v>40.838999999999999</v>
      </c>
      <c r="P26" s="271">
        <f t="shared" si="12"/>
        <v>40.708599999999997</v>
      </c>
      <c r="Q26" s="271">
        <f t="shared" si="12"/>
        <v>40.710599999999999</v>
      </c>
      <c r="R26" s="271">
        <f t="shared" si="12"/>
        <v>40.555899999999994</v>
      </c>
      <c r="S26" s="271">
        <f t="shared" si="12"/>
        <v>40.785499999999999</v>
      </c>
      <c r="T26" s="271">
        <f t="shared" si="12"/>
        <v>40.078500000000005</v>
      </c>
      <c r="U26" s="271">
        <f t="shared" si="12"/>
        <v>41.453500000000005</v>
      </c>
      <c r="V26" s="271">
        <f>V10+V19</f>
        <v>41.750799999999998</v>
      </c>
      <c r="W26" s="271">
        <f>W10+W19</f>
        <v>42.451589999999996</v>
      </c>
      <c r="X26" s="271"/>
      <c r="Y26" s="271"/>
      <c r="Z26" s="271"/>
      <c r="AA26" s="271"/>
      <c r="AB26" s="271"/>
      <c r="AC26" s="271"/>
    </row>
    <row r="27" spans="1:30">
      <c r="A27" s="68" t="s">
        <v>454</v>
      </c>
      <c r="B27" s="68"/>
      <c r="C27" s="271">
        <f t="shared" ref="C27:U27" si="13">C36+C43</f>
        <v>43.844999999999999</v>
      </c>
      <c r="D27" s="271">
        <f t="shared" si="13"/>
        <v>131.374</v>
      </c>
      <c r="E27" s="271">
        <f t="shared" si="13"/>
        <v>147.30450000000002</v>
      </c>
      <c r="F27" s="271">
        <f t="shared" si="13"/>
        <v>166.17599999999999</v>
      </c>
      <c r="G27" s="271">
        <f t="shared" si="13"/>
        <v>171.9622</v>
      </c>
      <c r="H27" s="271">
        <f t="shared" si="13"/>
        <v>149.6318</v>
      </c>
      <c r="I27" s="271">
        <f t="shared" si="13"/>
        <v>156.8261</v>
      </c>
      <c r="J27" s="271">
        <f t="shared" si="13"/>
        <v>148.92230000000001</v>
      </c>
      <c r="K27" s="271">
        <f t="shared" si="13"/>
        <v>134.64750000000001</v>
      </c>
      <c r="L27" s="271">
        <f t="shared" si="13"/>
        <v>109.61437999999998</v>
      </c>
      <c r="M27" s="271">
        <f t="shared" si="13"/>
        <v>92.3</v>
      </c>
      <c r="N27" s="271">
        <f t="shared" si="13"/>
        <v>105.47709999999999</v>
      </c>
      <c r="O27" s="271">
        <f t="shared" si="13"/>
        <v>124.07040000000001</v>
      </c>
      <c r="P27" s="271">
        <f t="shared" si="13"/>
        <v>135.9898</v>
      </c>
      <c r="Q27" s="271">
        <f t="shared" si="13"/>
        <v>124.10429999999999</v>
      </c>
      <c r="R27" s="271">
        <f t="shared" si="13"/>
        <v>134.29409999999999</v>
      </c>
      <c r="S27" s="271">
        <f t="shared" si="13"/>
        <v>125.50803999999999</v>
      </c>
      <c r="T27" s="271">
        <f t="shared" si="13"/>
        <v>128.92959999999999</v>
      </c>
      <c r="U27" s="271">
        <f t="shared" si="13"/>
        <v>129.416</v>
      </c>
      <c r="V27" s="271">
        <f>V36+V43</f>
        <v>108.31309999999999</v>
      </c>
      <c r="W27" s="271">
        <f>W36+W43</f>
        <v>105.47379000000001</v>
      </c>
      <c r="X27" s="271"/>
      <c r="Y27" s="271"/>
      <c r="Z27" s="271"/>
      <c r="AA27" s="271"/>
      <c r="AB27" s="271"/>
      <c r="AC27" s="271"/>
      <c r="AD27" s="56"/>
    </row>
    <row r="28" spans="1:30">
      <c r="A28" s="68" t="s">
        <v>453</v>
      </c>
      <c r="B28" s="68"/>
      <c r="C28" s="256">
        <f t="shared" ref="C28:U28" si="14">(C36+C43)/C47</f>
        <v>0.19959575543203636</v>
      </c>
      <c r="D28" s="256">
        <f t="shared" si="14"/>
        <v>0.52141436832475385</v>
      </c>
      <c r="E28" s="256">
        <f t="shared" si="14"/>
        <v>0.56408831675903837</v>
      </c>
      <c r="F28" s="256">
        <f t="shared" si="14"/>
        <v>0.62768774710275721</v>
      </c>
      <c r="G28" s="256">
        <f t="shared" si="14"/>
        <v>0.66034642783495845</v>
      </c>
      <c r="H28" s="256">
        <f t="shared" si="14"/>
        <v>0.66198333359877826</v>
      </c>
      <c r="I28" s="256">
        <f t="shared" si="14"/>
        <v>0.68045855621006002</v>
      </c>
      <c r="J28" s="256">
        <f t="shared" si="14"/>
        <v>0.65402768463633998</v>
      </c>
      <c r="K28" s="256">
        <f t="shared" si="14"/>
        <v>0.62103772649387379</v>
      </c>
      <c r="L28" s="256">
        <f t="shared" si="14"/>
        <v>0.57021173928595137</v>
      </c>
      <c r="M28" s="256">
        <f t="shared" si="14"/>
        <v>0.52589566070556626</v>
      </c>
      <c r="N28" s="256">
        <f t="shared" si="14"/>
        <v>0.55091393221712914</v>
      </c>
      <c r="O28" s="256">
        <f t="shared" si="14"/>
        <v>0.62442952479692393</v>
      </c>
      <c r="P28" s="256">
        <f t="shared" si="14"/>
        <v>0.6512188522843454</v>
      </c>
      <c r="Q28" s="256">
        <f t="shared" si="14"/>
        <v>0.64594324224166277</v>
      </c>
      <c r="R28" s="256">
        <f t="shared" si="14"/>
        <v>0.68839221318849275</v>
      </c>
      <c r="S28" s="256">
        <f t="shared" si="14"/>
        <v>0.69416336162831116</v>
      </c>
      <c r="T28" s="256">
        <f t="shared" si="14"/>
        <v>0.68169033714564009</v>
      </c>
      <c r="U28" s="256">
        <f t="shared" si="14"/>
        <v>0.65192050978515481</v>
      </c>
      <c r="V28" s="256">
        <f>(V36+V43)/V47</f>
        <v>0.66870546747230886</v>
      </c>
      <c r="W28" s="256">
        <f>(W36+W43)/W47</f>
        <v>0.69642978824329838</v>
      </c>
      <c r="X28" s="256"/>
      <c r="Y28" s="256"/>
      <c r="Z28" s="256"/>
      <c r="AA28" s="256"/>
      <c r="AB28" s="256"/>
      <c r="AC28" s="256"/>
    </row>
    <row r="29" spans="1:30" ht="15" thickBot="1">
      <c r="A29" s="603" t="s">
        <v>84</v>
      </c>
    </row>
    <row r="30" spans="1:30">
      <c r="A30" s="1117" t="s">
        <v>15</v>
      </c>
      <c r="B30" s="598"/>
      <c r="C30" s="597">
        <v>2000</v>
      </c>
      <c r="D30" s="597">
        <v>2005</v>
      </c>
      <c r="E30" s="597">
        <v>2006</v>
      </c>
      <c r="F30" s="597">
        <v>2007</v>
      </c>
      <c r="G30" s="597">
        <v>2008</v>
      </c>
      <c r="H30" s="597">
        <v>2009</v>
      </c>
      <c r="I30" s="597">
        <v>2010</v>
      </c>
      <c r="J30" s="597">
        <v>2011</v>
      </c>
      <c r="K30" s="597">
        <v>2012</v>
      </c>
      <c r="L30" s="597">
        <v>2013</v>
      </c>
      <c r="M30" s="597">
        <v>2014</v>
      </c>
      <c r="N30" s="597">
        <v>2015</v>
      </c>
      <c r="O30" s="597">
        <v>2016</v>
      </c>
      <c r="P30" s="597">
        <v>2017</v>
      </c>
      <c r="Q30" s="597">
        <v>2018</v>
      </c>
      <c r="R30" s="597">
        <v>2019</v>
      </c>
      <c r="S30" s="597">
        <v>2020</v>
      </c>
      <c r="T30" s="597">
        <v>2021</v>
      </c>
      <c r="U30" s="597">
        <v>2022</v>
      </c>
      <c r="V30" s="597">
        <f>V4</f>
        <v>2023</v>
      </c>
      <c r="W30" s="597">
        <f>W4</f>
        <v>2024</v>
      </c>
      <c r="X30" s="597"/>
      <c r="Y30" s="597"/>
      <c r="Z30" s="597"/>
      <c r="AA30" s="597"/>
      <c r="AB30" s="597"/>
      <c r="AC30" s="597"/>
    </row>
    <row r="31" spans="1:30" ht="15" thickBot="1">
      <c r="A31" s="1118"/>
      <c r="B31" s="595"/>
      <c r="C31" s="596" t="s">
        <v>116</v>
      </c>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row>
    <row r="32" spans="1:30" ht="15" thickBot="1">
      <c r="A32" s="595" t="s">
        <v>16</v>
      </c>
      <c r="B32" s="595"/>
      <c r="C32" s="594">
        <v>159.56899999999999</v>
      </c>
      <c r="D32" s="594">
        <v>157.53</v>
      </c>
      <c r="E32" s="594">
        <f t="shared" ref="E32:Q32" si="15">SUM(E33:E37)</f>
        <v>159.49340000000001</v>
      </c>
      <c r="F32" s="594">
        <f t="shared" si="15"/>
        <v>157.09270000000001</v>
      </c>
      <c r="G32" s="594">
        <f t="shared" si="15"/>
        <v>157.48740000000001</v>
      </c>
      <c r="H32" s="594">
        <f t="shared" si="15"/>
        <v>125.5963</v>
      </c>
      <c r="I32" s="594">
        <f t="shared" si="15"/>
        <v>119.00319999999999</v>
      </c>
      <c r="J32" s="594">
        <f t="shared" si="15"/>
        <v>126.1915</v>
      </c>
      <c r="K32" s="594">
        <f t="shared" si="15"/>
        <v>115.9717</v>
      </c>
      <c r="L32" s="594">
        <f t="shared" si="15"/>
        <v>100.94168000000001</v>
      </c>
      <c r="M32" s="594">
        <f t="shared" si="15"/>
        <v>90.359399999999994</v>
      </c>
      <c r="N32" s="594">
        <f t="shared" si="15"/>
        <v>95.583899999999986</v>
      </c>
      <c r="O32" s="594">
        <f t="shared" si="15"/>
        <v>93.5672</v>
      </c>
      <c r="P32" s="594">
        <f t="shared" si="15"/>
        <v>98.695400000000006</v>
      </c>
      <c r="Q32" s="594">
        <f t="shared" si="15"/>
        <v>87.208100000000002</v>
      </c>
      <c r="R32" s="594">
        <f>SUM(R33:R38)</f>
        <v>87.823300000000003</v>
      </c>
      <c r="S32" s="594">
        <f>SUM(S33:S38)</f>
        <v>80.352500000000006</v>
      </c>
      <c r="T32" s="594">
        <f>SUM(T33:T38)</f>
        <v>87.54301000000001</v>
      </c>
      <c r="U32" s="594">
        <f>SUM(U33:U38)</f>
        <v>93.073499999999996</v>
      </c>
      <c r="V32" s="594">
        <f>SUM(V33:V38)</f>
        <v>65.669899999999998</v>
      </c>
      <c r="W32" s="594">
        <f>'6-y'!AC6</f>
        <v>60.246340000000004</v>
      </c>
      <c r="X32" s="594">
        <f>'6-y'!AD6</f>
        <v>63.363510326799336</v>
      </c>
      <c r="Y32" s="594">
        <f>'6-y'!AE6</f>
        <v>61.809314035031235</v>
      </c>
      <c r="Z32" s="594">
        <f>'6-y'!AF6</f>
        <v>56.02886001938262</v>
      </c>
      <c r="AA32" s="594">
        <f>'6-y'!AG6</f>
        <v>49.990896726676333</v>
      </c>
      <c r="AB32" s="594">
        <f>'6-y'!AH6</f>
        <v>44.646120733237559</v>
      </c>
      <c r="AC32" s="594">
        <f>'6-y'!AI6</f>
        <v>39.301344739798786</v>
      </c>
    </row>
    <row r="33" spans="1:30">
      <c r="A33" s="592" t="s">
        <v>17</v>
      </c>
      <c r="B33" s="592"/>
      <c r="C33" s="591">
        <v>1.1950000000000001</v>
      </c>
      <c r="D33" s="591">
        <v>1.603</v>
      </c>
      <c r="E33" s="591">
        <v>1.7178</v>
      </c>
      <c r="F33" s="591">
        <v>1.73</v>
      </c>
      <c r="G33" s="591">
        <v>1.8859000000000001</v>
      </c>
      <c r="H33" s="591">
        <v>2.4624999999999999</v>
      </c>
      <c r="I33" s="591">
        <v>3.0470999999999999</v>
      </c>
      <c r="J33" s="591">
        <v>3.6740999999999997</v>
      </c>
      <c r="K33" s="591">
        <v>3.9956</v>
      </c>
      <c r="L33" s="591">
        <v>5.5350000000000001</v>
      </c>
      <c r="M33" s="591">
        <v>5.5099</v>
      </c>
      <c r="N33" s="591">
        <v>4.9702000000000002</v>
      </c>
      <c r="O33" s="591">
        <v>4.9139999999999997</v>
      </c>
      <c r="P33" s="591">
        <v>4.7648999999999999</v>
      </c>
      <c r="Q33" s="591">
        <v>4.7362000000000002</v>
      </c>
      <c r="R33" s="591">
        <v>4.7519</v>
      </c>
      <c r="S33" s="591">
        <v>4.6262400000000001</v>
      </c>
      <c r="T33" s="591">
        <v>4.1310000000000002</v>
      </c>
      <c r="U33" s="591">
        <f>'6-y'!AA7</f>
        <v>3.7233000000000001</v>
      </c>
      <c r="V33" s="591">
        <f>'6-y'!AB7</f>
        <v>3.2866</v>
      </c>
      <c r="W33" s="591">
        <f>'6-y'!AC7</f>
        <v>3.5232999999999999</v>
      </c>
      <c r="X33" s="591"/>
      <c r="Y33" s="591"/>
      <c r="Z33" s="591"/>
      <c r="AA33" s="591"/>
      <c r="AB33" s="591"/>
      <c r="AC33" s="591"/>
      <c r="AD33" s="602"/>
    </row>
    <row r="34" spans="1:30">
      <c r="A34" s="592" t="s">
        <v>18</v>
      </c>
      <c r="B34" s="592"/>
      <c r="C34" s="591">
        <v>12.384</v>
      </c>
      <c r="D34" s="591">
        <v>0.85599999999999998</v>
      </c>
      <c r="E34" s="591">
        <v>0.68829999999999991</v>
      </c>
      <c r="F34" s="591">
        <v>0.56579999999999997</v>
      </c>
      <c r="G34" s="591">
        <v>0.62220000000000009</v>
      </c>
      <c r="H34" s="591">
        <v>0.50060000000000004</v>
      </c>
      <c r="I34" s="591">
        <v>0.35680000000000001</v>
      </c>
      <c r="J34" s="591">
        <v>0.25259999999999999</v>
      </c>
      <c r="K34" s="591">
        <v>0.1915</v>
      </c>
      <c r="L34" s="591">
        <v>2.4026999999999998</v>
      </c>
      <c r="M34" s="591">
        <v>2.5301999999999998</v>
      </c>
      <c r="N34" s="591">
        <v>3.5531999999999999</v>
      </c>
      <c r="O34" s="591">
        <v>0.42180000000000001</v>
      </c>
      <c r="P34" s="591">
        <v>0.59279999999999999</v>
      </c>
      <c r="Q34" s="591">
        <v>0.29899999999999999</v>
      </c>
      <c r="R34" s="591">
        <v>1.2664</v>
      </c>
      <c r="S34" s="591">
        <v>1.26535</v>
      </c>
      <c r="T34" s="591">
        <v>0.6724</v>
      </c>
      <c r="U34" s="591">
        <f>'6-y'!AA8</f>
        <v>0.23269999999999999</v>
      </c>
      <c r="V34" s="591">
        <f>'6-y'!AB8</f>
        <v>0.25309999999999999</v>
      </c>
      <c r="W34" s="591">
        <f>'6-y'!AC8</f>
        <v>0.48780000000000001</v>
      </c>
      <c r="X34" s="591"/>
      <c r="Y34" s="591"/>
      <c r="Z34" s="591"/>
      <c r="AA34" s="591"/>
      <c r="AB34" s="591"/>
      <c r="AC34" s="591"/>
      <c r="AD34" s="602"/>
    </row>
    <row r="35" spans="1:30">
      <c r="A35" s="592" t="s">
        <v>19</v>
      </c>
      <c r="B35" s="592"/>
      <c r="C35" s="591">
        <v>139.11199999999999</v>
      </c>
      <c r="D35" s="591">
        <v>78.251000000000005</v>
      </c>
      <c r="E35" s="591">
        <v>73.638600000000011</v>
      </c>
      <c r="F35" s="591">
        <v>64.773099999999999</v>
      </c>
      <c r="G35" s="591">
        <v>62.712699999999998</v>
      </c>
      <c r="H35" s="591">
        <v>55.952500000000001</v>
      </c>
      <c r="I35" s="591">
        <v>52.119199999999999</v>
      </c>
      <c r="J35" s="591">
        <v>55.920400000000001</v>
      </c>
      <c r="K35" s="591">
        <v>59.2303</v>
      </c>
      <c r="L35" s="591">
        <v>54.193640000000002</v>
      </c>
      <c r="M35" s="591">
        <v>52.548699999999997</v>
      </c>
      <c r="N35" s="591">
        <v>51.004199999999997</v>
      </c>
      <c r="O35" s="591">
        <v>42.017600000000002</v>
      </c>
      <c r="P35" s="591">
        <v>38.959899999999998</v>
      </c>
      <c r="Q35" s="591">
        <v>33.856099999999998</v>
      </c>
      <c r="R35" s="591">
        <v>24.166</v>
      </c>
      <c r="S35" s="591">
        <v>18.802400000000002</v>
      </c>
      <c r="T35" s="591">
        <v>20.761500000000002</v>
      </c>
      <c r="U35" s="591">
        <f>'6-y'!AA9</f>
        <v>32.659599999999998</v>
      </c>
      <c r="V35" s="591">
        <f>'6-y'!AB9</f>
        <v>19.094200000000001</v>
      </c>
      <c r="W35" s="591">
        <f>'6-y'!AC9</f>
        <v>9.3209900000000001</v>
      </c>
      <c r="X35" s="591"/>
      <c r="Y35" s="591"/>
      <c r="Z35" s="591"/>
      <c r="AA35" s="591"/>
      <c r="AB35" s="591"/>
      <c r="AC35" s="591"/>
      <c r="AD35" s="602"/>
    </row>
    <row r="36" spans="1:30">
      <c r="A36" s="592" t="s">
        <v>20</v>
      </c>
      <c r="B36" s="592"/>
      <c r="C36" s="591">
        <v>6.8780000000000001</v>
      </c>
      <c r="D36" s="591">
        <v>58.701999999999998</v>
      </c>
      <c r="E36" s="591">
        <v>65.25030000000001</v>
      </c>
      <c r="F36" s="591">
        <v>78.036500000000004</v>
      </c>
      <c r="G36" s="591">
        <v>86.795400000000001</v>
      </c>
      <c r="H36" s="591">
        <v>64.558400000000006</v>
      </c>
      <c r="I36" s="591">
        <v>62.568300000000001</v>
      </c>
      <c r="J36" s="591">
        <v>65.9846</v>
      </c>
      <c r="K36" s="591">
        <v>52.214199999999998</v>
      </c>
      <c r="L36" s="591">
        <v>38.752839999999999</v>
      </c>
      <c r="M36" s="591">
        <v>29.766999999999999</v>
      </c>
      <c r="N36" s="591">
        <v>36.052599999999998</v>
      </c>
      <c r="O36" s="591">
        <v>46.213799999999999</v>
      </c>
      <c r="P36" s="591">
        <v>54.377800000000001</v>
      </c>
      <c r="Q36" s="591">
        <v>48.316800000000001</v>
      </c>
      <c r="R36" s="591">
        <v>57.6389</v>
      </c>
      <c r="S36" s="591">
        <v>55.6584</v>
      </c>
      <c r="T36" s="591">
        <v>61.978000000000002</v>
      </c>
      <c r="U36" s="591">
        <f>'6-y'!AA10</f>
        <v>56.457799999999999</v>
      </c>
      <c r="V36" s="591">
        <f>'6-y'!AB10</f>
        <v>43.032299999999999</v>
      </c>
      <c r="W36" s="591">
        <f>'6-y'!AC10</f>
        <v>46.904850000000003</v>
      </c>
      <c r="X36" s="591"/>
      <c r="Y36" s="591"/>
      <c r="Z36" s="591"/>
      <c r="AA36" s="591"/>
      <c r="AB36" s="591"/>
      <c r="AC36" s="591"/>
      <c r="AD36" s="602"/>
    </row>
    <row r="37" spans="1:30">
      <c r="A37" s="186" t="s">
        <v>22</v>
      </c>
      <c r="B37" s="592"/>
      <c r="C37" s="593" t="s">
        <v>21</v>
      </c>
      <c r="D37" s="591">
        <v>18.119</v>
      </c>
      <c r="E37" s="591">
        <v>18.198400000000003</v>
      </c>
      <c r="F37" s="591">
        <v>11.987299999999999</v>
      </c>
      <c r="G37" s="591">
        <v>5.4711999999999996</v>
      </c>
      <c r="H37" s="591">
        <v>2.1223000000000001</v>
      </c>
      <c r="I37" s="591">
        <v>0.91179999999999994</v>
      </c>
      <c r="J37" s="591">
        <v>0.35980000000000001</v>
      </c>
      <c r="K37" s="591">
        <v>0.34010000000000001</v>
      </c>
      <c r="L37" s="591">
        <v>5.7500000000000002E-2</v>
      </c>
      <c r="M37" s="591">
        <v>3.5999999999999999E-3</v>
      </c>
      <c r="N37" s="591">
        <v>3.7000000000000002E-3</v>
      </c>
      <c r="O37" s="591">
        <v>0</v>
      </c>
      <c r="P37" s="591"/>
      <c r="Q37" s="591"/>
      <c r="R37" s="591"/>
      <c r="S37" s="591"/>
      <c r="T37" s="591"/>
      <c r="U37" s="591"/>
      <c r="V37" s="591"/>
      <c r="W37" s="591"/>
      <c r="X37" s="591"/>
      <c r="Y37" s="591"/>
      <c r="Z37" s="591"/>
      <c r="AA37" s="591"/>
      <c r="AB37" s="591"/>
      <c r="AC37" s="591"/>
    </row>
    <row r="38" spans="1:30">
      <c r="A38" s="186" t="s">
        <v>349</v>
      </c>
      <c r="B38" s="592"/>
      <c r="C38" s="593"/>
      <c r="D38" s="591"/>
      <c r="E38" s="591"/>
      <c r="F38" s="591"/>
      <c r="G38" s="591"/>
      <c r="H38" s="591"/>
      <c r="I38" s="591"/>
      <c r="J38" s="591"/>
      <c r="K38" s="591"/>
      <c r="L38" s="591"/>
      <c r="M38" s="591"/>
      <c r="N38" s="591"/>
      <c r="O38" s="591"/>
      <c r="P38" s="591"/>
      <c r="Q38" s="591"/>
      <c r="R38" s="591">
        <v>1E-4</v>
      </c>
      <c r="S38" s="591">
        <v>1.1E-4</v>
      </c>
      <c r="T38" s="591">
        <v>1.1E-4</v>
      </c>
      <c r="U38" s="591">
        <v>1E-4</v>
      </c>
      <c r="V38" s="591">
        <f>'6-y'!AB12</f>
        <v>3.7000000000000002E-3</v>
      </c>
      <c r="W38" s="591">
        <f>'6-y'!AC12</f>
        <v>8.2000000000000007E-3</v>
      </c>
      <c r="X38" s="591"/>
      <c r="Y38" s="591"/>
      <c r="Z38" s="591"/>
      <c r="AA38" s="591"/>
      <c r="AB38" s="591"/>
      <c r="AC38" s="591"/>
    </row>
    <row r="39" spans="1:30" ht="15" thickBot="1">
      <c r="A39" s="917" t="s">
        <v>691</v>
      </c>
      <c r="B39" s="592"/>
      <c r="C39" s="593"/>
      <c r="D39" s="591"/>
      <c r="E39" s="591"/>
      <c r="F39" s="591"/>
      <c r="G39" s="591"/>
      <c r="H39" s="591"/>
      <c r="I39" s="591"/>
      <c r="J39" s="591"/>
      <c r="K39" s="591"/>
      <c r="L39" s="591"/>
      <c r="M39" s="591"/>
      <c r="N39" s="591"/>
      <c r="O39" s="591"/>
      <c r="P39" s="591"/>
      <c r="Q39" s="591"/>
      <c r="R39" s="591"/>
      <c r="S39" s="591"/>
      <c r="T39" s="591"/>
      <c r="U39" s="591"/>
      <c r="V39" s="591">
        <f>'6-y'!AB13</f>
        <v>0</v>
      </c>
      <c r="W39" s="591">
        <f>'6-y'!AC13</f>
        <v>1.1999999999999999E-3</v>
      </c>
      <c r="X39" s="591"/>
      <c r="Y39" s="591"/>
      <c r="Z39" s="591"/>
      <c r="AA39" s="591"/>
      <c r="AB39" s="591"/>
      <c r="AC39" s="591"/>
    </row>
    <row r="40" spans="1:30" ht="15" thickBot="1">
      <c r="A40" s="590" t="s">
        <v>23</v>
      </c>
      <c r="B40" s="590"/>
      <c r="C40" s="589">
        <v>60.1</v>
      </c>
      <c r="D40" s="589">
        <v>94.427000000000007</v>
      </c>
      <c r="E40" s="589">
        <f t="shared" ref="E40:S40" si="16">SUM(E41:E45)</f>
        <v>101.6439</v>
      </c>
      <c r="F40" s="589">
        <f t="shared" si="16"/>
        <v>107.6504</v>
      </c>
      <c r="G40" s="589">
        <f t="shared" si="16"/>
        <v>102.9247</v>
      </c>
      <c r="H40" s="589">
        <f t="shared" si="16"/>
        <v>100.43929999999999</v>
      </c>
      <c r="I40" s="589">
        <f t="shared" si="16"/>
        <v>111.468</v>
      </c>
      <c r="J40" s="589">
        <f t="shared" si="16"/>
        <v>101.50879999999999</v>
      </c>
      <c r="K40" s="589">
        <f t="shared" si="16"/>
        <v>100.83880000000001</v>
      </c>
      <c r="L40" s="589">
        <f t="shared" si="16"/>
        <v>91.292839999999984</v>
      </c>
      <c r="M40" s="589">
        <f t="shared" si="16"/>
        <v>85.150700000000001</v>
      </c>
      <c r="N40" s="589">
        <f t="shared" si="16"/>
        <v>95.874499999999998</v>
      </c>
      <c r="O40" s="589">
        <f t="shared" si="16"/>
        <v>105.1268</v>
      </c>
      <c r="P40" s="589">
        <f t="shared" si="16"/>
        <v>110.12809999999999</v>
      </c>
      <c r="Q40" s="589">
        <f t="shared" si="16"/>
        <v>104.9207</v>
      </c>
      <c r="R40" s="589">
        <f t="shared" si="16"/>
        <v>107.2604</v>
      </c>
      <c r="S40" s="589">
        <f t="shared" si="16"/>
        <v>100.45226</v>
      </c>
      <c r="T40" s="589">
        <f>SUM(T41:T46)</f>
        <v>101.58919999999999</v>
      </c>
      <c r="U40" s="589">
        <f>SUM(U41:U46)</f>
        <v>105.4415</v>
      </c>
      <c r="V40" s="589">
        <f>SUM(V41:V46)</f>
        <v>96.304400000000001</v>
      </c>
      <c r="W40" s="589">
        <f>'6-y'!AC14</f>
        <v>91.202940000000012</v>
      </c>
      <c r="X40" s="589">
        <f>'6-y'!AD14</f>
        <v>95.921817500025085</v>
      </c>
      <c r="Y40" s="589">
        <f>'6-y'!AE14</f>
        <v>93.56902277180842</v>
      </c>
      <c r="Z40" s="589">
        <f>'6-y'!AF14</f>
        <v>84.818376661821333</v>
      </c>
      <c r="AA40" s="589">
        <f>'6-y'!AG14</f>
        <v>75.677904329279727</v>
      </c>
      <c r="AB40" s="589">
        <f>'6-y'!AH14</f>
        <v>67.586802293155429</v>
      </c>
      <c r="AC40" s="589">
        <f>'6-y'!AI14</f>
        <v>59.495700257031139</v>
      </c>
    </row>
    <row r="41" spans="1:30">
      <c r="A41" s="592" t="s">
        <v>24</v>
      </c>
      <c r="B41" s="592"/>
      <c r="C41" s="591">
        <v>1.361</v>
      </c>
      <c r="D41" s="591">
        <v>2.2589999999999999</v>
      </c>
      <c r="E41" s="591">
        <v>2.5605000000000002</v>
      </c>
      <c r="F41" s="591">
        <v>2.7311999999999999</v>
      </c>
      <c r="G41" s="591">
        <v>3.0124</v>
      </c>
      <c r="H41" s="591">
        <v>3.8353999999999999</v>
      </c>
      <c r="I41" s="591">
        <v>5.5973000000000006</v>
      </c>
      <c r="J41" s="591">
        <v>7.0137</v>
      </c>
      <c r="K41" s="591">
        <v>8.226799999999999</v>
      </c>
      <c r="L41" s="591">
        <v>10.6317</v>
      </c>
      <c r="M41" s="591">
        <v>12.433299999999999</v>
      </c>
      <c r="N41" s="591">
        <v>14.3512</v>
      </c>
      <c r="O41" s="591">
        <v>15.2064</v>
      </c>
      <c r="P41" s="591">
        <v>16.270800000000001</v>
      </c>
      <c r="Q41" s="591">
        <v>17.142099999999999</v>
      </c>
      <c r="R41" s="591">
        <v>18.1188</v>
      </c>
      <c r="S41" s="591">
        <v>18.452200000000001</v>
      </c>
      <c r="T41" s="591">
        <v>19.538599999999999</v>
      </c>
      <c r="U41" s="591">
        <f>'6-y'!AA15</f>
        <v>18.660799999999998</v>
      </c>
      <c r="V41" s="591">
        <f>'6-y'!AB15</f>
        <v>18.9758</v>
      </c>
      <c r="W41" s="591">
        <f>'6-y'!AC15</f>
        <v>20.345400000000001</v>
      </c>
      <c r="X41" s="591"/>
      <c r="Y41" s="591"/>
      <c r="Z41" s="591"/>
      <c r="AA41" s="591"/>
      <c r="AB41" s="591"/>
      <c r="AC41" s="591"/>
      <c r="AD41" s="602"/>
    </row>
    <row r="42" spans="1:30">
      <c r="A42" s="592" t="s">
        <v>25</v>
      </c>
      <c r="B42" s="592"/>
      <c r="C42" s="593">
        <v>4.9619999999999997</v>
      </c>
      <c r="D42" s="591">
        <v>6.077</v>
      </c>
      <c r="E42" s="591">
        <v>5.3181000000000003</v>
      </c>
      <c r="F42" s="591">
        <v>6.0095000000000001</v>
      </c>
      <c r="G42" s="591">
        <v>5.3033999999999999</v>
      </c>
      <c r="H42" s="591">
        <v>3.827</v>
      </c>
      <c r="I42" s="591">
        <v>3.8369</v>
      </c>
      <c r="J42" s="591">
        <v>4.2231999999999994</v>
      </c>
      <c r="K42" s="591">
        <v>3.8921999999999999</v>
      </c>
      <c r="L42" s="591">
        <v>3.7936000000000001</v>
      </c>
      <c r="M42" s="591">
        <v>4.1523000000000003</v>
      </c>
      <c r="N42" s="591">
        <v>4.6656000000000004</v>
      </c>
      <c r="O42" s="591">
        <v>4.8830999999999998</v>
      </c>
      <c r="P42" s="591">
        <v>4.9763999999999999</v>
      </c>
      <c r="Q42" s="591">
        <v>4.9592999999999998</v>
      </c>
      <c r="R42" s="591">
        <v>5.2671000000000001</v>
      </c>
      <c r="S42" s="591">
        <v>4.9240600000000008</v>
      </c>
      <c r="T42" s="591">
        <v>8.0336999999999996</v>
      </c>
      <c r="U42" s="591">
        <f>'6-y'!AA16</f>
        <v>6.5659999999999998</v>
      </c>
      <c r="V42" s="591">
        <f>'6-y'!AB16</f>
        <v>5.4740000000000002</v>
      </c>
      <c r="W42" s="591">
        <f>'6-y'!AC16</f>
        <v>5.5528000000000004</v>
      </c>
      <c r="X42" s="591"/>
      <c r="Y42" s="591"/>
      <c r="Z42" s="591"/>
      <c r="AA42" s="591"/>
      <c r="AB42" s="591"/>
      <c r="AC42" s="591"/>
      <c r="AD42" s="602"/>
    </row>
    <row r="43" spans="1:30">
      <c r="A43" s="592" t="s">
        <v>26</v>
      </c>
      <c r="B43" s="592"/>
      <c r="C43" s="591">
        <v>36.966999999999999</v>
      </c>
      <c r="D43" s="591">
        <v>72.671999999999997</v>
      </c>
      <c r="E43" s="591">
        <v>82.054199999999994</v>
      </c>
      <c r="F43" s="591">
        <v>88.139499999999998</v>
      </c>
      <c r="G43" s="591">
        <v>85.166800000000009</v>
      </c>
      <c r="H43" s="591">
        <v>85.073399999999992</v>
      </c>
      <c r="I43" s="591">
        <v>94.257800000000003</v>
      </c>
      <c r="J43" s="591">
        <v>82.937699999999992</v>
      </c>
      <c r="K43" s="591">
        <v>82.433300000000003</v>
      </c>
      <c r="L43" s="591">
        <v>70.861539999999991</v>
      </c>
      <c r="M43" s="591">
        <v>62.533000000000001</v>
      </c>
      <c r="N43" s="591">
        <v>69.424499999999995</v>
      </c>
      <c r="O43" s="591">
        <v>77.8566</v>
      </c>
      <c r="P43" s="591">
        <v>81.611999999999995</v>
      </c>
      <c r="Q43" s="591">
        <v>75.787499999999994</v>
      </c>
      <c r="R43" s="591">
        <v>76.655199999999994</v>
      </c>
      <c r="S43" s="591">
        <v>69.849639999999994</v>
      </c>
      <c r="T43" s="591">
        <v>66.951599999999999</v>
      </c>
      <c r="U43" s="591">
        <f>'6-y'!AA17</f>
        <v>72.958200000000005</v>
      </c>
      <c r="V43" s="591">
        <f>'6-y'!AB17</f>
        <v>65.280799999999999</v>
      </c>
      <c r="W43" s="591">
        <f>'6-y'!AC17</f>
        <v>58.568939999999998</v>
      </c>
      <c r="X43" s="591"/>
      <c r="Y43" s="591"/>
      <c r="Z43" s="591"/>
      <c r="AA43" s="591"/>
      <c r="AB43" s="591"/>
      <c r="AC43" s="591"/>
      <c r="AD43" s="602"/>
    </row>
    <row r="44" spans="1:30">
      <c r="A44" s="592" t="s">
        <v>27</v>
      </c>
      <c r="B44" s="592"/>
      <c r="C44" s="591">
        <v>6.117</v>
      </c>
      <c r="D44" s="591">
        <v>5.343</v>
      </c>
      <c r="E44" s="591">
        <v>4.3828000000000005</v>
      </c>
      <c r="F44" s="591">
        <v>4.0884</v>
      </c>
      <c r="G44" s="591">
        <v>3.6160999999999999</v>
      </c>
      <c r="H44" s="591">
        <v>2.6655000000000002</v>
      </c>
      <c r="I44" s="591">
        <v>2.4169999999999998</v>
      </c>
      <c r="J44" s="591">
        <v>2.1614</v>
      </c>
      <c r="K44" s="591">
        <v>1.9870999999999999</v>
      </c>
      <c r="L44" s="591">
        <v>1.754</v>
      </c>
      <c r="M44" s="591">
        <v>1.5714999999999999</v>
      </c>
      <c r="N44" s="591">
        <v>1.5659000000000001</v>
      </c>
      <c r="O44" s="591">
        <v>1.5256000000000001</v>
      </c>
      <c r="P44" s="591">
        <v>1.4595</v>
      </c>
      <c r="Q44" s="591">
        <v>1.4524999999999999</v>
      </c>
      <c r="R44" s="591">
        <v>1.4655</v>
      </c>
      <c r="S44" s="591">
        <v>1.3524400000000001</v>
      </c>
      <c r="T44" s="591">
        <v>1.3571</v>
      </c>
      <c r="U44" s="591">
        <f>'6-y'!AA18</f>
        <v>1.2849999999999999</v>
      </c>
      <c r="V44" s="591">
        <f>'6-y'!AB18</f>
        <v>1.1686000000000001</v>
      </c>
      <c r="W44" s="591">
        <f>'6-y'!AC18</f>
        <v>1.0246</v>
      </c>
      <c r="X44" s="591"/>
      <c r="Y44" s="591"/>
      <c r="Z44" s="591"/>
      <c r="AA44" s="591"/>
      <c r="AB44" s="591"/>
      <c r="AC44" s="591"/>
      <c r="AD44" s="602"/>
    </row>
    <row r="45" spans="1:30">
      <c r="A45" s="592" t="s">
        <v>28</v>
      </c>
      <c r="B45" s="592"/>
      <c r="C45" s="591">
        <v>10.694000000000001</v>
      </c>
      <c r="D45" s="591">
        <v>8.0760000000000005</v>
      </c>
      <c r="E45" s="591">
        <v>7.3283000000000005</v>
      </c>
      <c r="F45" s="591">
        <v>6.6818</v>
      </c>
      <c r="G45" s="591">
        <v>5.8259999999999996</v>
      </c>
      <c r="H45" s="591">
        <v>5.0380000000000003</v>
      </c>
      <c r="I45" s="591">
        <v>5.359</v>
      </c>
      <c r="J45" s="591">
        <v>5.1728000000000005</v>
      </c>
      <c r="K45" s="591">
        <v>4.2993999999999994</v>
      </c>
      <c r="L45" s="591">
        <v>4.2519999999999998</v>
      </c>
      <c r="M45" s="591">
        <v>4.4606000000000003</v>
      </c>
      <c r="N45" s="591">
        <v>5.8673000000000002</v>
      </c>
      <c r="O45" s="591">
        <v>5.6551</v>
      </c>
      <c r="P45" s="591">
        <v>5.8094000000000001</v>
      </c>
      <c r="Q45" s="591">
        <v>5.5792999999999999</v>
      </c>
      <c r="R45" s="591">
        <v>5.7538</v>
      </c>
      <c r="S45" s="591">
        <v>5.87392</v>
      </c>
      <c r="T45" s="591">
        <v>5.7079000000000004</v>
      </c>
      <c r="U45" s="591">
        <f>'6-y'!AA19</f>
        <v>5.9713000000000003</v>
      </c>
      <c r="V45" s="591">
        <f>'6-y'!AB19</f>
        <v>5.4051</v>
      </c>
      <c r="W45" s="591">
        <f>'6-y'!AC19</f>
        <v>5.7085999999999997</v>
      </c>
      <c r="X45" s="591"/>
      <c r="Y45" s="591"/>
      <c r="Z45" s="591"/>
      <c r="AA45" s="591"/>
      <c r="AB45" s="591"/>
      <c r="AC45" s="591"/>
      <c r="AD45" s="602"/>
    </row>
    <row r="46" spans="1:30" ht="15" thickBot="1">
      <c r="A46" s="592" t="s">
        <v>351</v>
      </c>
      <c r="B46" s="592"/>
      <c r="C46" s="591"/>
      <c r="D46" s="591"/>
      <c r="E46" s="591"/>
      <c r="F46" s="591"/>
      <c r="G46" s="591"/>
      <c r="H46" s="591"/>
      <c r="I46" s="591"/>
      <c r="J46" s="591"/>
      <c r="K46" s="591"/>
      <c r="L46" s="591"/>
      <c r="M46" s="591"/>
      <c r="N46" s="591"/>
      <c r="O46" s="591"/>
      <c r="P46" s="591"/>
      <c r="Q46" s="591"/>
      <c r="R46" s="591">
        <v>4.0000000000000002E-4</v>
      </c>
      <c r="S46" s="591">
        <v>4.1000000000000005E-4</v>
      </c>
      <c r="T46" s="591">
        <v>2.9999999999999997E-4</v>
      </c>
      <c r="U46" s="591">
        <f>'6-y'!AA20</f>
        <v>2.0000000000000001E-4</v>
      </c>
      <c r="V46" s="591">
        <f>'6-y'!AB20</f>
        <v>1E-4</v>
      </c>
      <c r="W46" s="591">
        <f>'6-y'!AC20</f>
        <v>2.5999999999999999E-3</v>
      </c>
      <c r="X46" s="591"/>
      <c r="Y46" s="591"/>
      <c r="Z46" s="591"/>
      <c r="AA46" s="591"/>
      <c r="AB46" s="591"/>
      <c r="AC46" s="591"/>
      <c r="AD46" s="602"/>
    </row>
    <row r="47" spans="1:30" ht="15" thickBot="1">
      <c r="A47" s="590" t="s">
        <v>9</v>
      </c>
      <c r="B47" s="590"/>
      <c r="C47" s="589">
        <v>219.66900000000001</v>
      </c>
      <c r="D47" s="589">
        <v>251.95699999999999</v>
      </c>
      <c r="E47" s="589">
        <f t="shared" ref="E47:U47" si="17">E32+E40</f>
        <v>261.13729999999998</v>
      </c>
      <c r="F47" s="589">
        <f t="shared" si="17"/>
        <v>264.74310000000003</v>
      </c>
      <c r="G47" s="589">
        <f t="shared" si="17"/>
        <v>260.41210000000001</v>
      </c>
      <c r="H47" s="589">
        <f t="shared" si="17"/>
        <v>226.03559999999999</v>
      </c>
      <c r="I47" s="589">
        <f t="shared" si="17"/>
        <v>230.47120000000001</v>
      </c>
      <c r="J47" s="589">
        <f t="shared" si="17"/>
        <v>227.7003</v>
      </c>
      <c r="K47" s="589">
        <f t="shared" si="17"/>
        <v>216.81049999999999</v>
      </c>
      <c r="L47" s="589">
        <f t="shared" si="17"/>
        <v>192.23451999999997</v>
      </c>
      <c r="M47" s="589">
        <f t="shared" si="17"/>
        <v>175.51009999999999</v>
      </c>
      <c r="N47" s="589">
        <f t="shared" si="17"/>
        <v>191.45839999999998</v>
      </c>
      <c r="O47" s="589">
        <f t="shared" si="17"/>
        <v>198.69400000000002</v>
      </c>
      <c r="P47" s="589">
        <f t="shared" si="17"/>
        <v>208.8235</v>
      </c>
      <c r="Q47" s="589">
        <f t="shared" si="17"/>
        <v>192.12880000000001</v>
      </c>
      <c r="R47" s="589">
        <f t="shared" si="17"/>
        <v>195.08370000000002</v>
      </c>
      <c r="S47" s="589">
        <f t="shared" si="17"/>
        <v>180.80475999999999</v>
      </c>
      <c r="T47" s="589">
        <f t="shared" si="17"/>
        <v>189.13220999999999</v>
      </c>
      <c r="U47" s="589">
        <f t="shared" si="17"/>
        <v>198.51499999999999</v>
      </c>
      <c r="V47" s="589">
        <f t="shared" ref="V47:AC47" si="18">V32+V40</f>
        <v>161.9743</v>
      </c>
      <c r="W47" s="589">
        <f t="shared" si="18"/>
        <v>151.44928000000002</v>
      </c>
      <c r="X47" s="589">
        <f t="shared" si="18"/>
        <v>159.28532782682441</v>
      </c>
      <c r="Y47" s="589">
        <f t="shared" si="18"/>
        <v>155.37833680683966</v>
      </c>
      <c r="Z47" s="589">
        <f t="shared" si="18"/>
        <v>140.84723668120395</v>
      </c>
      <c r="AA47" s="589">
        <f t="shared" si="18"/>
        <v>125.66880105595607</v>
      </c>
      <c r="AB47" s="589">
        <f t="shared" si="18"/>
        <v>112.232923026393</v>
      </c>
      <c r="AC47" s="589">
        <f t="shared" si="18"/>
        <v>98.797044996829925</v>
      </c>
    </row>
    <row r="48" spans="1:30" ht="15" thickBot="1">
      <c r="A48" s="601"/>
      <c r="B48" s="601"/>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row>
    <row r="49" spans="1:29" ht="15" thickBot="1">
      <c r="A49" s="595" t="s">
        <v>452</v>
      </c>
      <c r="B49" s="595"/>
      <c r="C49" s="599">
        <f t="shared" ref="C49:U49" si="19">C40/C47</f>
        <v>0.27359345196636758</v>
      </c>
      <c r="D49" s="599">
        <f t="shared" si="19"/>
        <v>0.37477426703762945</v>
      </c>
      <c r="E49" s="599">
        <f t="shared" si="19"/>
        <v>0.38923547114870227</v>
      </c>
      <c r="F49" s="599">
        <f t="shared" si="19"/>
        <v>0.4066221178191235</v>
      </c>
      <c r="G49" s="599">
        <f t="shared" si="19"/>
        <v>0.39523777888969058</v>
      </c>
      <c r="H49" s="599">
        <f t="shared" si="19"/>
        <v>0.444351686194564</v>
      </c>
      <c r="I49" s="599">
        <f t="shared" si="19"/>
        <v>0.48365262123857555</v>
      </c>
      <c r="J49" s="599">
        <f t="shared" si="19"/>
        <v>0.44580002749227821</v>
      </c>
      <c r="K49" s="599">
        <f t="shared" si="19"/>
        <v>0.46510109058371257</v>
      </c>
      <c r="L49" s="599">
        <f t="shared" si="19"/>
        <v>0.47490346686952994</v>
      </c>
      <c r="M49" s="599">
        <f t="shared" si="19"/>
        <v>0.48516125282818484</v>
      </c>
      <c r="N49" s="599">
        <f t="shared" si="19"/>
        <v>0.50075891159646169</v>
      </c>
      <c r="O49" s="599">
        <f t="shared" si="19"/>
        <v>0.52908895084904428</v>
      </c>
      <c r="P49" s="599">
        <f t="shared" si="19"/>
        <v>0.52737407427803862</v>
      </c>
      <c r="Q49" s="599">
        <f t="shared" si="19"/>
        <v>0.54609564000816113</v>
      </c>
      <c r="R49" s="599">
        <f t="shared" si="19"/>
        <v>0.54981733481577388</v>
      </c>
      <c r="S49" s="599">
        <f t="shared" si="19"/>
        <v>0.55558415608084655</v>
      </c>
      <c r="T49" s="599">
        <f t="shared" si="19"/>
        <v>0.53713325720669158</v>
      </c>
      <c r="U49" s="599">
        <f t="shared" si="19"/>
        <v>0.53115129839054986</v>
      </c>
      <c r="V49" s="599">
        <f t="shared" ref="V49:AC49" si="20">V40/V47</f>
        <v>0.59456592805154895</v>
      </c>
      <c r="W49" s="599">
        <f t="shared" si="20"/>
        <v>0.60220121218139833</v>
      </c>
      <c r="X49" s="599">
        <f t="shared" si="20"/>
        <v>0.60220121218139833</v>
      </c>
      <c r="Y49" s="599">
        <f t="shared" si="20"/>
        <v>0.60220121218139833</v>
      </c>
      <c r="Z49" s="599">
        <f t="shared" si="20"/>
        <v>0.60220121218139833</v>
      </c>
      <c r="AA49" s="599">
        <f t="shared" si="20"/>
        <v>0.60220121218139833</v>
      </c>
      <c r="AB49" s="599">
        <f t="shared" si="20"/>
        <v>0.60220121218139833</v>
      </c>
      <c r="AC49" s="599">
        <f t="shared" si="20"/>
        <v>0.60220121218139833</v>
      </c>
    </row>
    <row r="50" spans="1:29" ht="15" thickBot="1">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row>
    <row r="51" spans="1:29">
      <c r="A51" s="1117" t="s">
        <v>150</v>
      </c>
      <c r="B51" s="598"/>
      <c r="C51" s="597">
        <v>2000</v>
      </c>
      <c r="D51" s="597">
        <v>2005</v>
      </c>
      <c r="E51" s="597">
        <v>2006</v>
      </c>
      <c r="F51" s="597">
        <v>2007</v>
      </c>
      <c r="G51" s="597">
        <v>2008</v>
      </c>
      <c r="H51" s="597">
        <v>2009</v>
      </c>
      <c r="I51" s="597">
        <v>2010</v>
      </c>
      <c r="J51" s="597">
        <v>2011</v>
      </c>
      <c r="K51" s="597">
        <v>2012</v>
      </c>
      <c r="L51" s="597">
        <v>2013</v>
      </c>
      <c r="M51" s="597">
        <v>2014</v>
      </c>
      <c r="N51" s="597">
        <v>2015</v>
      </c>
      <c r="O51" s="597">
        <v>2016</v>
      </c>
      <c r="P51" s="597">
        <v>2017</v>
      </c>
      <c r="Q51" s="597">
        <v>2018</v>
      </c>
      <c r="R51" s="597">
        <v>2019</v>
      </c>
      <c r="S51" s="597">
        <v>2020</v>
      </c>
      <c r="T51" s="597">
        <v>2021</v>
      </c>
      <c r="U51" s="597">
        <v>2022</v>
      </c>
      <c r="V51" s="597">
        <v>2023</v>
      </c>
      <c r="W51" s="597">
        <v>2024</v>
      </c>
      <c r="X51" s="597">
        <v>2025</v>
      </c>
      <c r="Y51" s="597">
        <v>2026</v>
      </c>
      <c r="Z51" s="597">
        <v>2027</v>
      </c>
      <c r="AA51" s="597">
        <v>2028</v>
      </c>
      <c r="AB51" s="597">
        <v>2029</v>
      </c>
      <c r="AC51" s="597">
        <v>2030</v>
      </c>
    </row>
    <row r="52" spans="1:29" ht="15" thickBot="1">
      <c r="A52" s="1118"/>
      <c r="B52" s="595"/>
      <c r="C52" s="596" t="s">
        <v>693</v>
      </c>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row>
    <row r="53" spans="1:29" ht="15" thickBot="1">
      <c r="A53" s="595" t="s">
        <v>16</v>
      </c>
      <c r="B53" s="595"/>
      <c r="C53" s="594">
        <f t="shared" ref="C53:U53" si="21">(C32*1000)/C6</f>
        <v>3616.8683983861461</v>
      </c>
      <c r="D53" s="594">
        <f t="shared" si="21"/>
        <v>3398.7788301797236</v>
      </c>
      <c r="E53" s="594">
        <f t="shared" si="21"/>
        <v>3264.0934858686533</v>
      </c>
      <c r="F53" s="594">
        <f t="shared" si="21"/>
        <v>3029.8115682076805</v>
      </c>
      <c r="G53" s="594">
        <f t="shared" si="21"/>
        <v>2889.8361377690512</v>
      </c>
      <c r="H53" s="594">
        <f t="shared" si="21"/>
        <v>2403.2509902221541</v>
      </c>
      <c r="I53" s="594">
        <f t="shared" si="21"/>
        <v>2205.1922542388584</v>
      </c>
      <c r="J53" s="594">
        <f t="shared" si="21"/>
        <v>2258.9864308474453</v>
      </c>
      <c r="K53" s="594">
        <f t="shared" si="21"/>
        <v>2032.2772842850859</v>
      </c>
      <c r="L53" s="594">
        <f t="shared" si="21"/>
        <v>1825.2841222453478</v>
      </c>
      <c r="M53" s="594">
        <f t="shared" si="21"/>
        <v>1754.4969476676454</v>
      </c>
      <c r="N53" s="594">
        <f t="shared" si="21"/>
        <v>2274.1935483870971</v>
      </c>
      <c r="O53" s="594">
        <f t="shared" si="21"/>
        <v>2418.5445390488894</v>
      </c>
      <c r="P53" s="594">
        <f t="shared" si="21"/>
        <v>2605.2963629740307</v>
      </c>
      <c r="Q53" s="594">
        <f t="shared" si="21"/>
        <v>2302.9314756669833</v>
      </c>
      <c r="R53" s="594">
        <f t="shared" si="21"/>
        <v>2322.6242393307966</v>
      </c>
      <c r="S53" s="594">
        <f t="shared" si="21"/>
        <v>2213.8663345740883</v>
      </c>
      <c r="T53" s="594">
        <f t="shared" si="21"/>
        <v>2445.4379373437432</v>
      </c>
      <c r="U53" s="594">
        <f t="shared" si="21"/>
        <v>2599.0343695198089</v>
      </c>
      <c r="V53" s="594">
        <f t="shared" ref="V53:W57" si="22">(V32*1000)/V6</f>
        <v>1804.2767496043607</v>
      </c>
      <c r="W53" s="594">
        <f t="shared" si="22"/>
        <v>1700.9178456178595</v>
      </c>
      <c r="X53" s="594">
        <f t="shared" ref="X53:AC53" si="23">(X32*1000)/X6</f>
        <v>1788.9240321626924</v>
      </c>
      <c r="Y53" s="594">
        <f t="shared" si="23"/>
        <v>1745.0448486594048</v>
      </c>
      <c r="Z53" s="594">
        <f t="shared" si="23"/>
        <v>1581.8469284041637</v>
      </c>
      <c r="AA53" s="594">
        <f t="shared" si="23"/>
        <v>1411.3788216984335</v>
      </c>
      <c r="AB53" s="594">
        <f t="shared" si="23"/>
        <v>1260.4812755890775</v>
      </c>
      <c r="AC53" s="594">
        <f t="shared" si="23"/>
        <v>1109.5837294797216</v>
      </c>
    </row>
    <row r="54" spans="1:29">
      <c r="A54" s="592" t="s">
        <v>17</v>
      </c>
      <c r="B54" s="592"/>
      <c r="C54" s="591">
        <f t="shared" ref="C54:U54" si="24">(C33*1000)/C7</f>
        <v>2852.0286396181386</v>
      </c>
      <c r="D54" s="591">
        <f t="shared" si="24"/>
        <v>3180.5555555555557</v>
      </c>
      <c r="E54" s="591">
        <f t="shared" si="24"/>
        <v>3253.4090909090905</v>
      </c>
      <c r="F54" s="591">
        <f t="shared" si="24"/>
        <v>3094.8121645796064</v>
      </c>
      <c r="G54" s="591">
        <f t="shared" si="24"/>
        <v>2993.4920634920636</v>
      </c>
      <c r="H54" s="591">
        <f t="shared" si="24"/>
        <v>3405.9474412171508</v>
      </c>
      <c r="I54" s="591">
        <f t="shared" si="24"/>
        <v>3419.8653198653196</v>
      </c>
      <c r="J54" s="591">
        <f t="shared" si="24"/>
        <v>3493.8189425637129</v>
      </c>
      <c r="K54" s="591">
        <f t="shared" si="24"/>
        <v>2878.6743515850144</v>
      </c>
      <c r="L54" s="591">
        <f t="shared" si="24"/>
        <v>3985.455069124424</v>
      </c>
      <c r="M54" s="591">
        <f t="shared" si="24"/>
        <v>4180.5007587253413</v>
      </c>
      <c r="N54" s="591">
        <f t="shared" si="24"/>
        <v>4017.9466451091344</v>
      </c>
      <c r="O54" s="591">
        <f t="shared" si="24"/>
        <v>3974.1205014152852</v>
      </c>
      <c r="P54" s="591">
        <f t="shared" si="24"/>
        <v>3842.0416061925494</v>
      </c>
      <c r="Q54" s="591">
        <f t="shared" si="24"/>
        <v>3869.4444444444443</v>
      </c>
      <c r="R54" s="591">
        <f t="shared" si="24"/>
        <v>3948.4004985459073</v>
      </c>
      <c r="S54" s="591">
        <f t="shared" si="24"/>
        <v>3882.7024758707512</v>
      </c>
      <c r="T54" s="591">
        <f t="shared" si="24"/>
        <v>3617.6547858831773</v>
      </c>
      <c r="U54" s="591">
        <f t="shared" si="24"/>
        <v>2896.6080597479381</v>
      </c>
      <c r="V54" s="591">
        <f t="shared" si="22"/>
        <v>2187.566560170394</v>
      </c>
      <c r="W54" s="591">
        <f t="shared" si="22"/>
        <v>2192.8798157714568</v>
      </c>
      <c r="X54" s="591" t="e">
        <f t="shared" ref="X54:AC54" si="25">(X33*1000)/X7</f>
        <v>#DIV/0!</v>
      </c>
      <c r="Y54" s="591" t="e">
        <f t="shared" si="25"/>
        <v>#DIV/0!</v>
      </c>
      <c r="Z54" s="591" t="e">
        <f t="shared" si="25"/>
        <v>#DIV/0!</v>
      </c>
      <c r="AA54" s="591" t="e">
        <f t="shared" si="25"/>
        <v>#DIV/0!</v>
      </c>
      <c r="AB54" s="591" t="e">
        <f t="shared" si="25"/>
        <v>#DIV/0!</v>
      </c>
      <c r="AC54" s="591" t="e">
        <f t="shared" si="25"/>
        <v>#DIV/0!</v>
      </c>
    </row>
    <row r="55" spans="1:29">
      <c r="A55" s="592" t="s">
        <v>18</v>
      </c>
      <c r="B55" s="592"/>
      <c r="C55" s="591">
        <f t="shared" ref="C55:U55" si="26">(C34*1000)/C8</f>
        <v>2762.435868837832</v>
      </c>
      <c r="D55" s="591">
        <f t="shared" si="26"/>
        <v>287.24832214765098</v>
      </c>
      <c r="E55" s="591">
        <f t="shared" si="26"/>
        <v>231.90700808625337</v>
      </c>
      <c r="F55" s="591">
        <f t="shared" si="26"/>
        <v>189.92950654582071</v>
      </c>
      <c r="G55" s="591">
        <f t="shared" si="26"/>
        <v>200.77444336882866</v>
      </c>
      <c r="H55" s="591">
        <f t="shared" si="26"/>
        <v>200.07993605115911</v>
      </c>
      <c r="I55" s="591">
        <f t="shared" si="26"/>
        <v>141.75605880015894</v>
      </c>
      <c r="J55" s="591">
        <f t="shared" si="26"/>
        <v>99.097685366810509</v>
      </c>
      <c r="K55" s="591">
        <f t="shared" si="26"/>
        <v>75.204209864907313</v>
      </c>
      <c r="L55" s="591">
        <f t="shared" si="26"/>
        <v>1145.7250488770208</v>
      </c>
      <c r="M55" s="591">
        <f t="shared" si="26"/>
        <v>1668.8872765648703</v>
      </c>
      <c r="N55" s="591">
        <f t="shared" si="26"/>
        <v>1672.6451066233583</v>
      </c>
      <c r="O55" s="591">
        <f t="shared" si="26"/>
        <v>155.13056270687753</v>
      </c>
      <c r="P55" s="591">
        <f t="shared" si="26"/>
        <v>218.04538934049359</v>
      </c>
      <c r="Q55" s="591">
        <f t="shared" si="26"/>
        <v>109.98307952622673</v>
      </c>
      <c r="R55" s="591">
        <f t="shared" si="26"/>
        <v>467.97974945493507</v>
      </c>
      <c r="S55" s="591">
        <f t="shared" si="26"/>
        <v>537.41771076661712</v>
      </c>
      <c r="T55" s="591">
        <f t="shared" si="26"/>
        <v>285.58080271819921</v>
      </c>
      <c r="U55" s="591">
        <f t="shared" si="26"/>
        <v>98.476512907321194</v>
      </c>
      <c r="V55" s="591">
        <f t="shared" si="22"/>
        <v>96.769260179697952</v>
      </c>
      <c r="W55" s="591">
        <f t="shared" si="22"/>
        <v>212.76224538753436</v>
      </c>
      <c r="X55" s="591" t="e">
        <f t="shared" ref="X55:AC55" si="27">(X34*1000)/X8</f>
        <v>#DIV/0!</v>
      </c>
      <c r="Y55" s="591" t="e">
        <f t="shared" si="27"/>
        <v>#DIV/0!</v>
      </c>
      <c r="Z55" s="591" t="e">
        <f t="shared" si="27"/>
        <v>#DIV/0!</v>
      </c>
      <c r="AA55" s="591" t="e">
        <f t="shared" si="27"/>
        <v>#DIV/0!</v>
      </c>
      <c r="AB55" s="591" t="e">
        <f t="shared" si="27"/>
        <v>#DIV/0!</v>
      </c>
      <c r="AC55" s="591" t="e">
        <f t="shared" si="27"/>
        <v>#DIV/0!</v>
      </c>
    </row>
    <row r="56" spans="1:29">
      <c r="A56" s="592" t="s">
        <v>19</v>
      </c>
      <c r="B56" s="592"/>
      <c r="C56" s="591">
        <f t="shared" ref="C56:U56" si="28">(C35*1000)/C9</f>
        <v>3705.7005860415557</v>
      </c>
      <c r="D56" s="591">
        <f t="shared" si="28"/>
        <v>3249.0865304766648</v>
      </c>
      <c r="E56" s="591">
        <f t="shared" si="28"/>
        <v>3102.4014155712844</v>
      </c>
      <c r="F56" s="591">
        <f t="shared" si="28"/>
        <v>2781.39385091034</v>
      </c>
      <c r="G56" s="591">
        <f t="shared" si="28"/>
        <v>2685.3087265564786</v>
      </c>
      <c r="H56" s="591">
        <f t="shared" si="28"/>
        <v>2556.7766404679219</v>
      </c>
      <c r="I56" s="591">
        <f t="shared" si="28"/>
        <v>2390.4600284364533</v>
      </c>
      <c r="J56" s="591">
        <f t="shared" si="28"/>
        <v>2594.0715312891407</v>
      </c>
      <c r="K56" s="591">
        <f t="shared" si="28"/>
        <v>2747.8427479216152</v>
      </c>
      <c r="L56" s="591">
        <f t="shared" si="28"/>
        <v>2586.907375937983</v>
      </c>
      <c r="M56" s="591">
        <f t="shared" si="28"/>
        <v>2939.9847821951685</v>
      </c>
      <c r="N56" s="591">
        <f t="shared" si="28"/>
        <v>3783.9750723347429</v>
      </c>
      <c r="O56" s="591">
        <f t="shared" si="28"/>
        <v>3344.0723290462242</v>
      </c>
      <c r="P56" s="591">
        <f t="shared" si="28"/>
        <v>3316.4135653239805</v>
      </c>
      <c r="Q56" s="591">
        <f t="shared" si="28"/>
        <v>2881.8116817895507</v>
      </c>
      <c r="R56" s="591">
        <f t="shared" si="28"/>
        <v>2064.2879718451827</v>
      </c>
      <c r="S56" s="591">
        <f t="shared" si="28"/>
        <v>1782.7587514696404</v>
      </c>
      <c r="T56" s="591">
        <f t="shared" si="28"/>
        <v>2094.4978007344334</v>
      </c>
      <c r="U56" s="591">
        <f t="shared" si="28"/>
        <v>3566.042474204291</v>
      </c>
      <c r="V56" s="591">
        <f t="shared" si="22"/>
        <v>2087.2540445999125</v>
      </c>
      <c r="W56" s="591">
        <f t="shared" si="22"/>
        <v>1242.8566666444433</v>
      </c>
      <c r="X56" s="591" t="e">
        <f t="shared" ref="X56:AC56" si="29">(X35*1000)/X9</f>
        <v>#DIV/0!</v>
      </c>
      <c r="Y56" s="591" t="e">
        <f t="shared" si="29"/>
        <v>#DIV/0!</v>
      </c>
      <c r="Z56" s="591" t="e">
        <f t="shared" si="29"/>
        <v>#DIV/0!</v>
      </c>
      <c r="AA56" s="591" t="e">
        <f t="shared" si="29"/>
        <v>#DIV/0!</v>
      </c>
      <c r="AB56" s="591" t="e">
        <f t="shared" si="29"/>
        <v>#DIV/0!</v>
      </c>
      <c r="AC56" s="591" t="e">
        <f t="shared" si="29"/>
        <v>#DIV/0!</v>
      </c>
    </row>
    <row r="57" spans="1:29">
      <c r="A57" s="592" t="s">
        <v>20</v>
      </c>
      <c r="B57" s="592"/>
      <c r="C57" s="591">
        <f t="shared" ref="C57:U57" si="30">(C36*1000)/C10</f>
        <v>4296.0649594003744</v>
      </c>
      <c r="D57" s="591">
        <f t="shared" si="30"/>
        <v>4592.1927560040685</v>
      </c>
      <c r="E57" s="591">
        <f t="shared" si="30"/>
        <v>4194.5422987914644</v>
      </c>
      <c r="F57" s="591">
        <f t="shared" si="30"/>
        <v>4120.1953537486797</v>
      </c>
      <c r="G57" s="591">
        <f t="shared" si="30"/>
        <v>3987.1101107078875</v>
      </c>
      <c r="H57" s="591">
        <f t="shared" si="30"/>
        <v>3002.1577380952385</v>
      </c>
      <c r="I57" s="591">
        <f t="shared" si="30"/>
        <v>2707.7638810749991</v>
      </c>
      <c r="J57" s="591">
        <f t="shared" si="30"/>
        <v>2632.5393975663278</v>
      </c>
      <c r="K57" s="591">
        <f t="shared" si="30"/>
        <v>2013.3259814222861</v>
      </c>
      <c r="L57" s="591">
        <f t="shared" si="30"/>
        <v>1536.6159653602751</v>
      </c>
      <c r="M57" s="591">
        <f t="shared" si="30"/>
        <v>1184.4545071106265</v>
      </c>
      <c r="N57" s="591">
        <f t="shared" si="30"/>
        <v>1594.4012029011144</v>
      </c>
      <c r="O57" s="591">
        <f t="shared" si="30"/>
        <v>2117.8395321980456</v>
      </c>
      <c r="P57" s="591">
        <f t="shared" si="30"/>
        <v>2491.662810038536</v>
      </c>
      <c r="Q57" s="591">
        <f t="shared" si="30"/>
        <v>2213.9397632870387</v>
      </c>
      <c r="R57" s="591">
        <f t="shared" si="30"/>
        <v>2641.090730804302</v>
      </c>
      <c r="S57" s="591">
        <f t="shared" si="30"/>
        <v>2541.8856894937549</v>
      </c>
      <c r="T57" s="591">
        <f t="shared" si="30"/>
        <v>2806.9619249912816</v>
      </c>
      <c r="U57" s="591">
        <f t="shared" si="30"/>
        <v>2487.8730192304301</v>
      </c>
      <c r="V57" s="591">
        <f t="shared" si="22"/>
        <v>1885.6034879390049</v>
      </c>
      <c r="W57" s="591">
        <f t="shared" si="22"/>
        <v>1978.2019623927445</v>
      </c>
      <c r="X57" s="591" t="e">
        <f t="shared" ref="X57:AC57" si="31">(X36*1000)/X10</f>
        <v>#DIV/0!</v>
      </c>
      <c r="Y57" s="591" t="e">
        <f t="shared" si="31"/>
        <v>#DIV/0!</v>
      </c>
      <c r="Z57" s="591" t="e">
        <f t="shared" si="31"/>
        <v>#DIV/0!</v>
      </c>
      <c r="AA57" s="591" t="e">
        <f t="shared" si="31"/>
        <v>#DIV/0!</v>
      </c>
      <c r="AB57" s="591" t="e">
        <f t="shared" si="31"/>
        <v>#DIV/0!</v>
      </c>
      <c r="AC57" s="591" t="e">
        <f t="shared" si="31"/>
        <v>#DIV/0!</v>
      </c>
    </row>
    <row r="58" spans="1:29">
      <c r="A58" s="592" t="s">
        <v>22</v>
      </c>
      <c r="B58" s="592"/>
      <c r="C58" s="591" t="str">
        <f t="shared" ref="C58:U58" si="32">IFERROR((C37*1000)/C11,"")</f>
        <v/>
      </c>
      <c r="D58" s="591">
        <f t="shared" si="32"/>
        <v>3146.7523445640845</v>
      </c>
      <c r="E58" s="591">
        <f t="shared" si="32"/>
        <v>3160.5418548106986</v>
      </c>
      <c r="F58" s="591">
        <f t="shared" si="32"/>
        <v>2081.8513372698853</v>
      </c>
      <c r="G58" s="591">
        <f t="shared" si="32"/>
        <v>1028.8078224896578</v>
      </c>
      <c r="H58" s="591">
        <f t="shared" si="32"/>
        <v>399.07860097781128</v>
      </c>
      <c r="I58" s="591">
        <f t="shared" si="32"/>
        <v>171.45543437382474</v>
      </c>
      <c r="J58" s="591">
        <f t="shared" si="32"/>
        <v>67.657013915005649</v>
      </c>
      <c r="K58" s="591">
        <f t="shared" si="32"/>
        <v>63.957424401985854</v>
      </c>
      <c r="L58" s="591">
        <f t="shared" si="32"/>
        <v>10.813148788927334</v>
      </c>
      <c r="M58" s="591">
        <f t="shared" si="32"/>
        <v>0.67699714156762458</v>
      </c>
      <c r="N58" s="591">
        <f t="shared" si="32"/>
        <v>1.6485474959900195</v>
      </c>
      <c r="O58" s="591" t="str">
        <f t="shared" si="32"/>
        <v/>
      </c>
      <c r="P58" s="591" t="str">
        <f t="shared" si="32"/>
        <v/>
      </c>
      <c r="Q58" s="591" t="str">
        <f t="shared" si="32"/>
        <v/>
      </c>
      <c r="R58" s="591" t="str">
        <f t="shared" si="32"/>
        <v/>
      </c>
      <c r="S58" s="591" t="str">
        <f t="shared" si="32"/>
        <v/>
      </c>
      <c r="T58" s="591" t="str">
        <f t="shared" si="32"/>
        <v/>
      </c>
      <c r="U58" s="591" t="str">
        <f t="shared" si="32"/>
        <v/>
      </c>
      <c r="V58" s="591" t="str">
        <f>IFERROR((V37*1000)/V11,"")</f>
        <v/>
      </c>
      <c r="W58" s="591" t="str">
        <f>IFERROR((W37*1000)/W11,"")</f>
        <v/>
      </c>
      <c r="X58" s="591" t="str">
        <f t="shared" ref="X58:AC58" si="33">IFERROR((X37*1000)/X11,"")</f>
        <v/>
      </c>
      <c r="Y58" s="591" t="str">
        <f t="shared" si="33"/>
        <v/>
      </c>
      <c r="Z58" s="591" t="str">
        <f t="shared" si="33"/>
        <v/>
      </c>
      <c r="AA58" s="591" t="str">
        <f t="shared" si="33"/>
        <v/>
      </c>
      <c r="AB58" s="591" t="str">
        <f t="shared" si="33"/>
        <v/>
      </c>
      <c r="AC58" s="591" t="str">
        <f t="shared" si="33"/>
        <v/>
      </c>
    </row>
    <row r="59" spans="1:29" ht="15" thickBot="1">
      <c r="A59" s="592" t="s">
        <v>349</v>
      </c>
      <c r="B59" s="592"/>
      <c r="C59" s="591"/>
      <c r="D59" s="591"/>
      <c r="E59" s="591"/>
      <c r="F59" s="591"/>
      <c r="G59" s="591"/>
      <c r="H59" s="591"/>
      <c r="I59" s="591"/>
      <c r="J59" s="591"/>
      <c r="K59" s="591"/>
      <c r="L59" s="591"/>
      <c r="M59" s="591"/>
      <c r="N59" s="591"/>
      <c r="O59" s="591"/>
      <c r="P59" s="591"/>
      <c r="Q59" s="591"/>
      <c r="R59" s="591">
        <f t="shared" ref="R59:W59" si="34">(R38*1000)/R14</f>
        <v>500</v>
      </c>
      <c r="S59" s="591">
        <f t="shared" si="34"/>
        <v>550</v>
      </c>
      <c r="T59" s="591">
        <f t="shared" si="34"/>
        <v>550</v>
      </c>
      <c r="U59" s="591">
        <f t="shared" si="34"/>
        <v>1000</v>
      </c>
      <c r="V59" s="591">
        <f t="shared" si="34"/>
        <v>3363.6363636363635</v>
      </c>
      <c r="W59" s="591">
        <f t="shared" si="34"/>
        <v>7454.545454545455</v>
      </c>
      <c r="X59" s="591" t="e">
        <f t="shared" ref="X59:AC59" si="35">(X38*1000)/X14</f>
        <v>#DIV/0!</v>
      </c>
      <c r="Y59" s="591" t="e">
        <f t="shared" si="35"/>
        <v>#DIV/0!</v>
      </c>
      <c r="Z59" s="591" t="e">
        <f t="shared" si="35"/>
        <v>#DIV/0!</v>
      </c>
      <c r="AA59" s="591" t="e">
        <f t="shared" si="35"/>
        <v>#DIV/0!</v>
      </c>
      <c r="AB59" s="591" t="e">
        <f t="shared" si="35"/>
        <v>#DIV/0!</v>
      </c>
      <c r="AC59" s="591" t="e">
        <f t="shared" si="35"/>
        <v>#DIV/0!</v>
      </c>
    </row>
    <row r="60" spans="1:29" ht="15" thickBot="1">
      <c r="A60" s="590" t="s">
        <v>23</v>
      </c>
      <c r="B60" s="590"/>
      <c r="C60" s="589">
        <f t="shared" ref="C60:Q60" si="36">(C40*1000)/C16</f>
        <v>4918.9720085120316</v>
      </c>
      <c r="D60" s="589">
        <f t="shared" si="36"/>
        <v>5160.7913865661039</v>
      </c>
      <c r="E60" s="589">
        <f t="shared" si="36"/>
        <v>5215.9850156514613</v>
      </c>
      <c r="F60" s="589">
        <f t="shared" si="36"/>
        <v>5279.3094992889028</v>
      </c>
      <c r="G60" s="589">
        <f t="shared" si="36"/>
        <v>4782.3018306848808</v>
      </c>
      <c r="H60" s="589">
        <f t="shared" si="36"/>
        <v>4114.8469826703258</v>
      </c>
      <c r="I60" s="589">
        <f t="shared" si="36"/>
        <v>4572.8585493928449</v>
      </c>
      <c r="J60" s="589">
        <f t="shared" si="36"/>
        <v>4256.3126336534024</v>
      </c>
      <c r="K60" s="589">
        <f t="shared" si="36"/>
        <v>4289.3335375087199</v>
      </c>
      <c r="L60" s="589">
        <f t="shared" si="36"/>
        <v>3935.2227907357665</v>
      </c>
      <c r="M60" s="589">
        <f t="shared" si="36"/>
        <v>3628.9933515172174</v>
      </c>
      <c r="N60" s="589">
        <f t="shared" si="36"/>
        <v>3608.5370810875916</v>
      </c>
      <c r="O60" s="589">
        <f t="shared" si="36"/>
        <v>4008.2202853460831</v>
      </c>
      <c r="P60" s="589">
        <f t="shared" si="36"/>
        <v>4209.3874820831352</v>
      </c>
      <c r="Q60" s="589">
        <f t="shared" si="36"/>
        <v>4011.97236147278</v>
      </c>
      <c r="R60" s="589">
        <f t="shared" ref="R60:U67" si="37">(R40*1000)/R16</f>
        <v>4103.7919569650576</v>
      </c>
      <c r="S60" s="589">
        <f t="shared" si="37"/>
        <v>3810.9572514682</v>
      </c>
      <c r="T60" s="589">
        <f t="shared" si="37"/>
        <v>3887.2426723808067</v>
      </c>
      <c r="U60" s="589">
        <f t="shared" si="37"/>
        <v>3966.6503649085848</v>
      </c>
      <c r="V60" s="589">
        <f t="shared" ref="V60:W67" si="38">(V40*1000)/V16</f>
        <v>3591.4778088138219</v>
      </c>
      <c r="W60" s="589">
        <f t="shared" si="38"/>
        <v>3417.126671275144</v>
      </c>
      <c r="X60" s="589">
        <f t="shared" ref="X60:AC60" si="39">(X40*1000)/X16</f>
        <v>3593.9302059398801</v>
      </c>
      <c r="Y60" s="589">
        <f t="shared" si="39"/>
        <v>3505.7773720748237</v>
      </c>
      <c r="Z60" s="589">
        <f t="shared" si="39"/>
        <v>3177.9144083005526</v>
      </c>
      <c r="AA60" s="589">
        <f t="shared" si="39"/>
        <v>2835.4457138091207</v>
      </c>
      <c r="AB60" s="589">
        <f t="shared" si="39"/>
        <v>2532.2940767275863</v>
      </c>
      <c r="AC60" s="589">
        <f t="shared" si="39"/>
        <v>2229.142439646052</v>
      </c>
    </row>
    <row r="61" spans="1:29">
      <c r="A61" s="592" t="s">
        <v>24</v>
      </c>
      <c r="B61" s="592"/>
      <c r="C61" s="591">
        <f t="shared" ref="C61:Q61" si="40">(C41*1000)/C17</f>
        <v>3202.3529411764707</v>
      </c>
      <c r="D61" s="591">
        <f t="shared" si="40"/>
        <v>3568.7203791469192</v>
      </c>
      <c r="E61" s="591">
        <f t="shared" si="40"/>
        <v>3637.073863636364</v>
      </c>
      <c r="F61" s="591">
        <f t="shared" si="40"/>
        <v>3579.5543905635645</v>
      </c>
      <c r="G61" s="591">
        <f t="shared" si="40"/>
        <v>3651.3939393939395</v>
      </c>
      <c r="H61" s="591">
        <f t="shared" si="40"/>
        <v>3439.8206278026905</v>
      </c>
      <c r="I61" s="591">
        <f t="shared" si="40"/>
        <v>3941.7605633802818</v>
      </c>
      <c r="J61" s="591">
        <f t="shared" si="40"/>
        <v>3860.0440286186022</v>
      </c>
      <c r="K61" s="591">
        <f t="shared" si="40"/>
        <v>3494.6688755787773</v>
      </c>
      <c r="L61" s="591">
        <f t="shared" si="40"/>
        <v>4187.3572272548245</v>
      </c>
      <c r="M61" s="591">
        <f t="shared" si="40"/>
        <v>4397.8989070071802</v>
      </c>
      <c r="N61" s="591">
        <f t="shared" si="40"/>
        <v>4645.1529373685062</v>
      </c>
      <c r="O61" s="591">
        <f t="shared" si="40"/>
        <v>4671.9921346933761</v>
      </c>
      <c r="P61" s="591">
        <f t="shared" si="40"/>
        <v>4832.5759600819747</v>
      </c>
      <c r="Q61" s="591">
        <f t="shared" si="40"/>
        <v>4836.3897979911972</v>
      </c>
      <c r="R61" s="591">
        <f t="shared" si="37"/>
        <v>4916.5061189048383</v>
      </c>
      <c r="S61" s="591">
        <f t="shared" si="37"/>
        <v>4859.6786937055567</v>
      </c>
      <c r="T61" s="591">
        <f t="shared" si="37"/>
        <v>5005.533637341804</v>
      </c>
      <c r="U61" s="591">
        <f t="shared" si="37"/>
        <v>4573.3892115775798</v>
      </c>
      <c r="V61" s="591">
        <f t="shared" si="38"/>
        <v>4503.5718523792575</v>
      </c>
      <c r="W61" s="591">
        <f t="shared" si="38"/>
        <v>4679.997515705114</v>
      </c>
      <c r="X61" s="591" t="e">
        <f t="shared" ref="X61:AC61" si="41">(X41*1000)/X17</f>
        <v>#DIV/0!</v>
      </c>
      <c r="Y61" s="591" t="e">
        <f t="shared" si="41"/>
        <v>#DIV/0!</v>
      </c>
      <c r="Z61" s="591" t="e">
        <f t="shared" si="41"/>
        <v>#DIV/0!</v>
      </c>
      <c r="AA61" s="591" t="e">
        <f t="shared" si="41"/>
        <v>#DIV/0!</v>
      </c>
      <c r="AB61" s="591" t="e">
        <f t="shared" si="41"/>
        <v>#DIV/0!</v>
      </c>
      <c r="AC61" s="591" t="e">
        <f t="shared" si="41"/>
        <v>#DIV/0!</v>
      </c>
    </row>
    <row r="62" spans="1:29">
      <c r="A62" s="592" t="s">
        <v>25</v>
      </c>
      <c r="B62" s="592"/>
      <c r="C62" s="593">
        <f t="shared" ref="C62:Q62" si="42">(C42*1000)/C18</f>
        <v>5619.4790486976217</v>
      </c>
      <c r="D62" s="591">
        <f t="shared" si="42"/>
        <v>5928.7804878048782</v>
      </c>
      <c r="E62" s="591">
        <f t="shared" si="42"/>
        <v>5055.2281368821295</v>
      </c>
      <c r="F62" s="591">
        <f t="shared" si="42"/>
        <v>5585.0371747211893</v>
      </c>
      <c r="G62" s="591">
        <f t="shared" si="42"/>
        <v>5277.0149253731342</v>
      </c>
      <c r="H62" s="591">
        <f t="shared" si="42"/>
        <v>4300</v>
      </c>
      <c r="I62" s="591">
        <f t="shared" si="42"/>
        <v>4301.9396793362484</v>
      </c>
      <c r="J62" s="591">
        <f t="shared" si="42"/>
        <v>4454.8523206751051</v>
      </c>
      <c r="K62" s="591">
        <f t="shared" si="42"/>
        <v>4118.2943603851436</v>
      </c>
      <c r="L62" s="591">
        <f t="shared" si="42"/>
        <v>3763.4920634920632</v>
      </c>
      <c r="M62" s="591">
        <f t="shared" si="42"/>
        <v>3977.6798543921832</v>
      </c>
      <c r="N62" s="591">
        <f t="shared" si="42"/>
        <v>4399.0194229681319</v>
      </c>
      <c r="O62" s="591">
        <f t="shared" si="42"/>
        <v>4656.3364165156854</v>
      </c>
      <c r="P62" s="591">
        <f t="shared" si="42"/>
        <v>4815.5602864331322</v>
      </c>
      <c r="Q62" s="591">
        <f t="shared" si="42"/>
        <v>4864.9205414949965</v>
      </c>
      <c r="R62" s="591">
        <f t="shared" si="37"/>
        <v>5123.6381322957204</v>
      </c>
      <c r="S62" s="591">
        <f t="shared" si="37"/>
        <v>4696.737886302938</v>
      </c>
      <c r="T62" s="591">
        <f t="shared" si="37"/>
        <v>4816.0781727714166</v>
      </c>
      <c r="U62" s="591">
        <f t="shared" si="37"/>
        <v>4568.9235265465168</v>
      </c>
      <c r="V62" s="591">
        <f t="shared" si="38"/>
        <v>3795.5900707252808</v>
      </c>
      <c r="W62" s="591">
        <f t="shared" si="38"/>
        <v>3910.422535211268</v>
      </c>
      <c r="X62" s="591" t="e">
        <f t="shared" ref="X62:AC62" si="43">(X42*1000)/X18</f>
        <v>#DIV/0!</v>
      </c>
      <c r="Y62" s="591" t="e">
        <f t="shared" si="43"/>
        <v>#DIV/0!</v>
      </c>
      <c r="Z62" s="591" t="e">
        <f t="shared" si="43"/>
        <v>#DIV/0!</v>
      </c>
      <c r="AA62" s="591" t="e">
        <f t="shared" si="43"/>
        <v>#DIV/0!</v>
      </c>
      <c r="AB62" s="591" t="e">
        <f t="shared" si="43"/>
        <v>#DIV/0!</v>
      </c>
      <c r="AC62" s="591" t="e">
        <f t="shared" si="43"/>
        <v>#DIV/0!</v>
      </c>
    </row>
    <row r="63" spans="1:29">
      <c r="A63" s="592" t="s">
        <v>26</v>
      </c>
      <c r="B63" s="592"/>
      <c r="C63" s="591">
        <f t="shared" ref="C63:Q63" si="44">(C43*1000)/C19</f>
        <v>5827.0807061790665</v>
      </c>
      <c r="D63" s="591">
        <f t="shared" si="44"/>
        <v>5788.2915173237752</v>
      </c>
      <c r="E63" s="591">
        <f t="shared" si="44"/>
        <v>5896.8163851958316</v>
      </c>
      <c r="F63" s="591">
        <f t="shared" si="44"/>
        <v>5875.9666666666662</v>
      </c>
      <c r="G63" s="591">
        <f t="shared" si="44"/>
        <v>5211.5285766736024</v>
      </c>
      <c r="H63" s="591">
        <f t="shared" si="44"/>
        <v>4448.2823529411762</v>
      </c>
      <c r="I63" s="591">
        <f t="shared" si="44"/>
        <v>4979.5446140842096</v>
      </c>
      <c r="J63" s="591">
        <f t="shared" si="44"/>
        <v>4522.4766890233932</v>
      </c>
      <c r="K63" s="591">
        <f t="shared" si="44"/>
        <v>4710.0974779160524</v>
      </c>
      <c r="L63" s="591">
        <f t="shared" si="44"/>
        <v>4184.9672816611928</v>
      </c>
      <c r="M63" s="591">
        <f t="shared" si="44"/>
        <v>3709.33012225432</v>
      </c>
      <c r="N63" s="591">
        <f t="shared" si="44"/>
        <v>3614.2781283188601</v>
      </c>
      <c r="O63" s="591">
        <f t="shared" si="44"/>
        <v>4093.8804698755903</v>
      </c>
      <c r="P63" s="591">
        <f t="shared" si="44"/>
        <v>4321.5936710670549</v>
      </c>
      <c r="Q63" s="591">
        <f t="shared" si="44"/>
        <v>4012.7444180296184</v>
      </c>
      <c r="R63" s="591">
        <f t="shared" si="37"/>
        <v>4092.2058509502453</v>
      </c>
      <c r="S63" s="591">
        <f t="shared" si="37"/>
        <v>3697.9003652919691</v>
      </c>
      <c r="T63" s="591">
        <f t="shared" si="37"/>
        <v>3719.8639879100369</v>
      </c>
      <c r="U63" s="591">
        <f t="shared" si="37"/>
        <v>3888.9676604318697</v>
      </c>
      <c r="V63" s="591">
        <f t="shared" si="38"/>
        <v>3448.6642400934002</v>
      </c>
      <c r="W63" s="591">
        <f t="shared" si="38"/>
        <v>3125.2202421035668</v>
      </c>
      <c r="X63" s="591" t="e">
        <f t="shared" ref="X63:AC63" si="45">(X43*1000)/X19</f>
        <v>#DIV/0!</v>
      </c>
      <c r="Y63" s="591" t="e">
        <f t="shared" si="45"/>
        <v>#DIV/0!</v>
      </c>
      <c r="Z63" s="591" t="e">
        <f t="shared" si="45"/>
        <v>#DIV/0!</v>
      </c>
      <c r="AA63" s="591" t="e">
        <f t="shared" si="45"/>
        <v>#DIV/0!</v>
      </c>
      <c r="AB63" s="591" t="e">
        <f t="shared" si="45"/>
        <v>#DIV/0!</v>
      </c>
      <c r="AC63" s="591" t="e">
        <f t="shared" si="45"/>
        <v>#DIV/0!</v>
      </c>
    </row>
    <row r="64" spans="1:29">
      <c r="A64" s="592" t="s">
        <v>27</v>
      </c>
      <c r="B64" s="592"/>
      <c r="C64" s="591">
        <f t="shared" ref="C64:Q64" si="46">(C44*1000)/C20</f>
        <v>3026.7194458189015</v>
      </c>
      <c r="D64" s="591">
        <f t="shared" si="46"/>
        <v>2829.9788135593221</v>
      </c>
      <c r="E64" s="591">
        <f t="shared" si="46"/>
        <v>2483.1728045325781</v>
      </c>
      <c r="F64" s="591">
        <f t="shared" si="46"/>
        <v>2547.2897196261683</v>
      </c>
      <c r="G64" s="591">
        <f t="shared" si="46"/>
        <v>2290.1203293223557</v>
      </c>
      <c r="H64" s="591">
        <f t="shared" si="46"/>
        <v>1781.7513368983957</v>
      </c>
      <c r="I64" s="591">
        <f t="shared" si="46"/>
        <v>1857.801691006918</v>
      </c>
      <c r="J64" s="591">
        <f t="shared" si="46"/>
        <v>1715.3968253968255</v>
      </c>
      <c r="K64" s="591">
        <f t="shared" si="46"/>
        <v>1700.9929806539974</v>
      </c>
      <c r="L64" s="591">
        <f t="shared" si="46"/>
        <v>1664.2945250972577</v>
      </c>
      <c r="M64" s="591">
        <f t="shared" si="46"/>
        <v>1535.4176844162187</v>
      </c>
      <c r="N64" s="591">
        <f t="shared" si="46"/>
        <v>1545.4994078168179</v>
      </c>
      <c r="O64" s="591">
        <f t="shared" si="46"/>
        <v>2098.4869325997252</v>
      </c>
      <c r="P64" s="591">
        <f t="shared" si="46"/>
        <v>2036.1328125</v>
      </c>
      <c r="Q64" s="591">
        <f t="shared" si="46"/>
        <v>2254.7345544861846</v>
      </c>
      <c r="R64" s="591">
        <f t="shared" si="37"/>
        <v>2407.1944809461233</v>
      </c>
      <c r="S64" s="591">
        <f t="shared" si="37"/>
        <v>2419.3917710196779</v>
      </c>
      <c r="T64" s="591">
        <f t="shared" si="37"/>
        <v>2368.4118673647472</v>
      </c>
      <c r="U64" s="591">
        <f t="shared" si="37"/>
        <v>2257.1579132267698</v>
      </c>
      <c r="V64" s="591">
        <f t="shared" si="38"/>
        <v>2041.2227074235809</v>
      </c>
      <c r="W64" s="591">
        <f t="shared" si="38"/>
        <v>1897.4074074074072</v>
      </c>
      <c r="X64" s="591" t="e">
        <f t="shared" ref="X64:AC64" si="47">(X44*1000)/X20</f>
        <v>#DIV/0!</v>
      </c>
      <c r="Y64" s="591" t="e">
        <f t="shared" si="47"/>
        <v>#DIV/0!</v>
      </c>
      <c r="Z64" s="591" t="e">
        <f t="shared" si="47"/>
        <v>#DIV/0!</v>
      </c>
      <c r="AA64" s="591" t="e">
        <f t="shared" si="47"/>
        <v>#DIV/0!</v>
      </c>
      <c r="AB64" s="591" t="e">
        <f t="shared" si="47"/>
        <v>#DIV/0!</v>
      </c>
      <c r="AC64" s="591" t="e">
        <f t="shared" si="47"/>
        <v>#DIV/0!</v>
      </c>
    </row>
    <row r="65" spans="1:29">
      <c r="A65" s="592" t="s">
        <v>28</v>
      </c>
      <c r="B65" s="592"/>
      <c r="C65" s="591">
        <f t="shared" ref="C65:Q65" si="48">(C45*1000)/C21</f>
        <v>4201.9646365422395</v>
      </c>
      <c r="D65" s="591">
        <f t="shared" si="48"/>
        <v>3677.5956284153008</v>
      </c>
      <c r="E65" s="591">
        <f t="shared" si="48"/>
        <v>3573.0375426621158</v>
      </c>
      <c r="F65" s="591">
        <f t="shared" si="48"/>
        <v>3430.0821355236139</v>
      </c>
      <c r="G65" s="591">
        <f t="shared" si="48"/>
        <v>3287.8103837471781</v>
      </c>
      <c r="H65" s="591">
        <f t="shared" si="48"/>
        <v>2827.1604938271603</v>
      </c>
      <c r="I65" s="591">
        <f t="shared" si="48"/>
        <v>2923.6224768139664</v>
      </c>
      <c r="J65" s="591">
        <f t="shared" si="48"/>
        <v>3481.0228802153433</v>
      </c>
      <c r="K65" s="591">
        <f t="shared" si="48"/>
        <v>2791.0932225396</v>
      </c>
      <c r="L65" s="591">
        <f t="shared" si="48"/>
        <v>2552.8338136407301</v>
      </c>
      <c r="M65" s="591">
        <f t="shared" si="48"/>
        <v>2606.7087424029924</v>
      </c>
      <c r="N65" s="591">
        <f t="shared" si="48"/>
        <v>2670.4747166719771</v>
      </c>
      <c r="O65" s="591">
        <f t="shared" si="48"/>
        <v>2594.6776783665982</v>
      </c>
      <c r="P65" s="591">
        <f t="shared" si="48"/>
        <v>2688.6657101865139</v>
      </c>
      <c r="Q65" s="591">
        <f t="shared" si="48"/>
        <v>2712.3480797277589</v>
      </c>
      <c r="R65" s="591">
        <f t="shared" si="37"/>
        <v>2762.9291716686675</v>
      </c>
      <c r="S65" s="591">
        <f t="shared" si="37"/>
        <v>2844.3755750326859</v>
      </c>
      <c r="T65" s="591">
        <f t="shared" si="37"/>
        <v>2867.1388386578265</v>
      </c>
      <c r="U65" s="591">
        <f t="shared" si="37"/>
        <v>3441.8698484062479</v>
      </c>
      <c r="V65" s="591">
        <f t="shared" si="38"/>
        <v>3261.7826323094564</v>
      </c>
      <c r="W65" s="591">
        <f t="shared" si="38"/>
        <v>3477.6728601888512</v>
      </c>
      <c r="X65" s="591" t="e">
        <f t="shared" ref="X65:AC65" si="49">(X45*1000)/X21</f>
        <v>#DIV/0!</v>
      </c>
      <c r="Y65" s="591" t="e">
        <f t="shared" si="49"/>
        <v>#DIV/0!</v>
      </c>
      <c r="Z65" s="591" t="e">
        <f t="shared" si="49"/>
        <v>#DIV/0!</v>
      </c>
      <c r="AA65" s="591" t="e">
        <f t="shared" si="49"/>
        <v>#DIV/0!</v>
      </c>
      <c r="AB65" s="591" t="e">
        <f t="shared" si="49"/>
        <v>#DIV/0!</v>
      </c>
      <c r="AC65" s="591" t="e">
        <f t="shared" si="49"/>
        <v>#DIV/0!</v>
      </c>
    </row>
    <row r="66" spans="1:29" ht="15" thickBot="1">
      <c r="A66" s="592" t="s">
        <v>351</v>
      </c>
      <c r="B66" s="592"/>
      <c r="C66" s="591"/>
      <c r="D66" s="591"/>
      <c r="E66" s="591"/>
      <c r="F66" s="591"/>
      <c r="G66" s="591"/>
      <c r="H66" s="591"/>
      <c r="I66" s="591"/>
      <c r="J66" s="591"/>
      <c r="K66" s="591"/>
      <c r="L66" s="591"/>
      <c r="M66" s="591"/>
      <c r="N66" s="591"/>
      <c r="O66" s="591"/>
      <c r="P66" s="591"/>
      <c r="Q66" s="591"/>
      <c r="R66" s="591">
        <f t="shared" si="37"/>
        <v>1333.3333333333335</v>
      </c>
      <c r="S66" s="591">
        <f t="shared" si="37"/>
        <v>1366.666666666667</v>
      </c>
      <c r="T66" s="591">
        <f t="shared" si="37"/>
        <v>1000</v>
      </c>
      <c r="U66" s="591">
        <f t="shared" si="37"/>
        <v>2000</v>
      </c>
      <c r="V66" s="591">
        <f t="shared" si="38"/>
        <v>1000</v>
      </c>
      <c r="W66" s="591">
        <f t="shared" si="38"/>
        <v>6500</v>
      </c>
      <c r="X66" s="591" t="e">
        <f t="shared" ref="X66:AC66" si="50">(X46*1000)/X22</f>
        <v>#DIV/0!</v>
      </c>
      <c r="Y66" s="591" t="e">
        <f t="shared" si="50"/>
        <v>#DIV/0!</v>
      </c>
      <c r="Z66" s="591" t="e">
        <f t="shared" si="50"/>
        <v>#DIV/0!</v>
      </c>
      <c r="AA66" s="591" t="e">
        <f t="shared" si="50"/>
        <v>#DIV/0!</v>
      </c>
      <c r="AB66" s="591" t="e">
        <f t="shared" si="50"/>
        <v>#DIV/0!</v>
      </c>
      <c r="AC66" s="591" t="e">
        <f t="shared" si="50"/>
        <v>#DIV/0!</v>
      </c>
    </row>
    <row r="67" spans="1:29" ht="15" thickBot="1">
      <c r="A67" s="590" t="s">
        <v>9</v>
      </c>
      <c r="B67" s="590"/>
      <c r="C67" s="589">
        <f t="shared" ref="C67:Q67" si="51">(C47*1000)/C23</f>
        <v>3899.195910325363</v>
      </c>
      <c r="D67" s="589">
        <f t="shared" si="51"/>
        <v>3897.4878569439716</v>
      </c>
      <c r="E67" s="589">
        <f t="shared" si="51"/>
        <v>3820.5896122896856</v>
      </c>
      <c r="F67" s="589">
        <f t="shared" si="51"/>
        <v>3664.7715946843859</v>
      </c>
      <c r="G67" s="589">
        <f t="shared" si="51"/>
        <v>3425.6185953511622</v>
      </c>
      <c r="H67" s="589">
        <f t="shared" si="51"/>
        <v>2948.1622538150514</v>
      </c>
      <c r="I67" s="589">
        <f t="shared" si="51"/>
        <v>2941.8976015113417</v>
      </c>
      <c r="J67" s="589">
        <f t="shared" si="51"/>
        <v>2856.5731203974356</v>
      </c>
      <c r="K67" s="589">
        <f t="shared" si="51"/>
        <v>2690.8212440474049</v>
      </c>
      <c r="L67" s="589">
        <f t="shared" si="51"/>
        <v>2448.8224323828545</v>
      </c>
      <c r="M67" s="589">
        <f t="shared" si="51"/>
        <v>2341.2085009657767</v>
      </c>
      <c r="N67" s="589">
        <f t="shared" si="51"/>
        <v>2790.995734606829</v>
      </c>
      <c r="O67" s="589">
        <f t="shared" si="51"/>
        <v>3060.823967268067</v>
      </c>
      <c r="P67" s="589">
        <f t="shared" si="51"/>
        <v>3260.5695049269971</v>
      </c>
      <c r="Q67" s="589">
        <f t="shared" si="51"/>
        <v>3001.0652887682331</v>
      </c>
      <c r="R67" s="589">
        <f t="shared" si="37"/>
        <v>3050.6137703482468</v>
      </c>
      <c r="S67" s="589">
        <f t="shared" si="37"/>
        <v>2885.7702393625927</v>
      </c>
      <c r="T67" s="589">
        <f t="shared" si="37"/>
        <v>3053.8442659346865</v>
      </c>
      <c r="U67" s="589">
        <f t="shared" si="37"/>
        <v>3181.6972471182567</v>
      </c>
      <c r="V67" s="589">
        <f t="shared" si="38"/>
        <v>2562.4182308598906</v>
      </c>
      <c r="W67" s="589">
        <f t="shared" si="38"/>
        <v>2438.4100106504857</v>
      </c>
      <c r="X67" s="589">
        <f t="shared" ref="X67:AC67" si="52">(X47*1000)/X23</f>
        <v>2564.5743441148938</v>
      </c>
      <c r="Y67" s="589">
        <f t="shared" si="52"/>
        <v>2501.6698125472799</v>
      </c>
      <c r="Z67" s="589">
        <f t="shared" si="52"/>
        <v>2267.7117507320331</v>
      </c>
      <c r="AA67" s="589">
        <f t="shared" si="52"/>
        <v>2023.3312599524245</v>
      </c>
      <c r="AB67" s="589">
        <f t="shared" si="52"/>
        <v>1807.0068278444244</v>
      </c>
      <c r="AC67" s="589">
        <f t="shared" si="52"/>
        <v>1590.682395736424</v>
      </c>
    </row>
    <row r="70" spans="1:29">
      <c r="N70" s="168"/>
    </row>
    <row r="72" spans="1:29">
      <c r="A72" t="s">
        <v>451</v>
      </c>
    </row>
    <row r="73" spans="1:29">
      <c r="A73" t="s">
        <v>449</v>
      </c>
      <c r="B73" t="s">
        <v>148</v>
      </c>
      <c r="C73" t="s">
        <v>448</v>
      </c>
    </row>
    <row r="74" spans="1:29">
      <c r="A74" t="s">
        <v>447</v>
      </c>
      <c r="B74">
        <v>3.55</v>
      </c>
    </row>
    <row r="75" spans="1:29">
      <c r="A75" t="s">
        <v>446</v>
      </c>
      <c r="B75">
        <v>8.6999999999999993</v>
      </c>
      <c r="C75">
        <v>39.31</v>
      </c>
      <c r="D75" s="147">
        <f>C75/B75*1000</f>
        <v>4518.3908045977014</v>
      </c>
      <c r="I75" s="56">
        <f>D75/8765</f>
        <v>0.51550379972592142</v>
      </c>
    </row>
    <row r="76" spans="1:29">
      <c r="A76" t="s">
        <v>186</v>
      </c>
      <c r="B76">
        <v>47.63</v>
      </c>
      <c r="C76">
        <f>108.14+2.094</f>
        <v>110.23399999999999</v>
      </c>
      <c r="D76" s="147">
        <f>C76/B76*1000</f>
        <v>2314.3816922107912</v>
      </c>
      <c r="I76" s="56">
        <f>D76/8765</f>
        <v>0.26404811091965674</v>
      </c>
    </row>
    <row r="77" spans="1:29">
      <c r="A77" t="s">
        <v>445</v>
      </c>
      <c r="B77">
        <v>3.2</v>
      </c>
      <c r="C77">
        <v>5.0940000000000003</v>
      </c>
      <c r="D77" s="147">
        <f>C77/B77*1000</f>
        <v>1591.875</v>
      </c>
      <c r="I77" s="56">
        <f>D77/8765</f>
        <v>0.18161722760981175</v>
      </c>
    </row>
    <row r="78" spans="1:29">
      <c r="A78" t="s">
        <v>222</v>
      </c>
      <c r="B78">
        <v>2.86</v>
      </c>
      <c r="C78">
        <f>20.03+7.65</f>
        <v>27.68</v>
      </c>
      <c r="D78" s="147">
        <f>C78/(B78+B74)*1000</f>
        <v>4318.2527301092041</v>
      </c>
      <c r="I78" s="56">
        <f>D78/8765</f>
        <v>0.49267002054868275</v>
      </c>
    </row>
    <row r="79" spans="1:29">
      <c r="D79" s="147"/>
    </row>
    <row r="80" spans="1:29">
      <c r="B80">
        <f>SUM(B74:B79)</f>
        <v>65.940000000000012</v>
      </c>
      <c r="C80">
        <f>SUM(C74:C79)</f>
        <v>182.31799999999998</v>
      </c>
      <c r="D80" s="147">
        <f>C80/(B80+B76)*1000</f>
        <v>1605.3359161750459</v>
      </c>
      <c r="I80" s="56">
        <f>D80/8765</f>
        <v>0.18315298530234408</v>
      </c>
    </row>
    <row r="81" spans="1:9">
      <c r="A81" t="s">
        <v>450</v>
      </c>
      <c r="D81" s="147"/>
    </row>
    <row r="82" spans="1:9">
      <c r="A82" t="s">
        <v>449</v>
      </c>
      <c r="B82" t="s">
        <v>148</v>
      </c>
      <c r="C82" t="s">
        <v>448</v>
      </c>
      <c r="D82" s="147"/>
    </row>
    <row r="83" spans="1:9">
      <c r="A83" t="s">
        <v>447</v>
      </c>
      <c r="B83">
        <v>3.55</v>
      </c>
      <c r="D83" s="147"/>
    </row>
    <row r="84" spans="1:9">
      <c r="A84" t="s">
        <v>446</v>
      </c>
      <c r="B84">
        <v>8.6999999999999993</v>
      </c>
      <c r="C84">
        <v>35.932000000000002</v>
      </c>
      <c r="D84" s="147">
        <f>C84/B84*1000</f>
        <v>4130.1149425287358</v>
      </c>
      <c r="I84" s="56">
        <f>D84/8765</f>
        <v>0.47120535567926247</v>
      </c>
    </row>
    <row r="85" spans="1:9">
      <c r="A85" t="s">
        <v>186</v>
      </c>
      <c r="B85">
        <v>47.63</v>
      </c>
      <c r="C85">
        <f>148.313+4.5808</f>
        <v>152.8938</v>
      </c>
      <c r="D85" s="147">
        <f>C85/B85*1000</f>
        <v>3210.0314927566656</v>
      </c>
      <c r="I85" s="56">
        <f>D85/8765</f>
        <v>0.36623291417645926</v>
      </c>
    </row>
    <row r="86" spans="1:9">
      <c r="A86" t="s">
        <v>445</v>
      </c>
      <c r="B86">
        <v>3.2</v>
      </c>
      <c r="C86">
        <v>8.9269999999999996</v>
      </c>
      <c r="D86" s="147">
        <f>C86/B86*1000</f>
        <v>2789.6875</v>
      </c>
      <c r="I86" s="56">
        <f>D86/8765</f>
        <v>0.31827581289218482</v>
      </c>
    </row>
    <row r="87" spans="1:9">
      <c r="A87" t="s">
        <v>222</v>
      </c>
      <c r="B87">
        <v>2.86</v>
      </c>
      <c r="C87">
        <f>20.4484+2.0348</f>
        <v>22.4832</v>
      </c>
      <c r="D87" s="147">
        <f>C87/(B87+B83)*1000</f>
        <v>3507.5195007800312</v>
      </c>
      <c r="I87" s="56">
        <f>D87/8765</f>
        <v>0.4001733600433578</v>
      </c>
    </row>
  </sheetData>
  <mergeCells count="3">
    <mergeCell ref="A4:A5"/>
    <mergeCell ref="A30:A31"/>
    <mergeCell ref="A51:A5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4EF6-32A3-40C1-B695-3CFE1534E8E5}">
  <sheetPr codeName="Foglio34"/>
  <dimension ref="A1:AP81"/>
  <sheetViews>
    <sheetView zoomScale="85" zoomScaleNormal="85" workbookViewId="0">
      <pane xSplit="2" ySplit="2" topLeftCell="P24"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52.81640625" bestFit="1" customWidth="1"/>
    <col min="2" max="2" width="8.81640625" bestFit="1" customWidth="1"/>
    <col min="3" max="6" width="11.81640625" bestFit="1" customWidth="1"/>
    <col min="7" max="7" width="10.54296875" bestFit="1" customWidth="1"/>
    <col min="8" max="8" width="11.81640625" bestFit="1" customWidth="1"/>
    <col min="9" max="11" width="10.54296875" bestFit="1" customWidth="1"/>
    <col min="12" max="12" width="12.453125" bestFit="1" customWidth="1"/>
    <col min="13" max="13" width="10.54296875" bestFit="1" customWidth="1"/>
    <col min="14" max="21" width="10.54296875" customWidth="1"/>
    <col min="22" max="22" width="10.54296875" bestFit="1" customWidth="1"/>
    <col min="23" max="29" width="9.453125" customWidth="1"/>
    <col min="30" max="33" width="6.1796875" customWidth="1"/>
  </cols>
  <sheetData>
    <row r="1" spans="1:33">
      <c r="A1" s="68"/>
      <c r="B1" s="180" t="s">
        <v>502</v>
      </c>
      <c r="C1" s="180"/>
    </row>
    <row r="2" spans="1:33">
      <c r="A2" s="68" t="s">
        <v>501</v>
      </c>
      <c r="B2" s="180" t="s">
        <v>500</v>
      </c>
      <c r="C2" s="364">
        <f t="shared" ref="C2:K2" si="0">D2-1</f>
        <v>2005</v>
      </c>
      <c r="D2" s="68">
        <f t="shared" si="0"/>
        <v>2006</v>
      </c>
      <c r="E2" s="68">
        <f t="shared" si="0"/>
        <v>2007</v>
      </c>
      <c r="F2" s="68">
        <f t="shared" si="0"/>
        <v>2008</v>
      </c>
      <c r="G2" s="68">
        <f t="shared" si="0"/>
        <v>2009</v>
      </c>
      <c r="H2" s="364">
        <f t="shared" si="0"/>
        <v>2010</v>
      </c>
      <c r="I2" s="68">
        <f t="shared" si="0"/>
        <v>2011</v>
      </c>
      <c r="J2" s="68">
        <f t="shared" si="0"/>
        <v>2012</v>
      </c>
      <c r="K2" s="68">
        <f t="shared" si="0"/>
        <v>2013</v>
      </c>
      <c r="L2" s="68">
        <v>2014</v>
      </c>
      <c r="M2" s="364">
        <v>2015</v>
      </c>
      <c r="N2" s="364">
        <v>2016</v>
      </c>
      <c r="O2" s="364">
        <v>2017</v>
      </c>
      <c r="P2" s="364">
        <v>2018</v>
      </c>
      <c r="Q2" s="364">
        <f>P2+1</f>
        <v>2019</v>
      </c>
      <c r="R2" s="364">
        <f>Q2+1</f>
        <v>2020</v>
      </c>
      <c r="S2" s="364">
        <v>2021</v>
      </c>
      <c r="T2" s="364">
        <v>2022</v>
      </c>
      <c r="U2" s="364">
        <f>T2+1</f>
        <v>2023</v>
      </c>
      <c r="V2" s="364">
        <f t="shared" ref="V2:AB2" si="1">U2+1</f>
        <v>2024</v>
      </c>
      <c r="W2" s="765">
        <f t="shared" si="1"/>
        <v>2025</v>
      </c>
      <c r="X2" s="765">
        <f t="shared" si="1"/>
        <v>2026</v>
      </c>
      <c r="Y2" s="765">
        <f t="shared" si="1"/>
        <v>2027</v>
      </c>
      <c r="Z2" s="765">
        <f t="shared" si="1"/>
        <v>2028</v>
      </c>
      <c r="AA2" s="765">
        <f t="shared" si="1"/>
        <v>2029</v>
      </c>
      <c r="AB2" s="765">
        <f t="shared" si="1"/>
        <v>2030</v>
      </c>
    </row>
    <row r="3" spans="1:33">
      <c r="A3" t="s">
        <v>478</v>
      </c>
      <c r="B3" s="615" t="s">
        <v>481</v>
      </c>
      <c r="C3" s="616">
        <v>84474.855549145228</v>
      </c>
      <c r="D3" s="613">
        <v>79128.095401181476</v>
      </c>
      <c r="E3" s="613">
        <v>68772.925384422619</v>
      </c>
      <c r="F3" s="613">
        <v>59517.353786288761</v>
      </c>
      <c r="G3" s="613">
        <v>50595.31851637402</v>
      </c>
      <c r="H3" s="616">
        <v>54416.21771964732</v>
      </c>
      <c r="I3" s="613">
        <v>50417.914932202541</v>
      </c>
      <c r="J3" s="613">
        <v>50563.364712505136</v>
      </c>
      <c r="K3" s="613">
        <v>43044.7340752214</v>
      </c>
      <c r="L3" s="613">
        <v>36965.389915877844</v>
      </c>
      <c r="M3" s="616">
        <v>37069.562458096814</v>
      </c>
      <c r="N3" s="616">
        <v>33306.953603768467</v>
      </c>
      <c r="O3" s="616">
        <v>32327.179773659467</v>
      </c>
      <c r="P3" s="616">
        <v>28248.717481334887</v>
      </c>
      <c r="Q3" s="616">
        <v>26682.573549442121</v>
      </c>
      <c r="R3" s="651">
        <v>23847.141224824318</v>
      </c>
      <c r="S3" s="651">
        <v>25069.8409135851</v>
      </c>
      <c r="T3" s="651">
        <v>27200.169580123198</v>
      </c>
      <c r="U3" s="964">
        <v>20365.187993829859</v>
      </c>
      <c r="V3" s="964">
        <v>15907.573667605091</v>
      </c>
      <c r="W3" s="134"/>
      <c r="X3" s="134"/>
      <c r="Y3" s="134"/>
      <c r="Z3" s="134"/>
      <c r="AA3" s="134"/>
      <c r="AB3" s="134"/>
      <c r="AC3" s="134"/>
      <c r="AD3" s="134"/>
      <c r="AE3" s="134"/>
      <c r="AF3" s="134"/>
      <c r="AG3" s="134"/>
    </row>
    <row r="4" spans="1:33">
      <c r="A4" t="s">
        <v>477</v>
      </c>
      <c r="B4" s="615" t="s">
        <v>481</v>
      </c>
      <c r="C4" s="616">
        <v>112224.0683</v>
      </c>
      <c r="D4" s="613">
        <v>115721.981</v>
      </c>
      <c r="E4" s="613">
        <v>81567.234526</v>
      </c>
      <c r="F4" s="613">
        <v>57981.481</v>
      </c>
      <c r="G4" s="613">
        <v>45310.140199999994</v>
      </c>
      <c r="H4" s="616">
        <v>32788.449681444443</v>
      </c>
      <c r="I4" s="613">
        <v>29317.929936226745</v>
      </c>
      <c r="J4" s="613">
        <v>33379.500174846617</v>
      </c>
      <c r="K4" s="613">
        <v>24317.603924058818</v>
      </c>
      <c r="L4" s="613">
        <v>18985.697324175573</v>
      </c>
      <c r="M4" s="616">
        <v>17487.867405371646</v>
      </c>
      <c r="N4" s="616">
        <v>12040.847859918476</v>
      </c>
      <c r="O4" s="616">
        <v>9410.9071854743725</v>
      </c>
      <c r="P4" s="616">
        <v>8858.6504569155604</v>
      </c>
      <c r="Q4" s="616">
        <v>6706.3781564231613</v>
      </c>
      <c r="R4" s="616">
        <v>4976.675580245932</v>
      </c>
      <c r="S4" s="616">
        <v>4721.016370961459</v>
      </c>
      <c r="T4" s="616">
        <v>6927.4908139869422</v>
      </c>
      <c r="U4" s="965">
        <v>4191.482860005347</v>
      </c>
      <c r="V4" s="965">
        <v>1408.4879044908353</v>
      </c>
      <c r="W4" s="134"/>
      <c r="X4" s="134"/>
      <c r="Y4" s="134"/>
      <c r="Z4" s="134"/>
      <c r="AA4" s="134"/>
      <c r="AB4" s="134"/>
      <c r="AC4" s="134"/>
      <c r="AD4" s="134"/>
      <c r="AE4" s="134"/>
      <c r="AF4" s="134"/>
      <c r="AG4" s="134"/>
    </row>
    <row r="5" spans="1:33">
      <c r="A5" t="s">
        <v>476</v>
      </c>
      <c r="B5" s="615" t="s">
        <v>481</v>
      </c>
      <c r="C5" s="616">
        <v>3958.4911379953996</v>
      </c>
      <c r="D5" s="613">
        <v>4069.0613954770452</v>
      </c>
      <c r="E5" s="613">
        <v>3971.4911709981147</v>
      </c>
      <c r="F5" s="613">
        <v>3902.8148996265804</v>
      </c>
      <c r="G5" s="613">
        <v>3343.484396547874</v>
      </c>
      <c r="H5" s="616">
        <v>3282.0943445286002</v>
      </c>
      <c r="I5" s="613">
        <v>3114.6638720224505</v>
      </c>
      <c r="J5" s="613">
        <v>2945.5250771026244</v>
      </c>
      <c r="K5" s="613">
        <v>2497.4798996932982</v>
      </c>
      <c r="L5" s="613">
        <v>2237.435752865832</v>
      </c>
      <c r="M5" s="616">
        <v>2516.0407740498745</v>
      </c>
      <c r="N5" s="616">
        <v>2581.3982674173531</v>
      </c>
      <c r="O5" s="616">
        <v>2748.9844064281097</v>
      </c>
      <c r="P5" s="616">
        <v>2501.8737415709306</v>
      </c>
      <c r="Q5" s="616">
        <v>2580.8272998683456</v>
      </c>
      <c r="R5" s="616">
        <v>2400.6895557689131</v>
      </c>
      <c r="S5" s="616">
        <v>2541.7277657579079</v>
      </c>
      <c r="T5" s="616">
        <v>2600.9152126283725</v>
      </c>
      <c r="U5" s="616">
        <v>2041.3573614709071</v>
      </c>
      <c r="V5" s="616">
        <v>1881.9664073679801</v>
      </c>
      <c r="W5" s="134"/>
      <c r="X5" s="134"/>
      <c r="Y5" s="134"/>
      <c r="Z5" s="134"/>
      <c r="AA5" s="134"/>
      <c r="AB5" s="134"/>
      <c r="AC5" s="134"/>
      <c r="AD5" s="134"/>
      <c r="AE5" s="134"/>
      <c r="AF5" s="134"/>
      <c r="AG5" s="134"/>
    </row>
    <row r="6" spans="1:33">
      <c r="A6" t="s">
        <v>475</v>
      </c>
      <c r="B6" s="615" t="s">
        <v>481</v>
      </c>
      <c r="C6" s="616">
        <v>29237.005703389827</v>
      </c>
      <c r="D6" s="613">
        <v>30209.006791284381</v>
      </c>
      <c r="E6" s="613">
        <v>30308.999989588818</v>
      </c>
      <c r="F6" s="613">
        <v>30045.762372504309</v>
      </c>
      <c r="G6" s="613">
        <v>25787.117730821825</v>
      </c>
      <c r="H6" s="616">
        <v>25768.18641201342</v>
      </c>
      <c r="I6" s="613">
        <v>24533.21545433316</v>
      </c>
      <c r="J6" s="613">
        <v>23222.28440571481</v>
      </c>
      <c r="K6" s="613">
        <v>19719.8652778084</v>
      </c>
      <c r="L6" s="613">
        <v>17667.521056769336</v>
      </c>
      <c r="M6" s="616">
        <v>19835.806080290924</v>
      </c>
      <c r="N6" s="616">
        <v>20492.727370787525</v>
      </c>
      <c r="O6" s="616">
        <v>21832.838785468419</v>
      </c>
      <c r="P6" s="616">
        <v>19917.909230225636</v>
      </c>
      <c r="Q6" s="616">
        <v>20548.536704578761</v>
      </c>
      <c r="R6" s="616">
        <v>19113.327037614752</v>
      </c>
      <c r="S6" s="616">
        <v>20164.476632173271</v>
      </c>
      <c r="T6" s="616">
        <v>20584.799272622131</v>
      </c>
      <c r="U6" s="616">
        <v>16200.171980236611</v>
      </c>
      <c r="V6" s="616">
        <v>14995.3010424981</v>
      </c>
      <c r="W6" s="134"/>
      <c r="X6" s="134"/>
      <c r="Y6" s="134"/>
      <c r="Z6" s="134"/>
      <c r="AA6" s="134"/>
      <c r="AB6" s="134"/>
      <c r="AC6" s="134"/>
      <c r="AD6" s="134"/>
      <c r="AE6" s="134"/>
      <c r="AF6" s="134"/>
      <c r="AG6" s="134"/>
    </row>
    <row r="7" spans="1:33">
      <c r="A7" t="s">
        <v>474</v>
      </c>
      <c r="B7" s="615" t="s">
        <v>481</v>
      </c>
      <c r="C7" s="616">
        <v>3965.3196853307627</v>
      </c>
      <c r="D7" s="613">
        <v>4047.3103270586862</v>
      </c>
      <c r="E7" s="613">
        <v>3852.5978103407797</v>
      </c>
      <c r="F7" s="613">
        <v>3851.3223118628839</v>
      </c>
      <c r="G7" s="613">
        <v>3651.0078250050383</v>
      </c>
      <c r="H7" s="616">
        <v>3569.2995174633807</v>
      </c>
      <c r="I7" s="613">
        <v>4019.4044809823927</v>
      </c>
      <c r="J7" s="613">
        <v>4092.003421936221</v>
      </c>
      <c r="K7" s="613">
        <v>4394.4762527432977</v>
      </c>
      <c r="L7" s="613">
        <v>4363.9279851875053</v>
      </c>
      <c r="M7" s="616">
        <v>4202.7072728622143</v>
      </c>
      <c r="N7" s="616">
        <v>4286.370584333823</v>
      </c>
      <c r="O7" s="616">
        <v>4327.0414192019689</v>
      </c>
      <c r="P7" s="616">
        <v>4130.5283048979863</v>
      </c>
      <c r="Q7" s="616">
        <v>4133.7298179541667</v>
      </c>
      <c r="R7" s="616">
        <v>4050.5466370553549</v>
      </c>
      <c r="S7" s="616">
        <v>4026.4795175432255</v>
      </c>
      <c r="T7" s="616">
        <v>3939.5257004161022</v>
      </c>
      <c r="U7" s="616">
        <v>3122.0255537894191</v>
      </c>
      <c r="V7" s="616">
        <v>3247.4888453519238</v>
      </c>
      <c r="W7" s="134"/>
      <c r="X7" s="134"/>
      <c r="Y7" s="134"/>
      <c r="Z7" s="134"/>
      <c r="AA7" s="134"/>
      <c r="AB7" s="134"/>
      <c r="AC7" s="134"/>
      <c r="AD7" s="134"/>
      <c r="AE7" s="134"/>
      <c r="AF7" s="134"/>
      <c r="AG7" s="134"/>
    </row>
    <row r="8" spans="1:33">
      <c r="A8" t="s">
        <v>473</v>
      </c>
      <c r="B8" s="615" t="s">
        <v>481</v>
      </c>
      <c r="C8" s="616">
        <v>1023.6423316157856</v>
      </c>
      <c r="D8" s="613">
        <v>1036.5401305844753</v>
      </c>
      <c r="E8" s="613">
        <v>980.94968997528758</v>
      </c>
      <c r="F8" s="613">
        <v>971.68978035915995</v>
      </c>
      <c r="G8" s="613">
        <v>916.51713382700018</v>
      </c>
      <c r="H8" s="616">
        <v>902.50682892896316</v>
      </c>
      <c r="I8" s="613">
        <v>1006.0041418651768</v>
      </c>
      <c r="J8" s="613">
        <v>1073.5321602599115</v>
      </c>
      <c r="K8" s="613">
        <v>1087.208556287354</v>
      </c>
      <c r="L8" s="613">
        <v>1071.5036709478745</v>
      </c>
      <c r="M8" s="616">
        <v>1045.9774712373312</v>
      </c>
      <c r="N8" s="616">
        <v>947.8496867583076</v>
      </c>
      <c r="O8" s="616">
        <v>907.64673976065865</v>
      </c>
      <c r="P8" s="616">
        <v>838.25000327243151</v>
      </c>
      <c r="Q8" s="616">
        <v>722.38466625447609</v>
      </c>
      <c r="R8" s="616">
        <v>654.76157981077131</v>
      </c>
      <c r="S8" s="616">
        <v>654.22709067344454</v>
      </c>
      <c r="T8" s="616">
        <v>745.77999435752656</v>
      </c>
      <c r="U8" s="616">
        <v>529.81150546968718</v>
      </c>
      <c r="V8" s="616">
        <v>430.35899047910624</v>
      </c>
      <c r="W8" s="134"/>
      <c r="X8" s="134"/>
      <c r="Y8" s="134"/>
      <c r="Z8" s="134"/>
      <c r="AA8" s="134"/>
      <c r="AB8" s="134"/>
      <c r="AC8" s="134"/>
      <c r="AD8" s="134"/>
      <c r="AE8" s="134"/>
      <c r="AF8" s="134"/>
      <c r="AG8" s="134"/>
    </row>
    <row r="9" spans="1:33">
      <c r="A9" t="s">
        <v>472</v>
      </c>
      <c r="B9" s="615" t="s">
        <v>481</v>
      </c>
      <c r="C9" s="616">
        <v>197.0059989621455</v>
      </c>
      <c r="D9" s="613">
        <v>200.81788526523297</v>
      </c>
      <c r="E9" s="613">
        <v>199.90539679682627</v>
      </c>
      <c r="F9" s="613">
        <v>198.54971300430799</v>
      </c>
      <c r="G9" s="613">
        <v>181.46853994692324</v>
      </c>
      <c r="H9" s="616">
        <v>184.01901460475358</v>
      </c>
      <c r="I9" s="613">
        <v>198.31138684551743</v>
      </c>
      <c r="J9" s="613">
        <v>216.24685565993082</v>
      </c>
      <c r="K9" s="613">
        <v>200.88486786892466</v>
      </c>
      <c r="L9" s="613">
        <v>192.5319699782348</v>
      </c>
      <c r="M9" s="616">
        <v>193.8849053191893</v>
      </c>
      <c r="N9" s="616">
        <v>158.07174230931381</v>
      </c>
      <c r="O9" s="616">
        <v>144.57726572822006</v>
      </c>
      <c r="P9" s="616">
        <v>126.87276680827969</v>
      </c>
      <c r="Q9" s="616">
        <v>86.644897612847998</v>
      </c>
      <c r="R9" s="616">
        <v>64.235255305007996</v>
      </c>
      <c r="S9" s="616">
        <v>67.145021167968011</v>
      </c>
      <c r="T9" s="616">
        <v>105.31763310047999</v>
      </c>
      <c r="U9" s="616">
        <v>61.565904752063993</v>
      </c>
      <c r="V9" s="616">
        <v>18.315553372898417</v>
      </c>
      <c r="W9" s="134"/>
      <c r="X9" s="134"/>
      <c r="Y9" s="134"/>
      <c r="Z9" s="134"/>
      <c r="AA9" s="134"/>
      <c r="AB9" s="134"/>
      <c r="AC9" s="134"/>
      <c r="AD9" s="134"/>
      <c r="AE9" s="134"/>
      <c r="AF9" s="134"/>
      <c r="AG9" s="134"/>
    </row>
    <row r="10" spans="1:33">
      <c r="A10" t="s">
        <v>471</v>
      </c>
      <c r="B10" s="615" t="s">
        <v>481</v>
      </c>
      <c r="C10" s="616">
        <v>3505.2428</v>
      </c>
      <c r="D10" s="613">
        <v>3217.7103360000001</v>
      </c>
      <c r="E10" s="613">
        <v>2348.5734500000003</v>
      </c>
      <c r="F10" s="613">
        <v>2020.7203408267846</v>
      </c>
      <c r="G10" s="613">
        <v>1687.382281177318</v>
      </c>
      <c r="H10" s="616">
        <v>1659.9287838099408</v>
      </c>
      <c r="I10" s="613">
        <v>1107.0825137259546</v>
      </c>
      <c r="J10" s="613">
        <v>958.93437414811194</v>
      </c>
      <c r="K10" s="613">
        <v>902.87519450597779</v>
      </c>
      <c r="L10" s="613">
        <v>824.43508163568731</v>
      </c>
      <c r="M10" s="616">
        <v>769.57136976148331</v>
      </c>
      <c r="N10" s="616">
        <v>663.23937510535984</v>
      </c>
      <c r="O10" s="616">
        <v>619.55036349240356</v>
      </c>
      <c r="P10" s="616">
        <v>502.77025482484248</v>
      </c>
      <c r="Q10" s="616">
        <v>456.71240516462103</v>
      </c>
      <c r="R10" s="616">
        <v>396.27087594613579</v>
      </c>
      <c r="S10" s="616">
        <v>410.85179505451902</v>
      </c>
      <c r="T10" s="616">
        <v>465.08406069441787</v>
      </c>
      <c r="U10" s="616">
        <v>302.39615245162287</v>
      </c>
      <c r="V10" s="616">
        <v>200.87922215668533</v>
      </c>
      <c r="W10" s="134"/>
      <c r="X10" s="134"/>
      <c r="Y10" s="134"/>
      <c r="Z10" s="134"/>
      <c r="AA10" s="134"/>
      <c r="AB10" s="134"/>
      <c r="AC10" s="134"/>
      <c r="AD10" s="134"/>
      <c r="AE10" s="134"/>
      <c r="AF10" s="134"/>
      <c r="AG10" s="134"/>
    </row>
    <row r="11" spans="1:33">
      <c r="B11" s="615"/>
      <c r="C11" s="616"/>
      <c r="D11" s="613"/>
      <c r="E11" s="613"/>
      <c r="F11" s="613"/>
      <c r="G11" s="613"/>
      <c r="H11" s="616"/>
      <c r="I11" s="613"/>
      <c r="J11" s="613"/>
      <c r="K11" s="613"/>
      <c r="L11" s="613"/>
      <c r="M11" s="617"/>
      <c r="N11" s="616"/>
      <c r="O11" s="616"/>
      <c r="P11" s="616"/>
      <c r="Q11" s="616"/>
      <c r="R11" s="616"/>
      <c r="S11" s="616"/>
      <c r="T11" s="616"/>
      <c r="U11" s="616"/>
      <c r="V11" s="616"/>
    </row>
    <row r="12" spans="1:33">
      <c r="A12" s="68" t="s">
        <v>499</v>
      </c>
      <c r="B12" s="615" t="s">
        <v>165</v>
      </c>
      <c r="C12" s="616">
        <v>1709208.0368234678</v>
      </c>
      <c r="D12" s="616">
        <v>1759265.056202238</v>
      </c>
      <c r="E12" s="616">
        <v>1738592.141916509</v>
      </c>
      <c r="F12" s="616">
        <v>1718078.8012298853</v>
      </c>
      <c r="G12" s="616">
        <v>1490216.7734298953</v>
      </c>
      <c r="H12" s="616">
        <v>1480778.4536627668</v>
      </c>
      <c r="I12" s="616">
        <v>1434774.0099164343</v>
      </c>
      <c r="J12" s="616">
        <v>1386070.412367905</v>
      </c>
      <c r="K12" s="616">
        <v>1205257.3820802006</v>
      </c>
      <c r="L12" s="616">
        <v>1097941.7215297462</v>
      </c>
      <c r="M12" s="616">
        <v>1205336.034296135</v>
      </c>
      <c r="N12" s="616">
        <v>1205807.204516849</v>
      </c>
      <c r="O12" s="616">
        <v>1260761.7654638679</v>
      </c>
      <c r="P12" s="616">
        <v>1147923.0296492097</v>
      </c>
      <c r="Q12" s="616">
        <v>1146779.0941889572</v>
      </c>
      <c r="R12" s="616">
        <v>1056626.4467420476</v>
      </c>
      <c r="S12" s="616">
        <v>1110982.1571519654</v>
      </c>
      <c r="T12" s="616">
        <v>1160710.5051932042</v>
      </c>
      <c r="U12" s="616">
        <v>896101.84902722691</v>
      </c>
      <c r="V12" s="616">
        <v>802736.31125830323</v>
      </c>
    </row>
    <row r="13" spans="1:33">
      <c r="A13" s="68" t="s">
        <v>498</v>
      </c>
      <c r="B13" s="615" t="s">
        <v>165</v>
      </c>
      <c r="C13" s="616">
        <f>'23'!B11*41.868</f>
        <v>2023873.8404114232</v>
      </c>
      <c r="D13" s="616">
        <f>'23'!C11*41.868</f>
        <v>2065530.0068622003</v>
      </c>
      <c r="E13" s="616">
        <f>'23'!D11*41.868</f>
        <v>2077449.6137727604</v>
      </c>
      <c r="F13" s="616">
        <f>'23'!E11*41.868</f>
        <v>2017967.0118080406</v>
      </c>
      <c r="G13" s="616">
        <f>'23'!F11*41.868</f>
        <v>1750703.8873359598</v>
      </c>
      <c r="H13" s="616">
        <f>'23'!G11*41.868</f>
        <v>1772770.6462161425</v>
      </c>
      <c r="I13" s="616">
        <f>'23'!H11*41.868</f>
        <v>1751248.9174237205</v>
      </c>
      <c r="J13" s="616">
        <f>'23'!I11*41.868</f>
        <v>1687223.33726544</v>
      </c>
      <c r="K13" s="616">
        <f>'23'!J11*41.868</f>
        <v>1477821.1852242718</v>
      </c>
      <c r="L13" s="616">
        <f>'23'!K11*41.868</f>
        <v>1375894.2675600001</v>
      </c>
      <c r="M13" s="616">
        <f>'23'!L11*41.868</f>
        <v>1447690.5938432498</v>
      </c>
      <c r="N13" s="616">
        <f>'23'!M11*41.868</f>
        <v>1464441.8789979999</v>
      </c>
      <c r="O13" s="616">
        <f>'23'!N11*41.868</f>
        <v>1513009.0853007</v>
      </c>
      <c r="P13" s="616">
        <f>'23'!O11*41.868</f>
        <v>1395905.2320175001</v>
      </c>
      <c r="Q13" s="616">
        <f>'23'!P11*41.868</f>
        <v>1392968.1790776004</v>
      </c>
      <c r="R13" s="616">
        <f>'23'!Q11*41.868</f>
        <v>1286476.9014999999</v>
      </c>
      <c r="S13" s="616">
        <f>'23'!R11*41.868</f>
        <v>1343656.62849</v>
      </c>
      <c r="T13" s="616">
        <f>'23'!S11*41.868</f>
        <v>1416630.2151999997</v>
      </c>
      <c r="U13" s="616">
        <f>'23'!T11*41.868</f>
        <v>1142759.4018900001</v>
      </c>
      <c r="V13" s="616">
        <f>'23'!U11*41.868</f>
        <v>1038364.9610750003</v>
      </c>
    </row>
    <row r="14" spans="1:33">
      <c r="A14" s="68" t="s">
        <v>497</v>
      </c>
      <c r="B14" s="615" t="s">
        <v>165</v>
      </c>
      <c r="C14" s="616">
        <f>'23'!B6*41.868</f>
        <v>2238359.301624503</v>
      </c>
      <c r="D14" s="616">
        <f>'23'!C6*41.868</f>
        <v>2299298.9603522406</v>
      </c>
      <c r="E14" s="616">
        <f>'23'!D6*41.868</f>
        <v>2305603.5053382008</v>
      </c>
      <c r="F14" s="616">
        <f>'23'!E6*41.868</f>
        <v>2240016.1482967203</v>
      </c>
      <c r="G14" s="616">
        <f>'23'!F6*41.868</f>
        <v>1957552.3737349201</v>
      </c>
      <c r="H14" s="616">
        <f>'23'!G6*41.868</f>
        <v>1999738.3456300723</v>
      </c>
      <c r="I14" s="616">
        <f>'23'!H6*41.868</f>
        <v>1995875.4419946005</v>
      </c>
      <c r="J14" s="616">
        <f>'23'!I6*41.868</f>
        <v>1911934.0714996804</v>
      </c>
      <c r="K14" s="616">
        <f>'23'!J6*41.868</f>
        <v>1720717.8712430401</v>
      </c>
      <c r="L14" s="616">
        <f>'23'!K6*41.868</f>
        <v>1603564.8374455201</v>
      </c>
      <c r="M14" s="616">
        <f>'23'!L6*41.868</f>
        <v>1689085.5573435</v>
      </c>
      <c r="N14" s="616">
        <f>'23'!M6*41.868</f>
        <v>1711824.3295679998</v>
      </c>
      <c r="O14" s="616">
        <f>'23'!N6*41.868</f>
        <v>1760284.8846290002</v>
      </c>
      <c r="P14" s="616">
        <f>'23'!O6*41.868</f>
        <v>1637386.9317100001</v>
      </c>
      <c r="Q14" s="616">
        <f>'23'!P6*41.868</f>
        <v>1636891.6425432002</v>
      </c>
      <c r="R14" s="616">
        <f>'23'!Q6*41.868</f>
        <v>1526461.1319600001</v>
      </c>
      <c r="S14" s="616">
        <f>'23'!R6*41.868</f>
        <v>1576118.5674000003</v>
      </c>
      <c r="T14" s="616">
        <f>'23'!S6*41.868</f>
        <v>1646068.0229599997</v>
      </c>
      <c r="U14" s="616">
        <f>'23'!T6*41.868</f>
        <v>1349813.96661</v>
      </c>
      <c r="V14" s="616">
        <f>'23'!U6*41.868</f>
        <v>1248445.1951350004</v>
      </c>
      <c r="W14" s="254"/>
    </row>
    <row r="15" spans="1:33">
      <c r="A15" s="68" t="s">
        <v>496</v>
      </c>
      <c r="B15" s="615" t="s">
        <v>175</v>
      </c>
      <c r="C15" s="616">
        <f>('3'!Q14+'4'!Q9)*1000</f>
        <v>280406.8</v>
      </c>
      <c r="D15" s="616">
        <f>('3'!R14+'4'!R9)*1000</f>
        <v>290256.8</v>
      </c>
      <c r="E15" s="616">
        <f>('3'!S14+'4'!S9)*1000</f>
        <v>290458.2</v>
      </c>
      <c r="F15" s="616">
        <f>('3'!T14+'4'!T9)*1000</f>
        <v>292875.60000000003</v>
      </c>
      <c r="G15" s="616">
        <f>('3'!U14+'4'!U9)*1000</f>
        <v>264791.00000000006</v>
      </c>
      <c r="H15" s="616">
        <f>('3'!V14+'4'!V9)*1000</f>
        <v>270630.60000000003</v>
      </c>
      <c r="I15" s="616">
        <f>('3'!W14+'4'!W9)*1000</f>
        <v>263484.62</v>
      </c>
      <c r="J15" s="616">
        <f>('3'!X14+'4'!X9)*1000</f>
        <v>249276.4</v>
      </c>
      <c r="K15" s="616">
        <f>('3'!Y14+'4'!Y9)*1000</f>
        <v>233022.1</v>
      </c>
      <c r="L15" s="616">
        <f>('3'!Z14+'4'!Z9)*1000</f>
        <v>219913.8</v>
      </c>
      <c r="M15" s="616">
        <f>('3'!AA14+'4'!AA9)*1000</f>
        <v>226131.09999999998</v>
      </c>
      <c r="N15" s="616">
        <f>('3'!AB14+'4'!AB9)*1000</f>
        <v>230311.69999999998</v>
      </c>
      <c r="O15" s="616">
        <f>('3'!AC14+'4'!AC9)*1000</f>
        <v>235715.00000000003</v>
      </c>
      <c r="P15" s="616">
        <f>('3'!AD14+'4'!AD9)*1000</f>
        <v>228795.02418432003</v>
      </c>
      <c r="Q15" s="616">
        <f>('3'!AE14+'4'!AE9)*1000</f>
        <v>229641.92998637003</v>
      </c>
      <c r="R15" s="616">
        <f>('3'!AF14+'4'!AF9)*1000</f>
        <v>216161.88570907005</v>
      </c>
      <c r="S15" s="616">
        <f>('3'!AG14+'4'!AG9)*1000</f>
        <v>222931.55636031998</v>
      </c>
      <c r="T15" s="616">
        <f>('3'!AH14+'4'!AH9)*1000</f>
        <v>219572.24072983002</v>
      </c>
      <c r="U15" s="616">
        <f>('3'!AI14+'4'!AI9)*1000</f>
        <v>190266.80795860474</v>
      </c>
      <c r="V15" s="616">
        <f>('3'!AJ14+'4'!AJ9)*1000</f>
        <v>189278.15789488691</v>
      </c>
    </row>
    <row r="16" spans="1:33">
      <c r="A16" s="68" t="s">
        <v>495</v>
      </c>
      <c r="B16" s="615" t="s">
        <v>175</v>
      </c>
      <c r="C16" s="616">
        <f>('1'!Q6-'1'!Q7)*1000</f>
        <v>296837.89999999997</v>
      </c>
      <c r="D16" s="616">
        <f>('1'!R6-'1'!R7)*1000</f>
        <v>307691.90000000008</v>
      </c>
      <c r="E16" s="616">
        <f>('1'!S6-'1'!S7)*1000</f>
        <v>308222.00000000006</v>
      </c>
      <c r="F16" s="616">
        <f>('1'!T6-'1'!T7)*1000</f>
        <v>313525.59999999998</v>
      </c>
      <c r="G16" s="616">
        <f>('1'!U6-'1'!U7)*1000</f>
        <v>288337.60000000003</v>
      </c>
      <c r="H16" s="616">
        <f>('1'!V6-'1'!V7)*1000</f>
        <v>298772.07999999996</v>
      </c>
      <c r="I16" s="616">
        <f>('1'!W6-'1'!W7)*1000</f>
        <v>300646.45999999996</v>
      </c>
      <c r="J16" s="616">
        <f>('1'!X6-'1'!X7)*1000</f>
        <v>297297.19999999995</v>
      </c>
      <c r="K16" s="616">
        <f>('1'!Y6-'1'!Y7)*1000</f>
        <v>287905.89999999997</v>
      </c>
      <c r="L16" s="616">
        <f>('1'!Z6-'1'!Z7)*1000</f>
        <v>278117.2</v>
      </c>
      <c r="M16" s="616">
        <f>('1'!AA6-'1'!AA7)*1000</f>
        <v>281561.90000000002</v>
      </c>
      <c r="N16" s="616">
        <f>('1'!AB6-'1'!AB7)*1000</f>
        <v>287943.00000000006</v>
      </c>
      <c r="O16" s="616">
        <f>('1'!AC6-'1'!AC7)*1000</f>
        <v>294003.99317200005</v>
      </c>
      <c r="P16" s="616">
        <f>('1'!AD6-'1'!AD7)*1000</f>
        <v>287992.15972702001</v>
      </c>
      <c r="Q16" s="616">
        <f>('1'!AE6-'1'!AE7)*1000</f>
        <v>292018.18719754007</v>
      </c>
      <c r="R16" s="616">
        <f>('1'!AF6-'1'!AF7)*1000</f>
        <v>278587.54300000006</v>
      </c>
      <c r="S16" s="616">
        <f>('1'!AG6-'1'!AG7)*1000</f>
        <v>286979.30605539994</v>
      </c>
      <c r="T16" s="616">
        <f>('1'!AH6-'1'!AH7)*1000</f>
        <v>282059.93216482998</v>
      </c>
      <c r="U16" s="616">
        <f>('1'!AI6-'1'!AI7)*1000</f>
        <v>263157.2246264391</v>
      </c>
      <c r="V16" s="616">
        <f>('1'!AJ6-'1'!AJ7)*1000</f>
        <v>269336.92410961189</v>
      </c>
    </row>
    <row r="17" spans="1:30">
      <c r="A17" s="68" t="s">
        <v>494</v>
      </c>
      <c r="B17" s="615"/>
      <c r="C17" s="613">
        <f t="shared" ref="C17:S17" si="2">C14-C13</f>
        <v>214485.46121307975</v>
      </c>
      <c r="D17" s="613">
        <f t="shared" si="2"/>
        <v>233768.95349004027</v>
      </c>
      <c r="E17" s="613">
        <f t="shared" si="2"/>
        <v>228153.89156544046</v>
      </c>
      <c r="F17" s="613">
        <f t="shared" si="2"/>
        <v>222049.1364886798</v>
      </c>
      <c r="G17" s="613">
        <f t="shared" si="2"/>
        <v>206848.48639896023</v>
      </c>
      <c r="H17" s="613">
        <f t="shared" si="2"/>
        <v>226967.69941392983</v>
      </c>
      <c r="I17" s="613">
        <f t="shared" si="2"/>
        <v>244626.52457087999</v>
      </c>
      <c r="J17" s="613">
        <f t="shared" si="2"/>
        <v>224710.73423424037</v>
      </c>
      <c r="K17" s="613">
        <f t="shared" si="2"/>
        <v>242896.68601876823</v>
      </c>
      <c r="L17" s="613">
        <f t="shared" si="2"/>
        <v>227670.56988552003</v>
      </c>
      <c r="M17" s="613">
        <f t="shared" si="2"/>
        <v>241394.96350025013</v>
      </c>
      <c r="N17" s="613">
        <f t="shared" si="2"/>
        <v>247382.45056999987</v>
      </c>
      <c r="O17" s="613">
        <f t="shared" si="2"/>
        <v>247275.79932830017</v>
      </c>
      <c r="P17" s="613">
        <f t="shared" si="2"/>
        <v>241481.69969250006</v>
      </c>
      <c r="Q17" s="613">
        <f t="shared" si="2"/>
        <v>243923.46346559981</v>
      </c>
      <c r="R17" s="613">
        <f t="shared" si="2"/>
        <v>239984.23046000022</v>
      </c>
      <c r="S17" s="613">
        <f t="shared" si="2"/>
        <v>232461.93891000026</v>
      </c>
      <c r="T17" s="613">
        <f>T14-T13</f>
        <v>229437.80776</v>
      </c>
      <c r="U17" s="613">
        <f>U14-U13</f>
        <v>207054.56471999991</v>
      </c>
      <c r="V17" s="613">
        <f>V14-V13</f>
        <v>210080.23406000005</v>
      </c>
    </row>
    <row r="18" spans="1:30">
      <c r="A18" s="68" t="s">
        <v>493</v>
      </c>
      <c r="B18" s="180" t="s">
        <v>490</v>
      </c>
      <c r="C18" s="650">
        <v>115.4445548598395</v>
      </c>
      <c r="D18" s="649">
        <v>118.2025661242066</v>
      </c>
      <c r="E18" s="649">
        <v>115.1706995161117</v>
      </c>
      <c r="F18" s="649">
        <v>114.36820233446494</v>
      </c>
      <c r="G18" s="649">
        <v>99.031237510190749</v>
      </c>
      <c r="H18" s="649">
        <v>97.194976229408283</v>
      </c>
      <c r="I18" s="649">
        <v>93.759327016340578</v>
      </c>
      <c r="J18" s="649">
        <v>91.700099115170332</v>
      </c>
      <c r="K18" s="649">
        <v>78.79274759657585</v>
      </c>
      <c r="L18" s="649">
        <v>71.654265961479354</v>
      </c>
      <c r="M18" s="649">
        <v>78.921971757786892</v>
      </c>
      <c r="N18" s="649">
        <v>76.288770268423093</v>
      </c>
      <c r="O18" s="649">
        <v>78.12727810836185</v>
      </c>
      <c r="P18" s="649">
        <v>70.206922863078603</v>
      </c>
      <c r="Q18" s="649">
        <v>67.034423597442725</v>
      </c>
      <c r="R18" s="649">
        <v>59.921750713234402</v>
      </c>
      <c r="S18" s="649">
        <v>64.236933180487853</v>
      </c>
      <c r="T18" s="649">
        <v>71.031358847481741</v>
      </c>
      <c r="U18" s="649">
        <v>53.261750997272394</v>
      </c>
      <c r="V18" s="649">
        <v>43.637818623514512</v>
      </c>
    </row>
    <row r="19" spans="1:30">
      <c r="A19" s="68" t="s">
        <v>492</v>
      </c>
      <c r="B19" s="180" t="s">
        <v>490</v>
      </c>
      <c r="C19" s="648">
        <f t="shared" ref="C19:S19" si="3">C18/C$12*C$13</f>
        <v>136.69793820592841</v>
      </c>
      <c r="D19" s="648">
        <f t="shared" si="3"/>
        <v>138.7800811236005</v>
      </c>
      <c r="E19" s="648">
        <f t="shared" si="3"/>
        <v>137.61785726463657</v>
      </c>
      <c r="F19" s="648">
        <f t="shared" si="3"/>
        <v>134.33100934923698</v>
      </c>
      <c r="G19" s="648">
        <f t="shared" si="3"/>
        <v>116.34171321112014</v>
      </c>
      <c r="H19" s="648">
        <f t="shared" si="3"/>
        <v>116.36068879376835</v>
      </c>
      <c r="I19" s="648">
        <f t="shared" si="3"/>
        <v>114.44026641192525</v>
      </c>
      <c r="J19" s="648">
        <f t="shared" si="3"/>
        <v>111.62387269515015</v>
      </c>
      <c r="K19" s="648">
        <f t="shared" si="3"/>
        <v>96.611390539071039</v>
      </c>
      <c r="L19" s="648">
        <f t="shared" si="3"/>
        <v>89.794104595330339</v>
      </c>
      <c r="M19" s="648">
        <f t="shared" si="3"/>
        <v>94.79065829806585</v>
      </c>
      <c r="N19" s="648">
        <f t="shared" si="3"/>
        <v>92.652017387059132</v>
      </c>
      <c r="O19" s="648">
        <f t="shared" si="3"/>
        <v>93.758618658834692</v>
      </c>
      <c r="P19" s="648">
        <f t="shared" si="3"/>
        <v>85.373503638452718</v>
      </c>
      <c r="Q19" s="648">
        <f t="shared" si="3"/>
        <v>81.425288834800142</v>
      </c>
      <c r="R19" s="648">
        <f t="shared" si="3"/>
        <v>72.956671137379317</v>
      </c>
      <c r="S19" s="648">
        <f t="shared" si="3"/>
        <v>77.690159563944746</v>
      </c>
      <c r="T19" s="648">
        <f>T18/T$12*T$13</f>
        <v>86.692735802634161</v>
      </c>
      <c r="U19" s="648">
        <f>U18/U$12*U$13</f>
        <v>67.922375988097969</v>
      </c>
      <c r="V19" s="648">
        <f>V18/V$12*V$13</f>
        <v>56.446906911905167</v>
      </c>
    </row>
    <row r="20" spans="1:30">
      <c r="A20" s="68" t="s">
        <v>491</v>
      </c>
      <c r="B20" s="180" t="s">
        <v>490</v>
      </c>
      <c r="C20" s="647">
        <f>'6'!Q11</f>
        <v>144.74312632555694</v>
      </c>
      <c r="D20" s="647">
        <f>'6'!R11</f>
        <v>147.45002052084254</v>
      </c>
      <c r="E20" s="647">
        <f>'6'!S11</f>
        <v>145.92405574281224</v>
      </c>
      <c r="F20" s="647">
        <f>'6'!T11</f>
        <v>141.87565639814184</v>
      </c>
      <c r="G20" s="647">
        <f>'6'!U11</f>
        <v>119.76209931208173</v>
      </c>
      <c r="H20" s="647">
        <f>'6'!V11</f>
        <v>121.70870410113133</v>
      </c>
      <c r="I20" s="647">
        <f>'6'!W11</f>
        <v>119.57793463693831</v>
      </c>
      <c r="J20" s="647">
        <f>'6'!X11</f>
        <v>115.78647600093768</v>
      </c>
      <c r="K20" s="647">
        <f>'6'!Y11</f>
        <v>98.137627340549614</v>
      </c>
      <c r="L20" s="647">
        <f>'6'!Z11</f>
        <v>90.99868195310799</v>
      </c>
      <c r="M20" s="647">
        <f>'6'!AA11</f>
        <v>94.548472304045845</v>
      </c>
      <c r="N20" s="647">
        <f>'6'!AB11</f>
        <v>93.863743159910342</v>
      </c>
      <c r="O20" s="647">
        <f>'6'!AC11</f>
        <v>94.307087279330361</v>
      </c>
      <c r="P20" s="647">
        <f>'6'!AD11</f>
        <v>86.635484742035814</v>
      </c>
      <c r="Q20" s="647">
        <f>'6'!AE11</f>
        <v>82.320543725154124</v>
      </c>
      <c r="R20" s="647">
        <f>'6'!AF11</f>
        <v>73.463947603774983</v>
      </c>
      <c r="S20" s="647">
        <f>'6'!AG11</f>
        <v>77.941350880268629</v>
      </c>
      <c r="T20" s="647">
        <f>'6'!AH11</f>
        <v>86.672835637608543</v>
      </c>
      <c r="U20" s="647">
        <f>'6'!AI11</f>
        <v>67.458154386279276</v>
      </c>
      <c r="V20" s="647">
        <f>'6'!AJ11</f>
        <v>56.375005628189804</v>
      </c>
    </row>
    <row r="21" spans="1:30">
      <c r="A21" s="68"/>
      <c r="B21" s="180"/>
      <c r="C21" s="456"/>
      <c r="D21" s="456"/>
      <c r="E21" s="456"/>
      <c r="F21" s="456"/>
      <c r="G21" s="456"/>
      <c r="H21" s="456"/>
      <c r="I21" s="456"/>
      <c r="J21" s="456"/>
      <c r="K21" s="456"/>
      <c r="L21" s="456"/>
      <c r="M21" s="456"/>
      <c r="N21" s="456"/>
      <c r="O21" s="456"/>
      <c r="P21" s="456"/>
      <c r="Q21" s="456"/>
      <c r="R21" s="456"/>
      <c r="S21" s="456"/>
      <c r="T21" s="456"/>
      <c r="U21" s="456"/>
      <c r="V21" s="456"/>
    </row>
    <row r="22" spans="1:30">
      <c r="A22" s="68" t="s">
        <v>489</v>
      </c>
      <c r="B22" s="180" t="s">
        <v>488</v>
      </c>
      <c r="C22" s="646">
        <f t="shared" ref="C22:S22" si="4">C19/C20-1</f>
        <v>-5.5582522803419798E-2</v>
      </c>
      <c r="D22" s="646">
        <f t="shared" si="4"/>
        <v>-5.8799173893750112E-2</v>
      </c>
      <c r="E22" s="646">
        <f t="shared" si="4"/>
        <v>-5.6921378972738745E-2</v>
      </c>
      <c r="F22" s="646">
        <f t="shared" si="4"/>
        <v>-5.3177882946546684E-2</v>
      </c>
      <c r="G22" s="646">
        <f t="shared" si="4"/>
        <v>-2.8559837549679168E-2</v>
      </c>
      <c r="H22" s="646">
        <f t="shared" si="4"/>
        <v>-4.3941107966437354E-2</v>
      </c>
      <c r="I22" s="646">
        <f t="shared" si="4"/>
        <v>-4.2965018927714427E-2</v>
      </c>
      <c r="J22" s="646">
        <f t="shared" si="4"/>
        <v>-3.5950686553011701E-2</v>
      </c>
      <c r="K22" s="646">
        <f t="shared" si="4"/>
        <v>-1.5552004290692145E-2</v>
      </c>
      <c r="L22" s="646">
        <f t="shared" si="4"/>
        <v>-1.3237305551286771E-2</v>
      </c>
      <c r="M22" s="646">
        <f t="shared" si="4"/>
        <v>2.5615008695347719E-3</v>
      </c>
      <c r="N22" s="646">
        <f t="shared" si="4"/>
        <v>-1.2909412431878597E-2</v>
      </c>
      <c r="O22" s="646">
        <f t="shared" si="4"/>
        <v>-5.8157730910630701E-3</v>
      </c>
      <c r="P22" s="646">
        <f t="shared" si="4"/>
        <v>-1.4566561350014329E-2</v>
      </c>
      <c r="Q22" s="646">
        <f t="shared" si="4"/>
        <v>-1.0875230529854063E-2</v>
      </c>
      <c r="R22" s="646">
        <f t="shared" si="4"/>
        <v>-6.9051076472455009E-3</v>
      </c>
      <c r="S22" s="646">
        <f t="shared" si="4"/>
        <v>-3.2228247712791092E-3</v>
      </c>
      <c r="T22" s="646">
        <f>T19/T20-1</f>
        <v>2.2960094566215616E-4</v>
      </c>
      <c r="U22" s="646">
        <f>U19/U20-1</f>
        <v>6.8816232231978525E-3</v>
      </c>
      <c r="V22" s="646">
        <f>V19/V20-1</f>
        <v>1.2754106702812518E-3</v>
      </c>
    </row>
    <row r="23" spans="1:30">
      <c r="A23" s="68" t="s">
        <v>487</v>
      </c>
      <c r="B23" s="180"/>
      <c r="C23" s="646">
        <f t="shared" ref="C23:S23" si="5">(C14-C13)/C13</f>
        <v>0.10597768345554487</v>
      </c>
      <c r="D23" s="646">
        <f t="shared" si="5"/>
        <v>0.11317625631842777</v>
      </c>
      <c r="E23" s="646">
        <f t="shared" si="5"/>
        <v>0.10982403137619338</v>
      </c>
      <c r="F23" s="646">
        <f t="shared" si="5"/>
        <v>0.11003605866169741</v>
      </c>
      <c r="G23" s="646">
        <f t="shared" si="5"/>
        <v>0.1181516119860343</v>
      </c>
      <c r="H23" s="646">
        <f t="shared" si="5"/>
        <v>0.12802992868726523</v>
      </c>
      <c r="I23" s="646">
        <f t="shared" si="5"/>
        <v>0.13968689552753727</v>
      </c>
      <c r="J23" s="646">
        <f t="shared" si="5"/>
        <v>0.13318375183124204</v>
      </c>
      <c r="K23" s="646">
        <f t="shared" si="5"/>
        <v>0.16436135064737661</v>
      </c>
      <c r="L23" s="646">
        <f t="shared" si="5"/>
        <v>0.16547097786028953</v>
      </c>
      <c r="M23" s="646">
        <f t="shared" si="5"/>
        <v>0.1667448586920828</v>
      </c>
      <c r="N23" s="646">
        <f t="shared" si="5"/>
        <v>0.16892609677296572</v>
      </c>
      <c r="O23" s="646">
        <f t="shared" si="5"/>
        <v>0.16343312259698417</v>
      </c>
      <c r="P23" s="646">
        <f t="shared" si="5"/>
        <v>0.172992903926212</v>
      </c>
      <c r="Q23" s="646">
        <f t="shared" si="5"/>
        <v>0.17511057835299709</v>
      </c>
      <c r="R23" s="646">
        <f t="shared" si="5"/>
        <v>0.18654375386000682</v>
      </c>
      <c r="S23" s="646">
        <f t="shared" si="5"/>
        <v>0.17300695280403652</v>
      </c>
      <c r="T23" s="646">
        <f>(T14-T13)/T13</f>
        <v>0.16196026690536738</v>
      </c>
      <c r="U23" s="646">
        <f>(U14-U13)/U13</f>
        <v>0.18118823995458197</v>
      </c>
      <c r="V23" s="646">
        <f>(V14-V13)/V13</f>
        <v>0.20231830034259612</v>
      </c>
    </row>
    <row r="24" spans="1:30">
      <c r="C24" s="630">
        <f t="shared" ref="C24:S24" si="6">C3/C30</f>
        <v>0.6542093524985112</v>
      </c>
      <c r="D24" s="168">
        <f t="shared" si="6"/>
        <v>0.62526429325560184</v>
      </c>
      <c r="E24" s="168">
        <f t="shared" si="6"/>
        <v>0.56727815480567745</v>
      </c>
      <c r="F24" s="168">
        <f t="shared" si="6"/>
        <v>0.53664280284334775</v>
      </c>
      <c r="G24" s="168">
        <f t="shared" si="6"/>
        <v>0.52610438767826873</v>
      </c>
      <c r="H24" s="630">
        <f t="shared" si="6"/>
        <v>0.53235647239706996</v>
      </c>
      <c r="I24" s="168">
        <f t="shared" si="6"/>
        <v>0.50888232061312799</v>
      </c>
      <c r="J24" s="168">
        <f t="shared" si="6"/>
        <v>0.51190214742197448</v>
      </c>
      <c r="K24" s="168">
        <f t="shared" si="6"/>
        <v>0.46237657418382599</v>
      </c>
      <c r="L24" s="168">
        <f t="shared" si="6"/>
        <v>0.42967552267209647</v>
      </c>
      <c r="M24" s="630">
        <f t="shared" si="6"/>
        <v>0.42968534312396633</v>
      </c>
      <c r="N24" s="630">
        <f t="shared" si="6"/>
        <v>0.40157867569266475</v>
      </c>
      <c r="O24" s="630">
        <f t="shared" si="6"/>
        <v>0.40122919835766441</v>
      </c>
      <c r="P24" s="630">
        <f t="shared" si="6"/>
        <v>0.37222042155803786</v>
      </c>
      <c r="Q24" s="630">
        <f t="shared" si="6"/>
        <v>0.36024042818964019</v>
      </c>
      <c r="R24" s="630">
        <f t="shared" si="6"/>
        <v>0.35118746177064508</v>
      </c>
      <c r="S24" s="630">
        <f t="shared" si="6"/>
        <v>0.3646839378351156</v>
      </c>
      <c r="T24" s="630">
        <f t="shared" ref="T24:U27" si="7">T3/T30</f>
        <v>0.38620357641448494</v>
      </c>
      <c r="U24" s="630">
        <f t="shared" si="7"/>
        <v>0.32842178782487935</v>
      </c>
      <c r="V24" s="630">
        <f>V3/V30</f>
        <v>0.2861211153760792</v>
      </c>
    </row>
    <row r="25" spans="1:30">
      <c r="C25" s="630">
        <f t="shared" ref="C25:S25" si="8">C4/C31</f>
        <v>0.61022399102143821</v>
      </c>
      <c r="D25" s="168">
        <f t="shared" si="8"/>
        <v>0.64469051454170667</v>
      </c>
      <c r="E25" s="168">
        <f t="shared" si="8"/>
        <v>0.57867239780761137</v>
      </c>
      <c r="F25" s="168">
        <f t="shared" si="8"/>
        <v>0.50646968417038074</v>
      </c>
      <c r="G25" s="168">
        <f t="shared" si="8"/>
        <v>0.49752509679539109</v>
      </c>
      <c r="H25" s="630">
        <f t="shared" si="8"/>
        <v>0.41533030808696159</v>
      </c>
      <c r="I25" s="168">
        <f t="shared" si="8"/>
        <v>0.44117971773860931</v>
      </c>
      <c r="J25" s="168">
        <f t="shared" si="8"/>
        <v>0.50678411899130515</v>
      </c>
      <c r="K25" s="168">
        <f t="shared" si="8"/>
        <v>0.51387615090523953</v>
      </c>
      <c r="L25" s="168">
        <f t="shared" si="8"/>
        <v>0.56370255038882122</v>
      </c>
      <c r="M25" s="630">
        <f t="shared" si="8"/>
        <v>0.53779056710117124</v>
      </c>
      <c r="N25" s="630">
        <f t="shared" si="8"/>
        <v>0.48105838396858824</v>
      </c>
      <c r="O25" s="630">
        <f t="shared" si="8"/>
        <v>0.41865837452224836</v>
      </c>
      <c r="P25" s="630">
        <f t="shared" si="8"/>
        <v>0.43632278768291061</v>
      </c>
      <c r="Q25" s="630">
        <f t="shared" si="8"/>
        <v>0.39819979188775212</v>
      </c>
      <c r="R25" s="630">
        <f t="shared" si="8"/>
        <v>0.34507507801609777</v>
      </c>
      <c r="S25" s="630">
        <f t="shared" si="8"/>
        <v>0.35129689065735331</v>
      </c>
      <c r="T25" s="630">
        <f t="shared" si="7"/>
        <v>0.41172807459346755</v>
      </c>
      <c r="U25" s="630">
        <f t="shared" si="7"/>
        <v>0.32020784057132762</v>
      </c>
      <c r="V25" s="630">
        <f>V4/V31</f>
        <v>0.1404242236849938</v>
      </c>
    </row>
    <row r="26" spans="1:30">
      <c r="C26" s="630">
        <f t="shared" ref="C26:S26" si="9">C5/C32</f>
        <v>0.22167699911616337</v>
      </c>
      <c r="D26" s="168">
        <f t="shared" si="9"/>
        <v>0.2225499538243654</v>
      </c>
      <c r="E26" s="168">
        <f t="shared" si="9"/>
        <v>0.15685972479154861</v>
      </c>
      <c r="F26" s="168">
        <f t="shared" si="9"/>
        <v>0.15488076261139824</v>
      </c>
      <c r="G26" s="168">
        <f t="shared" si="9"/>
        <v>0.14320429939881837</v>
      </c>
      <c r="H26" s="630">
        <f t="shared" si="9"/>
        <v>0.13098862627908175</v>
      </c>
      <c r="I26" s="168">
        <f t="shared" si="9"/>
        <v>0.14501182350390443</v>
      </c>
      <c r="J26" s="168">
        <f t="shared" si="9"/>
        <v>0.12400376378813675</v>
      </c>
      <c r="K26" s="168">
        <f t="shared" si="9"/>
        <v>9.8097159663799519E-2</v>
      </c>
      <c r="L26" s="168">
        <f t="shared" si="9"/>
        <v>8.5689231828134399E-2</v>
      </c>
      <c r="M26" s="630">
        <f t="shared" si="9"/>
        <v>9.1620921866675378E-2</v>
      </c>
      <c r="N26" s="630">
        <f t="shared" si="9"/>
        <v>8.6363841570036348E-2</v>
      </c>
      <c r="O26" s="630">
        <f t="shared" si="9"/>
        <v>9.1673884974950187E-2</v>
      </c>
      <c r="P26" s="630">
        <f t="shared" si="9"/>
        <v>8.4334954756800404E-2</v>
      </c>
      <c r="Q26" s="630">
        <f t="shared" si="9"/>
        <v>8.4000177033873483E-2</v>
      </c>
      <c r="R26" s="630">
        <f t="shared" si="9"/>
        <v>7.9491563868036519E-2</v>
      </c>
      <c r="S26" s="630">
        <f t="shared" si="9"/>
        <v>8.6480162498609667E-2</v>
      </c>
      <c r="T26" s="630">
        <f t="shared" si="7"/>
        <v>8.9990944270659304E-2</v>
      </c>
      <c r="U26" s="630">
        <f t="shared" si="7"/>
        <v>7.0616630326997581E-2</v>
      </c>
      <c r="V26" s="630">
        <f>V5/V32</f>
        <v>6.6266193900108197E-2</v>
      </c>
    </row>
    <row r="27" spans="1:30">
      <c r="C27" s="630">
        <f t="shared" ref="C27:S27" si="10">C6/C33</f>
        <v>0.79082050078807908</v>
      </c>
      <c r="D27" s="168">
        <f t="shared" si="10"/>
        <v>0.78179184654796152</v>
      </c>
      <c r="E27" s="168">
        <f t="shared" si="10"/>
        <v>0.76337415088819971</v>
      </c>
      <c r="F27" s="168">
        <f t="shared" si="10"/>
        <v>0.76531411101359048</v>
      </c>
      <c r="G27" s="168">
        <f t="shared" si="10"/>
        <v>0.73917060453544081</v>
      </c>
      <c r="H27" s="630">
        <f t="shared" si="10"/>
        <v>0.71809834859890365</v>
      </c>
      <c r="I27" s="168">
        <f t="shared" si="10"/>
        <v>0.69263076680836266</v>
      </c>
      <c r="J27" s="168">
        <f t="shared" si="10"/>
        <v>0.67441295683736979</v>
      </c>
      <c r="K27" s="168">
        <f t="shared" si="10"/>
        <v>0.61391158584776695</v>
      </c>
      <c r="L27" s="168">
        <f t="shared" si="10"/>
        <v>0.58121836507410873</v>
      </c>
      <c r="M27" s="630">
        <f t="shared" si="10"/>
        <v>0.61704078776046967</v>
      </c>
      <c r="N27" s="630">
        <f t="shared" si="10"/>
        <v>0.60978808282278152</v>
      </c>
      <c r="O27" s="630">
        <f t="shared" si="10"/>
        <v>0.62994990834319819</v>
      </c>
      <c r="P27" s="630">
        <f t="shared" si="10"/>
        <v>0.61364484236058969</v>
      </c>
      <c r="Q27" s="630">
        <f t="shared" si="10"/>
        <v>0.61655941700419536</v>
      </c>
      <c r="R27" s="630">
        <f t="shared" si="10"/>
        <v>0.61168976540465614</v>
      </c>
      <c r="S27" s="630">
        <f t="shared" si="10"/>
        <v>0.63693899047149527</v>
      </c>
      <c r="T27" s="630">
        <f t="shared" si="7"/>
        <v>0.65047902757489673</v>
      </c>
      <c r="U27" s="630">
        <f t="shared" si="7"/>
        <v>0.60222764735751633</v>
      </c>
      <c r="V27" s="630">
        <f>V6/V33</f>
        <v>0.59168129460344387</v>
      </c>
    </row>
    <row r="28" spans="1:30">
      <c r="C28" s="630">
        <f t="shared" ref="C28:S28" si="11">C10/C37</f>
        <v>0.5914207311783557</v>
      </c>
      <c r="D28" s="168">
        <f t="shared" si="11"/>
        <v>0.58120064322638687</v>
      </c>
      <c r="E28" s="168">
        <f t="shared" si="11"/>
        <v>0.56153904136598032</v>
      </c>
      <c r="F28" s="168">
        <f t="shared" si="11"/>
        <v>0.57701222970897859</v>
      </c>
      <c r="G28" s="168">
        <f t="shared" si="11"/>
        <v>0.57012787555695188</v>
      </c>
      <c r="H28" s="630">
        <f t="shared" si="11"/>
        <v>0.57931613037528762</v>
      </c>
      <c r="I28" s="168">
        <f t="shared" si="11"/>
        <v>0.60907984678078997</v>
      </c>
      <c r="J28" s="168">
        <f t="shared" si="11"/>
        <v>0.46806723229883229</v>
      </c>
      <c r="K28" s="168">
        <f t="shared" si="11"/>
        <v>0.52912569553378341</v>
      </c>
      <c r="L28" s="168">
        <f t="shared" si="11"/>
        <v>0.5418623685503805</v>
      </c>
      <c r="M28" s="630">
        <f t="shared" si="11"/>
        <v>0.5410536133272924</v>
      </c>
      <c r="N28" s="630">
        <f t="shared" si="11"/>
        <v>0.52833600725122787</v>
      </c>
      <c r="O28" s="630">
        <f t="shared" si="11"/>
        <v>0.51938735403464009</v>
      </c>
      <c r="P28" s="630">
        <f t="shared" si="11"/>
        <v>0.48772963368205152</v>
      </c>
      <c r="Q28" s="630">
        <f t="shared" si="11"/>
        <v>0.4777269374460178</v>
      </c>
      <c r="R28" s="630">
        <f t="shared" si="11"/>
        <v>0.4828382812542113</v>
      </c>
      <c r="S28" s="630">
        <f t="shared" si="11"/>
        <v>0.48256548455026166</v>
      </c>
      <c r="T28" s="630">
        <f>T10/T37</f>
        <v>0.50919744996927296</v>
      </c>
      <c r="U28" s="630">
        <f>U10/U37</f>
        <v>0.40600520913412624</v>
      </c>
      <c r="V28" s="630">
        <f>V10/V37</f>
        <v>0.33610923851534041</v>
      </c>
    </row>
    <row r="29" spans="1:30">
      <c r="A29" s="68" t="s">
        <v>486</v>
      </c>
      <c r="C29" s="68">
        <f t="shared" ref="C29:K29" si="12">D29-1</f>
        <v>2005</v>
      </c>
      <c r="D29" s="68">
        <f t="shared" si="12"/>
        <v>2006</v>
      </c>
      <c r="E29" s="68">
        <f t="shared" si="12"/>
        <v>2007</v>
      </c>
      <c r="F29" s="68">
        <f t="shared" si="12"/>
        <v>2008</v>
      </c>
      <c r="G29" s="68">
        <f t="shared" si="12"/>
        <v>2009</v>
      </c>
      <c r="H29" s="68">
        <f t="shared" si="12"/>
        <v>2010</v>
      </c>
      <c r="I29" s="68">
        <f t="shared" si="12"/>
        <v>2011</v>
      </c>
      <c r="J29" s="68">
        <f t="shared" si="12"/>
        <v>2012</v>
      </c>
      <c r="K29" s="68">
        <f t="shared" si="12"/>
        <v>2013</v>
      </c>
      <c r="L29" s="68">
        <v>2014</v>
      </c>
      <c r="M29" s="68">
        <v>2015</v>
      </c>
      <c r="N29" s="68">
        <v>2016</v>
      </c>
      <c r="O29" s="68">
        <v>2017</v>
      </c>
      <c r="P29" s="68">
        <v>2018</v>
      </c>
      <c r="Q29" s="68">
        <f t="shared" ref="Q29:V29" si="13">P29+1</f>
        <v>2019</v>
      </c>
      <c r="R29" s="68">
        <f t="shared" si="13"/>
        <v>2020</v>
      </c>
      <c r="S29" s="68">
        <f t="shared" si="13"/>
        <v>2021</v>
      </c>
      <c r="T29" s="68">
        <f t="shared" si="13"/>
        <v>2022</v>
      </c>
      <c r="U29" s="68">
        <f t="shared" si="13"/>
        <v>2023</v>
      </c>
      <c r="V29" s="68">
        <f t="shared" si="13"/>
        <v>2024</v>
      </c>
      <c r="Y29" s="226"/>
      <c r="AB29" s="68"/>
      <c r="AC29" s="68"/>
      <c r="AD29" s="68"/>
    </row>
    <row r="30" spans="1:30">
      <c r="A30" s="165" t="s">
        <v>478</v>
      </c>
      <c r="B30" s="615" t="s">
        <v>481</v>
      </c>
      <c r="C30" s="630">
        <v>129125.11144410378</v>
      </c>
      <c r="D30" s="168">
        <v>126551.43793543748</v>
      </c>
      <c r="E30" s="168">
        <v>121233.16366374263</v>
      </c>
      <c r="F30" s="168">
        <v>110906.83313172574</v>
      </c>
      <c r="G30" s="168">
        <v>96169.733044147943</v>
      </c>
      <c r="H30" s="630">
        <v>102217.63149534843</v>
      </c>
      <c r="I30" s="168">
        <v>99075.784105559811</v>
      </c>
      <c r="J30" s="168">
        <v>98775.449501727562</v>
      </c>
      <c r="K30" s="168">
        <v>93094.539123662878</v>
      </c>
      <c r="L30" s="168">
        <v>86030.941874451833</v>
      </c>
      <c r="M30" s="630">
        <v>86271.414771999946</v>
      </c>
      <c r="N30" s="630">
        <v>82940.045425267715</v>
      </c>
      <c r="O30" s="630">
        <v>80570.357057719215</v>
      </c>
      <c r="P30" s="630">
        <v>75892.443953213486</v>
      </c>
      <c r="Q30" s="630">
        <v>74068.79256593516</v>
      </c>
      <c r="R30" s="630">
        <v>67904.307017653453</v>
      </c>
      <c r="S30" s="630">
        <v>68744.022734886443</v>
      </c>
      <c r="T30" s="630">
        <v>70429.615988152276</v>
      </c>
      <c r="U30" s="630">
        <v>62009.247707673276</v>
      </c>
      <c r="V30" s="630">
        <v>55597.342568359862</v>
      </c>
      <c r="W30" s="169"/>
      <c r="X30" s="169"/>
      <c r="Y30" s="645"/>
      <c r="Z30" s="635"/>
      <c r="AA30" s="635"/>
      <c r="AD30" s="632"/>
    </row>
    <row r="31" spans="1:30">
      <c r="A31" s="165" t="s">
        <v>477</v>
      </c>
      <c r="B31" s="615" t="s">
        <v>481</v>
      </c>
      <c r="C31" s="630">
        <v>183906.35234145913</v>
      </c>
      <c r="D31" s="168">
        <v>179500.05217970931</v>
      </c>
      <c r="E31" s="168">
        <v>140955.80648918095</v>
      </c>
      <c r="F31" s="168">
        <v>114481.64186761974</v>
      </c>
      <c r="G31" s="168">
        <v>91071.064538949169</v>
      </c>
      <c r="H31" s="630">
        <v>78945.477955774943</v>
      </c>
      <c r="I31" s="168">
        <v>66453.485410671274</v>
      </c>
      <c r="J31" s="168">
        <v>65865.323959410234</v>
      </c>
      <c r="K31" s="168">
        <v>47321.915759704258</v>
      </c>
      <c r="L31" s="168">
        <v>33680.346684754113</v>
      </c>
      <c r="M31" s="630">
        <v>32517.988367917507</v>
      </c>
      <c r="N31" s="630">
        <v>25029.90959347818</v>
      </c>
      <c r="O31" s="630">
        <v>22478.726709369235</v>
      </c>
      <c r="P31" s="630">
        <v>20302.974556885667</v>
      </c>
      <c r="Q31" s="630">
        <v>16841.741992455914</v>
      </c>
      <c r="R31" s="630">
        <v>14422.008128949172</v>
      </c>
      <c r="S31" s="630">
        <v>13438.821966591862</v>
      </c>
      <c r="T31" s="630">
        <v>16825.403079027375</v>
      </c>
      <c r="U31" s="630">
        <v>13089.882035763821</v>
      </c>
      <c r="V31" s="630">
        <v>10030.234581537879</v>
      </c>
      <c r="W31" s="169"/>
      <c r="X31" s="169"/>
      <c r="Y31" s="645"/>
      <c r="Z31" s="635"/>
      <c r="AA31" s="635"/>
      <c r="AD31" s="632"/>
    </row>
    <row r="32" spans="1:30">
      <c r="A32" t="s">
        <v>476</v>
      </c>
      <c r="B32" s="615" t="s">
        <v>481</v>
      </c>
      <c r="C32" s="630">
        <v>17857.022396451099</v>
      </c>
      <c r="D32" s="168">
        <v>18283.811456947391</v>
      </c>
      <c r="E32" s="168">
        <v>25318.743713696054</v>
      </c>
      <c r="F32" s="168">
        <v>25198.835761281032</v>
      </c>
      <c r="G32" s="168">
        <v>23347.653740733025</v>
      </c>
      <c r="H32" s="630">
        <v>25056.33074993729</v>
      </c>
      <c r="I32" s="168">
        <v>21478.689094193676</v>
      </c>
      <c r="J32" s="168">
        <v>23753.513499276691</v>
      </c>
      <c r="K32" s="168">
        <v>25459.247834011807</v>
      </c>
      <c r="L32" s="168">
        <v>26111.049254746773</v>
      </c>
      <c r="M32" s="630">
        <v>27461.421723208136</v>
      </c>
      <c r="N32" s="630">
        <v>29889.803654970354</v>
      </c>
      <c r="O32" s="630">
        <v>29986.5595003339</v>
      </c>
      <c r="P32" s="630">
        <v>29665.916686451896</v>
      </c>
      <c r="Q32" s="630">
        <v>30724.069769848393</v>
      </c>
      <c r="R32" s="630">
        <v>30200.557630924006</v>
      </c>
      <c r="S32" s="630">
        <v>29390.876385075837</v>
      </c>
      <c r="T32" s="630">
        <v>28901.966011222044</v>
      </c>
      <c r="U32" s="630">
        <v>28907.600830260399</v>
      </c>
      <c r="V32" s="630">
        <v>28400.098098359431</v>
      </c>
      <c r="W32" s="169"/>
      <c r="X32" s="169"/>
      <c r="Y32" s="645"/>
      <c r="Z32" s="635"/>
      <c r="AA32" s="635"/>
      <c r="AD32" s="632"/>
    </row>
    <row r="33" spans="1:42">
      <c r="A33" t="s">
        <v>475</v>
      </c>
      <c r="B33" s="615" t="s">
        <v>481</v>
      </c>
      <c r="C33" s="630">
        <v>36970.470131027425</v>
      </c>
      <c r="D33" s="168">
        <v>38640.728890527142</v>
      </c>
      <c r="E33" s="168">
        <v>39703.990440760594</v>
      </c>
      <c r="F33" s="168">
        <v>39259.386361910103</v>
      </c>
      <c r="G33" s="168">
        <v>34886.557409880625</v>
      </c>
      <c r="H33" s="630">
        <v>35883.923786052779</v>
      </c>
      <c r="I33" s="168">
        <v>35420.337400520097</v>
      </c>
      <c r="J33" s="168">
        <v>34433.330751257658</v>
      </c>
      <c r="K33" s="168">
        <v>32121.669850189763</v>
      </c>
      <c r="L33" s="168">
        <v>30397.389549995765</v>
      </c>
      <c r="M33" s="630">
        <v>32146.669189056956</v>
      </c>
      <c r="N33" s="630">
        <v>33606.310041226541</v>
      </c>
      <c r="O33" s="630">
        <v>34658.055341082509</v>
      </c>
      <c r="P33" s="630">
        <v>32458.366558748789</v>
      </c>
      <c r="Q33" s="630">
        <v>33327.747720442225</v>
      </c>
      <c r="R33" s="630">
        <v>31246.766120029093</v>
      </c>
      <c r="S33" s="630">
        <v>31658.411455148129</v>
      </c>
      <c r="T33" s="630">
        <v>31645.600242279877</v>
      </c>
      <c r="U33" s="630">
        <v>26900.412246632171</v>
      </c>
      <c r="V33" s="630">
        <v>25343.544200680262</v>
      </c>
      <c r="W33" s="169"/>
      <c r="X33" s="169"/>
      <c r="Y33" s="645"/>
      <c r="Z33" s="635"/>
      <c r="AA33" s="635"/>
      <c r="AD33" s="632"/>
    </row>
    <row r="34" spans="1:42">
      <c r="A34" t="s">
        <v>474</v>
      </c>
      <c r="B34" s="615" t="s">
        <v>481</v>
      </c>
      <c r="C34" s="630">
        <v>6367.77432283904</v>
      </c>
      <c r="D34" s="168">
        <v>6749.7442773448929</v>
      </c>
      <c r="E34" s="168">
        <v>6763.6398708475617</v>
      </c>
      <c r="F34" s="168">
        <v>6780.2102493985012</v>
      </c>
      <c r="G34" s="168">
        <v>6662.7648097861675</v>
      </c>
      <c r="H34" s="630">
        <v>6896.0957157753355</v>
      </c>
      <c r="I34" s="168">
        <v>7819.9180826151542</v>
      </c>
      <c r="J34" s="168">
        <v>8111.5576733414346</v>
      </c>
      <c r="K34" s="168">
        <v>9135.3950544393538</v>
      </c>
      <c r="L34" s="168">
        <v>9311.0015365561921</v>
      </c>
      <c r="M34" s="630">
        <v>8997.2986147622651</v>
      </c>
      <c r="N34" s="630">
        <v>9273.9597917683659</v>
      </c>
      <c r="O34" s="630">
        <v>9204.6890458267826</v>
      </c>
      <c r="P34" s="630">
        <v>8925.6784754379387</v>
      </c>
      <c r="Q34" s="630">
        <v>9004.8347573121355</v>
      </c>
      <c r="R34" s="630">
        <v>8680.6919286517495</v>
      </c>
      <c r="S34" s="630">
        <v>8484.7852494758608</v>
      </c>
      <c r="T34" s="630">
        <v>8266.3497600712817</v>
      </c>
      <c r="U34" s="630">
        <v>7250.3456845732853</v>
      </c>
      <c r="V34" s="630">
        <v>7274.3728237539626</v>
      </c>
      <c r="W34" s="169"/>
      <c r="X34" s="169"/>
      <c r="Y34" s="635"/>
      <c r="Z34" s="635"/>
      <c r="AA34" s="635"/>
      <c r="AD34" s="632"/>
    </row>
    <row r="35" spans="1:42">
      <c r="A35" t="s">
        <v>473</v>
      </c>
      <c r="B35" s="615" t="s">
        <v>481</v>
      </c>
      <c r="C35" s="630">
        <v>1642.1002903352685</v>
      </c>
      <c r="D35" s="168">
        <v>1712.0289530968892</v>
      </c>
      <c r="E35" s="168">
        <v>1762.2553209367966</v>
      </c>
      <c r="F35" s="168">
        <v>1740.0321003103395</v>
      </c>
      <c r="G35" s="168">
        <v>1618.9938841571318</v>
      </c>
      <c r="H35" s="630">
        <v>1723.5642285101526</v>
      </c>
      <c r="I35" s="168">
        <v>1814.9413899024955</v>
      </c>
      <c r="J35" s="168">
        <v>1918.2368553847634</v>
      </c>
      <c r="K35" s="168">
        <v>1937.5417856911936</v>
      </c>
      <c r="L35" s="168">
        <v>1954.1943814608226</v>
      </c>
      <c r="M35" s="630">
        <v>1890.7083609639801</v>
      </c>
      <c r="N35" s="630">
        <v>1872.3787273716484</v>
      </c>
      <c r="O35" s="630">
        <v>1763.5276176235855</v>
      </c>
      <c r="P35" s="630">
        <v>1694.4692517930923</v>
      </c>
      <c r="Q35" s="630">
        <v>1568.8764630620437</v>
      </c>
      <c r="R35" s="630">
        <v>1479.4328768247117</v>
      </c>
      <c r="S35" s="630">
        <v>1407.3726668681131</v>
      </c>
      <c r="T35" s="630">
        <v>1505.9922830276348</v>
      </c>
      <c r="U35" s="630">
        <v>1276.0268174307887</v>
      </c>
      <c r="V35" s="630">
        <v>1146.2301027988112</v>
      </c>
      <c r="W35" s="169"/>
      <c r="X35" s="169"/>
      <c r="Y35" s="635"/>
      <c r="Z35" s="635"/>
      <c r="AA35" s="635"/>
      <c r="AD35" s="632"/>
    </row>
    <row r="36" spans="1:42">
      <c r="A36" t="s">
        <v>472</v>
      </c>
      <c r="B36" s="615" t="s">
        <v>481</v>
      </c>
      <c r="C36" s="630">
        <v>231.81134721780091</v>
      </c>
      <c r="D36" s="168">
        <v>239.71034773723298</v>
      </c>
      <c r="E36" s="168">
        <v>242.65967190801774</v>
      </c>
      <c r="F36" s="168">
        <v>240.65814890509156</v>
      </c>
      <c r="G36" s="168">
        <v>222.04484811078942</v>
      </c>
      <c r="H36" s="630">
        <v>229.17479528794456</v>
      </c>
      <c r="I36" s="168">
        <v>246.47841236010021</v>
      </c>
      <c r="J36" s="168">
        <v>266.31505291696851</v>
      </c>
      <c r="K36" s="168">
        <v>250.1249566417352</v>
      </c>
      <c r="L36" s="168">
        <v>243.55033523218302</v>
      </c>
      <c r="M36" s="630">
        <v>240.98275684989801</v>
      </c>
      <c r="N36" s="630">
        <v>210.65575728247626</v>
      </c>
      <c r="O36" s="630">
        <v>191.50587730802073</v>
      </c>
      <c r="P36" s="630">
        <v>172.30512333715694</v>
      </c>
      <c r="Q36" s="630">
        <v>130.93780378260922</v>
      </c>
      <c r="R36" s="630">
        <v>107.19569274299928</v>
      </c>
      <c r="S36" s="630">
        <v>102.69301315338163</v>
      </c>
      <c r="T36" s="630">
        <v>140.769648001852</v>
      </c>
      <c r="U36" s="630">
        <v>95.674641864038591</v>
      </c>
      <c r="V36" s="630">
        <v>50.354212405943514</v>
      </c>
      <c r="W36" s="169"/>
      <c r="X36" s="169"/>
      <c r="Y36" s="635"/>
      <c r="Z36" s="635"/>
      <c r="AA36" s="635"/>
      <c r="AD36" s="632"/>
    </row>
    <row r="37" spans="1:42">
      <c r="A37" s="165" t="s">
        <v>471</v>
      </c>
      <c r="B37" s="615" t="s">
        <v>481</v>
      </c>
      <c r="C37" s="630">
        <v>5926.8176024470777</v>
      </c>
      <c r="D37" s="168">
        <v>5536.3158549476193</v>
      </c>
      <c r="E37" s="168">
        <v>4182.3867567372381</v>
      </c>
      <c r="F37" s="168">
        <v>3502.0407485053715</v>
      </c>
      <c r="G37" s="168">
        <v>2959.6558132312548</v>
      </c>
      <c r="H37" s="630">
        <v>2865.3246418921908</v>
      </c>
      <c r="I37" s="168">
        <v>1817.6311686838615</v>
      </c>
      <c r="J37" s="168">
        <v>2048.7107577227089</v>
      </c>
      <c r="K37" s="168">
        <v>1706.352955690717</v>
      </c>
      <c r="L37" s="168">
        <v>1521.4842910041173</v>
      </c>
      <c r="M37" s="630">
        <v>1422.3569546627475</v>
      </c>
      <c r="N37" s="630">
        <v>1255.3363125030855</v>
      </c>
      <c r="O37" s="630">
        <v>1192.8483793062917</v>
      </c>
      <c r="P37" s="630">
        <v>1030.8380301382217</v>
      </c>
      <c r="Q37" s="630">
        <v>956.01141439973469</v>
      </c>
      <c r="R37" s="630">
        <v>820.7113879139622</v>
      </c>
      <c r="S37" s="630">
        <v>851.39076085688578</v>
      </c>
      <c r="T37" s="630">
        <v>913.36682994481396</v>
      </c>
      <c r="U37" s="630">
        <v>744.80855331027169</v>
      </c>
      <c r="V37" s="630">
        <v>597.66051966916393</v>
      </c>
      <c r="W37" s="169"/>
      <c r="X37" s="169"/>
      <c r="Y37" s="635"/>
      <c r="Z37" s="635"/>
      <c r="AA37" s="635"/>
      <c r="AB37" s="147"/>
      <c r="AC37" s="147"/>
      <c r="AD37" s="644"/>
    </row>
    <row r="39" spans="1:42" ht="15" thickBot="1">
      <c r="AE39" t="s">
        <v>485</v>
      </c>
      <c r="AI39" t="s">
        <v>484</v>
      </c>
      <c r="AM39" t="s">
        <v>483</v>
      </c>
    </row>
    <row r="40" spans="1:42">
      <c r="A40" s="68" t="s">
        <v>482</v>
      </c>
      <c r="AE40" s="643">
        <v>2005</v>
      </c>
      <c r="AF40" s="642">
        <v>2010</v>
      </c>
      <c r="AG40" s="641">
        <v>2014</v>
      </c>
      <c r="AH40" s="640">
        <v>2015</v>
      </c>
      <c r="AI40" s="643">
        <v>2005</v>
      </c>
      <c r="AJ40" s="642">
        <v>2010</v>
      </c>
      <c r="AK40" s="641">
        <v>2014</v>
      </c>
      <c r="AL40" s="640">
        <v>2015</v>
      </c>
      <c r="AM40" s="643">
        <v>2005</v>
      </c>
      <c r="AN40" s="642">
        <v>2010</v>
      </c>
      <c r="AO40" s="641">
        <v>2014</v>
      </c>
      <c r="AP40" s="640">
        <v>2015</v>
      </c>
    </row>
    <row r="41" spans="1:42">
      <c r="A41" s="165" t="s">
        <v>478</v>
      </c>
      <c r="B41" s="615" t="s">
        <v>481</v>
      </c>
      <c r="C41" s="630">
        <f t="shared" ref="C41:S41" si="14">C30/C$14*C$13</f>
        <v>116752.00447143019</v>
      </c>
      <c r="D41" s="168">
        <f t="shared" si="14"/>
        <v>113684.99572024381</v>
      </c>
      <c r="E41" s="168">
        <f t="shared" si="14"/>
        <v>109236.38363949665</v>
      </c>
      <c r="F41" s="168">
        <f t="shared" si="14"/>
        <v>99912.82018841742</v>
      </c>
      <c r="G41" s="168">
        <f t="shared" si="14"/>
        <v>86007.775701663166</v>
      </c>
      <c r="H41" s="630">
        <f t="shared" si="14"/>
        <v>90616.063364828689</v>
      </c>
      <c r="I41" s="168">
        <f t="shared" si="14"/>
        <v>86932.458813347766</v>
      </c>
      <c r="J41" s="168">
        <f t="shared" si="14"/>
        <v>87166.312914480935</v>
      </c>
      <c r="K41" s="168">
        <f t="shared" si="14"/>
        <v>79953.305794548214</v>
      </c>
      <c r="L41" s="168">
        <f t="shared" si="14"/>
        <v>73816.46004810663</v>
      </c>
      <c r="M41" s="630">
        <f t="shared" si="14"/>
        <v>73941.971228148308</v>
      </c>
      <c r="N41" s="630">
        <f t="shared" si="14"/>
        <v>70954.054028085171</v>
      </c>
      <c r="O41" s="630">
        <f t="shared" si="14"/>
        <v>69252.24621237551</v>
      </c>
      <c r="P41" s="630">
        <f t="shared" si="14"/>
        <v>64699.832112528755</v>
      </c>
      <c r="Q41" s="630">
        <f t="shared" si="14"/>
        <v>63031.338437739163</v>
      </c>
      <c r="R41" s="630">
        <f t="shared" si="14"/>
        <v>57228.658274716327</v>
      </c>
      <c r="S41" s="630">
        <f t="shared" si="14"/>
        <v>58604.957601108843</v>
      </c>
      <c r="T41" s="630">
        <f t="shared" ref="T41:U48" si="15">T30/T$14*T$13</f>
        <v>60612.757590865389</v>
      </c>
      <c r="U41" s="630">
        <f t="shared" si="15"/>
        <v>52497.345986155095</v>
      </c>
      <c r="V41" s="630">
        <f t="shared" ref="V41:V48" si="16">V30/V$14*V$13</f>
        <v>46241.783521483128</v>
      </c>
      <c r="AE41" s="639">
        <f>AM41-C41/1000</f>
        <v>14.247995528569803</v>
      </c>
      <c r="AF41" s="170">
        <f>AN41-H41/1000</f>
        <v>-2.6160633648286904</v>
      </c>
      <c r="AG41" s="638">
        <f>AO41-L41/1000</f>
        <v>19.557291601831196</v>
      </c>
      <c r="AH41" s="637">
        <f>AP41-M41/1000</f>
        <v>-3.6419712281483072</v>
      </c>
      <c r="AI41" s="636">
        <f t="shared" ref="AI41:AL42" si="17">(AE41)/AM41</f>
        <v>0.10876332464557101</v>
      </c>
      <c r="AJ41" s="635">
        <f t="shared" si="17"/>
        <v>-2.9727992782144209E-2</v>
      </c>
      <c r="AK41" s="635">
        <f t="shared" si="17"/>
        <v>0.20945170624772919</v>
      </c>
      <c r="AL41" s="634">
        <f t="shared" si="17"/>
        <v>-5.1806134113062695E-2</v>
      </c>
      <c r="AM41" s="633">
        <v>131</v>
      </c>
      <c r="AN41">
        <v>88</v>
      </c>
      <c r="AO41" s="632">
        <v>93.37375164993783</v>
      </c>
      <c r="AP41" s="637">
        <v>70.3</v>
      </c>
    </row>
    <row r="42" spans="1:42">
      <c r="A42" s="165" t="s">
        <v>477</v>
      </c>
      <c r="B42" s="615" t="s">
        <v>481</v>
      </c>
      <c r="C42" s="630">
        <f t="shared" ref="C42:S42" si="18">C31/C$14*C$13</f>
        <v>166283.96313283415</v>
      </c>
      <c r="D42" s="168">
        <f t="shared" si="18"/>
        <v>161250.34212763762</v>
      </c>
      <c r="E42" s="168">
        <f t="shared" si="18"/>
        <v>127007.34756517597</v>
      </c>
      <c r="F42" s="168">
        <f t="shared" si="18"/>
        <v>103133.26398211176</v>
      </c>
      <c r="G42" s="168">
        <f t="shared" si="18"/>
        <v>81447.867679760267</v>
      </c>
      <c r="H42" s="630">
        <f t="shared" si="18"/>
        <v>69985.26896147785</v>
      </c>
      <c r="I42" s="168">
        <f t="shared" si="18"/>
        <v>58308.545681672811</v>
      </c>
      <c r="J42" s="168">
        <f t="shared" si="18"/>
        <v>58124.133754098468</v>
      </c>
      <c r="K42" s="168">
        <f t="shared" si="18"/>
        <v>40641.949969735433</v>
      </c>
      <c r="L42" s="168">
        <f t="shared" si="18"/>
        <v>28898.485955084449</v>
      </c>
      <c r="M42" s="630">
        <f t="shared" si="18"/>
        <v>27870.693515950064</v>
      </c>
      <c r="N42" s="630">
        <f t="shared" si="18"/>
        <v>21412.739147990473</v>
      </c>
      <c r="O42" s="630">
        <f t="shared" si="18"/>
        <v>19321.030382212968</v>
      </c>
      <c r="P42" s="630">
        <f t="shared" si="18"/>
        <v>17308.693419140105</v>
      </c>
      <c r="Q42" s="630">
        <f t="shared" si="18"/>
        <v>14332.048662229592</v>
      </c>
      <c r="R42" s="630">
        <f t="shared" si="18"/>
        <v>12154.636592230325</v>
      </c>
      <c r="S42" s="630">
        <f t="shared" si="18"/>
        <v>11456.728312195233</v>
      </c>
      <c r="T42" s="630">
        <f t="shared" si="15"/>
        <v>14480.187970487354</v>
      </c>
      <c r="U42" s="630">
        <f t="shared" si="15"/>
        <v>11081.961022797808</v>
      </c>
      <c r="V42" s="630">
        <f t="shared" si="16"/>
        <v>8342.4119708398375</v>
      </c>
      <c r="AE42" s="639">
        <f>AM42-C42/1000</f>
        <v>-3.2839631328341454</v>
      </c>
      <c r="AF42" s="170">
        <f>AN42-H42/1000</f>
        <v>-1.9852689614778569</v>
      </c>
      <c r="AG42" s="638">
        <f>AO42-L42/1000</f>
        <v>8.5233763023739861</v>
      </c>
      <c r="AH42" s="637">
        <f>AP42-M42/1000</f>
        <v>-1.2006935159500642</v>
      </c>
      <c r="AI42" s="636">
        <f t="shared" si="17"/>
        <v>-2.0147013084872059E-2</v>
      </c>
      <c r="AJ42" s="635">
        <f t="shared" si="17"/>
        <v>-2.9195131786439073E-2</v>
      </c>
      <c r="AK42" s="635">
        <f t="shared" si="17"/>
        <v>0.22776462175329659</v>
      </c>
      <c r="AL42" s="634">
        <f t="shared" si="17"/>
        <v>-4.5020379300714813E-2</v>
      </c>
      <c r="AM42" s="633">
        <v>163</v>
      </c>
      <c r="AN42">
        <v>68</v>
      </c>
      <c r="AO42" s="632">
        <v>37.421862257458436</v>
      </c>
      <c r="AP42" s="637">
        <v>26.67</v>
      </c>
    </row>
    <row r="43" spans="1:42">
      <c r="A43" t="s">
        <v>476</v>
      </c>
      <c r="B43" s="615" t="s">
        <v>481</v>
      </c>
      <c r="C43" s="630">
        <f t="shared" ref="C43:S43" si="19">C32/C$14*C$13</f>
        <v>16145.915657771831</v>
      </c>
      <c r="D43" s="168">
        <f t="shared" si="19"/>
        <v>16424.902483472706</v>
      </c>
      <c r="E43" s="168">
        <f t="shared" si="19"/>
        <v>22813.295619757439</v>
      </c>
      <c r="F43" s="168">
        <f t="shared" si="19"/>
        <v>22700.916393348271</v>
      </c>
      <c r="G43" s="168">
        <f t="shared" si="19"/>
        <v>20880.579601601145</v>
      </c>
      <c r="H43" s="630">
        <f t="shared" si="19"/>
        <v>22212.469822583851</v>
      </c>
      <c r="I43" s="168">
        <f t="shared" si="19"/>
        <v>18846.13149320423</v>
      </c>
      <c r="J43" s="168">
        <f t="shared" si="19"/>
        <v>20961.749108113007</v>
      </c>
      <c r="K43" s="168">
        <f t="shared" si="19"/>
        <v>21865.41817096269</v>
      </c>
      <c r="L43" s="168">
        <f t="shared" si="19"/>
        <v>22403.86054287216</v>
      </c>
      <c r="M43" s="630">
        <f t="shared" si="19"/>
        <v>23536.784000910277</v>
      </c>
      <c r="N43" s="630">
        <f t="shared" si="19"/>
        <v>25570.310849836122</v>
      </c>
      <c r="O43" s="630">
        <f t="shared" si="19"/>
        <v>25774.201299511493</v>
      </c>
      <c r="P43" s="630">
        <f t="shared" si="19"/>
        <v>25290.789558193312</v>
      </c>
      <c r="Q43" s="630">
        <f t="shared" si="19"/>
        <v>26145.683934622062</v>
      </c>
      <c r="R43" s="630">
        <f t="shared" si="19"/>
        <v>25452.544444886258</v>
      </c>
      <c r="S43" s="630">
        <f t="shared" si="19"/>
        <v>25056.012084854112</v>
      </c>
      <c r="T43" s="630">
        <f t="shared" si="15"/>
        <v>24873.454656239021</v>
      </c>
      <c r="U43" s="630">
        <f t="shared" si="15"/>
        <v>24473.322585206173</v>
      </c>
      <c r="V43" s="630">
        <f t="shared" si="16"/>
        <v>23621.114383992099</v>
      </c>
      <c r="AE43" s="639"/>
      <c r="AF43" s="170"/>
      <c r="AG43" s="638"/>
      <c r="AH43" s="637"/>
      <c r="AI43" s="636"/>
      <c r="AJ43" s="635"/>
      <c r="AK43" s="635"/>
      <c r="AL43" s="634"/>
      <c r="AM43" s="633"/>
      <c r="AO43" s="632"/>
      <c r="AP43" s="631"/>
    </row>
    <row r="44" spans="1:42">
      <c r="A44" t="s">
        <v>475</v>
      </c>
      <c r="B44" s="615" t="s">
        <v>481</v>
      </c>
      <c r="C44" s="630">
        <f t="shared" ref="C44:S44" si="20">C33/C$14*C$13</f>
        <v>33427.862681203427</v>
      </c>
      <c r="D44" s="168">
        <f t="shared" si="20"/>
        <v>34712.138954816</v>
      </c>
      <c r="E44" s="168">
        <f t="shared" si="20"/>
        <v>35775.032183730276</v>
      </c>
      <c r="F44" s="168">
        <f t="shared" si="20"/>
        <v>35367.667613647383</v>
      </c>
      <c r="G44" s="168">
        <f t="shared" si="20"/>
        <v>31200.203117282061</v>
      </c>
      <c r="H44" s="630">
        <f t="shared" si="20"/>
        <v>31811.145142055204</v>
      </c>
      <c r="I44" s="168">
        <f t="shared" si="20"/>
        <v>31079.007348000403</v>
      </c>
      <c r="J44" s="168">
        <f t="shared" si="20"/>
        <v>30386.361166591803</v>
      </c>
      <c r="K44" s="168">
        <f t="shared" si="20"/>
        <v>27587.372109466141</v>
      </c>
      <c r="L44" s="168">
        <f t="shared" si="20"/>
        <v>26081.635774236878</v>
      </c>
      <c r="M44" s="630">
        <f t="shared" si="20"/>
        <v>27552.441263888035</v>
      </c>
      <c r="N44" s="630">
        <f t="shared" si="20"/>
        <v>28749.730315717057</v>
      </c>
      <c r="O44" s="630">
        <f t="shared" si="20"/>
        <v>29789.469345448691</v>
      </c>
      <c r="P44" s="630">
        <f t="shared" si="20"/>
        <v>27671.409136496026</v>
      </c>
      <c r="Q44" s="630">
        <f t="shared" si="20"/>
        <v>28361.371546117378</v>
      </c>
      <c r="R44" s="630">
        <f t="shared" si="20"/>
        <v>26334.272139884117</v>
      </c>
      <c r="S44" s="630">
        <f t="shared" si="20"/>
        <v>26989.10810329784</v>
      </c>
      <c r="T44" s="630">
        <f t="shared" si="15"/>
        <v>27234.666402631101</v>
      </c>
      <c r="U44" s="630">
        <f t="shared" si="15"/>
        <v>22774.026473262657</v>
      </c>
      <c r="V44" s="630">
        <f t="shared" si="16"/>
        <v>21078.897487843871</v>
      </c>
      <c r="AE44" s="639"/>
      <c r="AF44" s="170"/>
      <c r="AG44" s="638"/>
      <c r="AH44" s="637"/>
      <c r="AI44" s="636"/>
      <c r="AJ44" s="635"/>
      <c r="AK44" s="635"/>
      <c r="AL44" s="634"/>
      <c r="AM44" s="633"/>
      <c r="AO44" s="632"/>
      <c r="AP44" s="631"/>
    </row>
    <row r="45" spans="1:42">
      <c r="A45" t="s">
        <v>474</v>
      </c>
      <c r="B45" s="615" t="s">
        <v>481</v>
      </c>
      <c r="C45" s="630">
        <f t="shared" ref="C45:S45" si="21">C34/C$14*C$13</f>
        <v>5757.5974796737337</v>
      </c>
      <c r="D45" s="168">
        <f t="shared" si="21"/>
        <v>6063.5000423635574</v>
      </c>
      <c r="E45" s="168">
        <f t="shared" si="21"/>
        <v>6094.3353897829893</v>
      </c>
      <c r="F45" s="168">
        <f t="shared" si="21"/>
        <v>6108.0990986662055</v>
      </c>
      <c r="G45" s="168">
        <f t="shared" si="21"/>
        <v>5958.7311222955923</v>
      </c>
      <c r="H45" s="630">
        <f t="shared" si="21"/>
        <v>6113.3978278400873</v>
      </c>
      <c r="I45" s="168">
        <f t="shared" si="21"/>
        <v>6861.4617868317919</v>
      </c>
      <c r="J45" s="168">
        <f t="shared" si="21"/>
        <v>7158.2015363642786</v>
      </c>
      <c r="K45" s="168">
        <f t="shared" si="21"/>
        <v>7845.8418852189998</v>
      </c>
      <c r="L45" s="168">
        <f t="shared" si="21"/>
        <v>7989.0462426189606</v>
      </c>
      <c r="M45" s="630">
        <f t="shared" si="21"/>
        <v>7711.4534062298826</v>
      </c>
      <c r="N45" s="630">
        <f t="shared" si="21"/>
        <v>7933.7434739209157</v>
      </c>
      <c r="O45" s="630">
        <f t="shared" si="21"/>
        <v>7911.6615016773139</v>
      </c>
      <c r="P45" s="630">
        <f t="shared" si="21"/>
        <v>7609.3200952555935</v>
      </c>
      <c r="Q45" s="630">
        <f t="shared" si="21"/>
        <v>7662.9679990908307</v>
      </c>
      <c r="R45" s="630">
        <f t="shared" si="21"/>
        <v>7315.947600256748</v>
      </c>
      <c r="S45" s="630">
        <f t="shared" si="21"/>
        <v>7233.3631349696998</v>
      </c>
      <c r="T45" s="630">
        <f t="shared" si="15"/>
        <v>7114.1415033811236</v>
      </c>
      <c r="U45" s="630">
        <f t="shared" si="15"/>
        <v>6138.1797069466838</v>
      </c>
      <c r="V45" s="630">
        <f t="shared" si="16"/>
        <v>6050.2886978274864</v>
      </c>
      <c r="AE45" s="639"/>
      <c r="AF45" s="170"/>
      <c r="AG45" s="638"/>
      <c r="AH45" s="637"/>
      <c r="AI45" s="636"/>
      <c r="AJ45" s="635"/>
      <c r="AK45" s="635"/>
      <c r="AL45" s="634"/>
      <c r="AM45" s="633"/>
      <c r="AO45" s="632"/>
      <c r="AP45" s="631"/>
    </row>
    <row r="46" spans="1:42">
      <c r="A46" t="s">
        <v>473</v>
      </c>
      <c r="B46" s="615" t="s">
        <v>481</v>
      </c>
      <c r="C46" s="630">
        <f t="shared" ref="C46:S46" si="22">C35/C$14*C$13</f>
        <v>1484.7499320281477</v>
      </c>
      <c r="D46" s="168">
        <f t="shared" si="22"/>
        <v>1537.9675441147369</v>
      </c>
      <c r="E46" s="168">
        <f t="shared" si="22"/>
        <v>1587.8691316060092</v>
      </c>
      <c r="F46" s="168">
        <f t="shared" si="22"/>
        <v>1567.545564608225</v>
      </c>
      <c r="G46" s="168">
        <f t="shared" si="22"/>
        <v>1447.9198230385889</v>
      </c>
      <c r="H46" s="630">
        <f t="shared" si="22"/>
        <v>1527.9419319272274</v>
      </c>
      <c r="I46" s="168">
        <f t="shared" si="22"/>
        <v>1592.4912333596651</v>
      </c>
      <c r="J46" s="168">
        <f t="shared" si="22"/>
        <v>1692.7853512591084</v>
      </c>
      <c r="K46" s="168">
        <f t="shared" si="22"/>
        <v>1664.0382168421634</v>
      </c>
      <c r="L46" s="168">
        <f t="shared" si="22"/>
        <v>1676.7422085864082</v>
      </c>
      <c r="M46" s="630">
        <f t="shared" si="22"/>
        <v>1620.4985579139025</v>
      </c>
      <c r="N46" s="630">
        <f t="shared" si="22"/>
        <v>1601.7939308059699</v>
      </c>
      <c r="O46" s="630">
        <f t="shared" si="22"/>
        <v>1515.7962957828522</v>
      </c>
      <c r="P46" s="630">
        <f t="shared" si="22"/>
        <v>1444.5690558923313</v>
      </c>
      <c r="Q46" s="630">
        <f t="shared" si="22"/>
        <v>1335.0883669696329</v>
      </c>
      <c r="R46" s="630">
        <f t="shared" si="22"/>
        <v>1246.8422441329215</v>
      </c>
      <c r="S46" s="630">
        <f t="shared" si="22"/>
        <v>1199.7990834613834</v>
      </c>
      <c r="T46" s="630">
        <f t="shared" si="15"/>
        <v>1296.078984730281</v>
      </c>
      <c r="U46" s="630">
        <f t="shared" si="15"/>
        <v>1080.2908243311442</v>
      </c>
      <c r="V46" s="630">
        <f t="shared" si="16"/>
        <v>953.34995938446355</v>
      </c>
      <c r="AE46" s="639"/>
      <c r="AF46" s="170"/>
      <c r="AG46" s="638"/>
      <c r="AH46" s="637"/>
      <c r="AI46" s="636"/>
      <c r="AJ46" s="635"/>
      <c r="AK46" s="635"/>
      <c r="AL46" s="634"/>
      <c r="AM46" s="633"/>
      <c r="AO46" s="632"/>
      <c r="AP46" s="631"/>
    </row>
    <row r="47" spans="1:42">
      <c r="A47" t="s">
        <v>472</v>
      </c>
      <c r="B47" s="615" t="s">
        <v>481</v>
      </c>
      <c r="C47" s="630">
        <f t="shared" ref="C47:S47" si="23">C36/C$14*C$13</f>
        <v>209.59857570861976</v>
      </c>
      <c r="D47" s="168">
        <f t="shared" si="23"/>
        <v>215.33907714670391</v>
      </c>
      <c r="E47" s="168">
        <f t="shared" si="23"/>
        <v>218.64697920364657</v>
      </c>
      <c r="F47" s="168">
        <f t="shared" si="23"/>
        <v>216.80210028063266</v>
      </c>
      <c r="G47" s="168">
        <f t="shared" si="23"/>
        <v>198.58205786279612</v>
      </c>
      <c r="H47" s="630">
        <f t="shared" si="23"/>
        <v>203.16375431159409</v>
      </c>
      <c r="I47" s="168">
        <f t="shared" si="23"/>
        <v>216.26853246040923</v>
      </c>
      <c r="J47" s="168">
        <f t="shared" si="23"/>
        <v>235.01488835027803</v>
      </c>
      <c r="K47" s="168">
        <f t="shared" si="23"/>
        <v>214.81729576704646</v>
      </c>
      <c r="L47" s="168">
        <f t="shared" si="23"/>
        <v>208.97160020176713</v>
      </c>
      <c r="M47" s="630">
        <f t="shared" si="23"/>
        <v>206.54280587106155</v>
      </c>
      <c r="N47" s="630">
        <f t="shared" si="23"/>
        <v>180.21306724525186</v>
      </c>
      <c r="O47" s="630">
        <f t="shared" si="23"/>
        <v>164.6041131101257</v>
      </c>
      <c r="P47" s="630">
        <f t="shared" si="23"/>
        <v>146.89357690095278</v>
      </c>
      <c r="Q47" s="630">
        <f t="shared" si="23"/>
        <v>111.42594254076759</v>
      </c>
      <c r="R47" s="630">
        <f t="shared" si="23"/>
        <v>90.342806486718615</v>
      </c>
      <c r="S47" s="630">
        <f t="shared" si="23"/>
        <v>87.546806869215217</v>
      </c>
      <c r="T47" s="630">
        <f t="shared" si="15"/>
        <v>121.14841790310254</v>
      </c>
      <c r="U47" s="630">
        <f t="shared" si="15"/>
        <v>80.998640714300876</v>
      </c>
      <c r="V47" s="630">
        <f t="shared" si="16"/>
        <v>41.880933186823547</v>
      </c>
      <c r="AE47" s="639"/>
      <c r="AF47" s="170"/>
      <c r="AG47" s="638"/>
      <c r="AH47" s="637"/>
      <c r="AI47" s="636"/>
      <c r="AJ47" s="635"/>
      <c r="AK47" s="635"/>
      <c r="AL47" s="634"/>
      <c r="AM47" s="633"/>
      <c r="AO47" s="632"/>
      <c r="AP47" s="631"/>
    </row>
    <row r="48" spans="1:42" ht="15" thickBot="1">
      <c r="A48" s="165" t="s">
        <v>471</v>
      </c>
      <c r="B48" s="615" t="s">
        <v>481</v>
      </c>
      <c r="C48" s="630">
        <f t="shared" ref="C48:S48" si="24">C37/C$14*C$13</f>
        <v>5358.8943891970566</v>
      </c>
      <c r="D48" s="168">
        <f t="shared" si="24"/>
        <v>4973.4404803581601</v>
      </c>
      <c r="E48" s="168">
        <f t="shared" si="24"/>
        <v>3768.5134205924837</v>
      </c>
      <c r="F48" s="168">
        <f t="shared" si="24"/>
        <v>3154.8891778592924</v>
      </c>
      <c r="G48" s="168">
        <f t="shared" si="24"/>
        <v>2646.9181652158818</v>
      </c>
      <c r="H48" s="630">
        <f t="shared" si="24"/>
        <v>2540.1140244804378</v>
      </c>
      <c r="I48" s="168">
        <f t="shared" si="24"/>
        <v>1594.8513366405937</v>
      </c>
      <c r="J48" s="168">
        <f t="shared" si="24"/>
        <v>1807.9245792325924</v>
      </c>
      <c r="K48" s="168">
        <f t="shared" si="24"/>
        <v>1465.4840224145166</v>
      </c>
      <c r="L48" s="168">
        <f t="shared" si="24"/>
        <v>1305.4673345855761</v>
      </c>
      <c r="M48" s="630">
        <f t="shared" si="24"/>
        <v>1219.0813990448648</v>
      </c>
      <c r="N48" s="630">
        <f t="shared" si="24"/>
        <v>1073.9227364062374</v>
      </c>
      <c r="O48" s="630">
        <f t="shared" si="24"/>
        <v>1025.2831521967053</v>
      </c>
      <c r="P48" s="630">
        <f t="shared" si="24"/>
        <v>878.81011614633553</v>
      </c>
      <c r="Q48" s="630">
        <f t="shared" si="24"/>
        <v>813.55017307363039</v>
      </c>
      <c r="R48" s="630">
        <f t="shared" si="24"/>
        <v>691.68236337182134</v>
      </c>
      <c r="S48" s="630">
        <f t="shared" si="24"/>
        <v>725.81902334138999</v>
      </c>
      <c r="T48" s="630">
        <f t="shared" si="15"/>
        <v>786.05685233744794</v>
      </c>
      <c r="U48" s="630">
        <f t="shared" si="15"/>
        <v>630.55872731928855</v>
      </c>
      <c r="V48" s="630">
        <f t="shared" si="16"/>
        <v>497.09009627389253</v>
      </c>
      <c r="AE48" s="629">
        <f>AM48-C48/1000</f>
        <v>3.3681056108029441</v>
      </c>
      <c r="AF48" s="628">
        <f>AN48-H48/1000</f>
        <v>1.9248859755195622</v>
      </c>
      <c r="AG48" s="627">
        <f>AO48-L48/1000</f>
        <v>0.15053266541442389</v>
      </c>
      <c r="AH48" s="626">
        <f>AP48-M48/1000</f>
        <v>-0.16208139904486485</v>
      </c>
      <c r="AI48" s="625">
        <f>AE48/AM48</f>
        <v>0.38594082855539635</v>
      </c>
      <c r="AJ48" s="624">
        <f>AF48/AN48</f>
        <v>0.43110548163931967</v>
      </c>
      <c r="AK48" s="624">
        <f>AG48/AO48</f>
        <v>0.10338781965276367</v>
      </c>
      <c r="AL48" s="623">
        <f>AH48/AP48</f>
        <v>-0.1533409640916413</v>
      </c>
      <c r="AM48" s="622">
        <v>8.7270000000000003</v>
      </c>
      <c r="AN48" s="621">
        <v>4.4649999999999999</v>
      </c>
      <c r="AO48" s="620">
        <v>1.456</v>
      </c>
      <c r="AP48" s="619">
        <v>1.0569999999999999</v>
      </c>
    </row>
    <row r="52" spans="1:22">
      <c r="A52" s="68" t="s">
        <v>480</v>
      </c>
    </row>
    <row r="53" spans="1:22">
      <c r="A53" t="s">
        <v>478</v>
      </c>
      <c r="B53" s="615" t="s">
        <v>470</v>
      </c>
      <c r="C53" s="617">
        <f t="shared" ref="C53:S53" si="25">C30/C$15</f>
        <v>0.46049208308822676</v>
      </c>
      <c r="D53" s="618">
        <f t="shared" si="25"/>
        <v>0.43599818483300817</v>
      </c>
      <c r="E53" s="618">
        <f t="shared" si="25"/>
        <v>0.41738592218688481</v>
      </c>
      <c r="F53" s="618">
        <f t="shared" si="25"/>
        <v>0.37868239324725489</v>
      </c>
      <c r="G53" s="618">
        <f t="shared" si="25"/>
        <v>0.36319109427491086</v>
      </c>
      <c r="H53" s="617">
        <f t="shared" si="25"/>
        <v>0.37770167710284208</v>
      </c>
      <c r="I53" s="618">
        <f t="shared" si="25"/>
        <v>0.37602112831314333</v>
      </c>
      <c r="J53" s="618">
        <f t="shared" si="25"/>
        <v>0.39624870024489911</v>
      </c>
      <c r="K53" s="618">
        <f t="shared" si="25"/>
        <v>0.39950948482424148</v>
      </c>
      <c r="L53" s="618">
        <f t="shared" si="25"/>
        <v>0.3912030162475108</v>
      </c>
      <c r="M53" s="617">
        <f t="shared" si="25"/>
        <v>0.38151061385187601</v>
      </c>
      <c r="N53" s="617">
        <f t="shared" si="25"/>
        <v>0.36012085111293834</v>
      </c>
      <c r="O53" s="617">
        <f t="shared" si="25"/>
        <v>0.34181260020668691</v>
      </c>
      <c r="P53" s="617">
        <f t="shared" si="25"/>
        <v>0.3317049582864775</v>
      </c>
      <c r="Q53" s="617">
        <f t="shared" si="25"/>
        <v>0.32254036782538525</v>
      </c>
      <c r="R53" s="617">
        <f t="shared" si="25"/>
        <v>0.31413635569891879</v>
      </c>
      <c r="S53" s="617">
        <f t="shared" si="25"/>
        <v>0.3083638039281294</v>
      </c>
      <c r="T53" s="617">
        <f t="shared" ref="T53:U60" si="26">T30/T$15</f>
        <v>0.32075828781476767</v>
      </c>
      <c r="U53" s="617">
        <f t="shared" si="26"/>
        <v>0.32590680620008233</v>
      </c>
      <c r="V53" s="617">
        <f t="shared" ref="V53:V60" si="27">V30/V$15</f>
        <v>0.29373353580097233</v>
      </c>
    </row>
    <row r="54" spans="1:22">
      <c r="A54" t="s">
        <v>477</v>
      </c>
      <c r="B54" s="615" t="s">
        <v>470</v>
      </c>
      <c r="C54" s="617">
        <f t="shared" ref="C54:S54" si="28">C31/C$15</f>
        <v>0.65585553681814823</v>
      </c>
      <c r="D54" s="618">
        <f t="shared" si="28"/>
        <v>0.61841807730158027</v>
      </c>
      <c r="E54" s="618">
        <f t="shared" si="28"/>
        <v>0.48528775048933354</v>
      </c>
      <c r="F54" s="618">
        <f t="shared" si="28"/>
        <v>0.390888287954407</v>
      </c>
      <c r="G54" s="618">
        <f t="shared" si="28"/>
        <v>0.34393564939499133</v>
      </c>
      <c r="H54" s="617">
        <f t="shared" si="28"/>
        <v>0.29170935568917533</v>
      </c>
      <c r="I54" s="618">
        <f t="shared" si="28"/>
        <v>0.25221011158325396</v>
      </c>
      <c r="J54" s="618">
        <f t="shared" si="28"/>
        <v>0.2642260717798004</v>
      </c>
      <c r="K54" s="618">
        <f t="shared" si="28"/>
        <v>0.20307908889201606</v>
      </c>
      <c r="L54" s="618">
        <f t="shared" si="28"/>
        <v>0.15315249286199464</v>
      </c>
      <c r="M54" s="617">
        <f t="shared" si="28"/>
        <v>0.1438014866947426</v>
      </c>
      <c r="N54" s="617">
        <f t="shared" si="28"/>
        <v>0.10867841101202493</v>
      </c>
      <c r="O54" s="617">
        <f t="shared" si="28"/>
        <v>9.536400614882054E-2</v>
      </c>
      <c r="P54" s="617">
        <f t="shared" si="28"/>
        <v>8.8738706749712112E-2</v>
      </c>
      <c r="Q54" s="617">
        <f t="shared" si="28"/>
        <v>7.3339141477584358E-2</v>
      </c>
      <c r="R54" s="617">
        <f t="shared" si="28"/>
        <v>6.6718552540569506E-2</v>
      </c>
      <c r="S54" s="617">
        <f t="shared" si="28"/>
        <v>6.0282277601251537E-2</v>
      </c>
      <c r="T54" s="617">
        <f t="shared" si="26"/>
        <v>7.6628097536837483E-2</v>
      </c>
      <c r="U54" s="617">
        <f t="shared" si="26"/>
        <v>6.8797506912565184E-2</v>
      </c>
      <c r="V54" s="617">
        <f t="shared" si="27"/>
        <v>5.2992034015398835E-2</v>
      </c>
    </row>
    <row r="55" spans="1:22">
      <c r="A55" t="s">
        <v>476</v>
      </c>
      <c r="B55" s="615" t="s">
        <v>470</v>
      </c>
      <c r="C55" s="617">
        <f t="shared" ref="C55:S55" si="29">C32/C$15</f>
        <v>6.368255832758371E-2</v>
      </c>
      <c r="D55" s="618">
        <f t="shared" si="29"/>
        <v>6.2991845348489311E-2</v>
      </c>
      <c r="E55" s="618">
        <f t="shared" si="29"/>
        <v>8.7168286912526663E-2</v>
      </c>
      <c r="F55" s="618">
        <f t="shared" si="29"/>
        <v>8.6039382458904148E-2</v>
      </c>
      <c r="G55" s="618">
        <f t="shared" si="29"/>
        <v>8.8173894659308735E-2</v>
      </c>
      <c r="H55" s="617">
        <f t="shared" si="29"/>
        <v>9.2584987617576456E-2</v>
      </c>
      <c r="I55" s="618">
        <f t="shared" si="29"/>
        <v>8.1517809632280155E-2</v>
      </c>
      <c r="J55" s="618">
        <f t="shared" si="29"/>
        <v>9.5289860970700357E-2</v>
      </c>
      <c r="K55" s="618">
        <f t="shared" si="29"/>
        <v>0.10925679510231778</v>
      </c>
      <c r="L55" s="618">
        <f t="shared" si="29"/>
        <v>0.11873310931258872</v>
      </c>
      <c r="M55" s="617">
        <f t="shared" si="29"/>
        <v>0.12144026948618805</v>
      </c>
      <c r="N55" s="617">
        <f t="shared" si="29"/>
        <v>0.12977978823902717</v>
      </c>
      <c r="O55" s="617">
        <f t="shared" si="29"/>
        <v>0.12721532147013934</v>
      </c>
      <c r="P55" s="617">
        <f t="shared" si="29"/>
        <v>0.12966154658395312</v>
      </c>
      <c r="Q55" s="617">
        <f t="shared" si="29"/>
        <v>0.13379120168373415</v>
      </c>
      <c r="R55" s="617">
        <f t="shared" si="29"/>
        <v>0.1397126858505047</v>
      </c>
      <c r="S55" s="617">
        <f t="shared" si="29"/>
        <v>0.13183811598916004</v>
      </c>
      <c r="T55" s="617">
        <f t="shared" si="26"/>
        <v>0.13162850602223491</v>
      </c>
      <c r="U55" s="617">
        <f t="shared" si="26"/>
        <v>0.151931916766847</v>
      </c>
      <c r="V55" s="617">
        <f t="shared" si="27"/>
        <v>0.15004424395408078</v>
      </c>
    </row>
    <row r="56" spans="1:22">
      <c r="A56" t="s">
        <v>475</v>
      </c>
      <c r="B56" s="615" t="s">
        <v>470</v>
      </c>
      <c r="C56" s="617">
        <f t="shared" ref="C56:S56" si="30">C33/C$15</f>
        <v>0.13184584015447354</v>
      </c>
      <c r="D56" s="618">
        <f t="shared" si="30"/>
        <v>0.13312600735117022</v>
      </c>
      <c r="E56" s="618">
        <f t="shared" si="30"/>
        <v>0.13669433481568291</v>
      </c>
      <c r="F56" s="618">
        <f t="shared" si="30"/>
        <v>0.13404799294277195</v>
      </c>
      <c r="G56" s="618">
        <f t="shared" si="30"/>
        <v>0.13175129596504645</v>
      </c>
      <c r="H56" s="617">
        <f t="shared" si="30"/>
        <v>0.13259374138051194</v>
      </c>
      <c r="I56" s="618">
        <f t="shared" si="30"/>
        <v>0.1344303792780015</v>
      </c>
      <c r="J56" s="618">
        <f t="shared" si="30"/>
        <v>0.138133135552574</v>
      </c>
      <c r="K56" s="618">
        <f t="shared" si="30"/>
        <v>0.13784816912297057</v>
      </c>
      <c r="L56" s="618">
        <f t="shared" si="30"/>
        <v>0.1382241112199224</v>
      </c>
      <c r="M56" s="617">
        <f t="shared" si="30"/>
        <v>0.14215943401441447</v>
      </c>
      <c r="N56" s="617">
        <f t="shared" si="30"/>
        <v>0.14591664271171001</v>
      </c>
      <c r="O56" s="617">
        <f t="shared" si="30"/>
        <v>0.14703372861753602</v>
      </c>
      <c r="P56" s="617">
        <f t="shared" si="30"/>
        <v>0.14186657544003201</v>
      </c>
      <c r="Q56" s="617">
        <f t="shared" si="30"/>
        <v>0.14512919187894097</v>
      </c>
      <c r="R56" s="617">
        <f t="shared" si="30"/>
        <v>0.14455261628353752</v>
      </c>
      <c r="S56" s="617">
        <f t="shared" si="30"/>
        <v>0.14200955652944552</v>
      </c>
      <c r="T56" s="617">
        <f t="shared" si="26"/>
        <v>0.14412386619134529</v>
      </c>
      <c r="U56" s="617">
        <f t="shared" si="26"/>
        <v>0.14138258025795408</v>
      </c>
      <c r="V56" s="617">
        <f t="shared" si="27"/>
        <v>0.13389576738566136</v>
      </c>
    </row>
    <row r="57" spans="1:22">
      <c r="A57" t="s">
        <v>474</v>
      </c>
      <c r="B57" s="615" t="s">
        <v>470</v>
      </c>
      <c r="C57" s="617">
        <f t="shared" ref="C57:S57" si="31">C34/C$15</f>
        <v>2.2709058135676596E-2</v>
      </c>
      <c r="D57" s="618">
        <f t="shared" si="31"/>
        <v>2.3254388105101734E-2</v>
      </c>
      <c r="E57" s="618">
        <f t="shared" si="31"/>
        <v>2.3286104061953014E-2</v>
      </c>
      <c r="F57" s="618">
        <f t="shared" si="31"/>
        <v>2.3150478392185966E-2</v>
      </c>
      <c r="G57" s="618">
        <f t="shared" si="31"/>
        <v>2.5162353742333259E-2</v>
      </c>
      <c r="H57" s="617">
        <f t="shared" si="31"/>
        <v>2.5481581594155776E-2</v>
      </c>
      <c r="I57" s="618">
        <f t="shared" si="31"/>
        <v>2.9678840771105178E-2</v>
      </c>
      <c r="J57" s="618">
        <f t="shared" si="31"/>
        <v>3.2540415672488186E-2</v>
      </c>
      <c r="K57" s="618">
        <f t="shared" si="31"/>
        <v>3.9203985606684318E-2</v>
      </c>
      <c r="L57" s="618">
        <f t="shared" si="31"/>
        <v>4.2339323573855725E-2</v>
      </c>
      <c r="M57" s="617">
        <f t="shared" si="31"/>
        <v>3.9787975270815318E-2</v>
      </c>
      <c r="N57" s="617">
        <f t="shared" si="31"/>
        <v>4.0266993781767783E-2</v>
      </c>
      <c r="O57" s="617">
        <f t="shared" si="31"/>
        <v>3.9050077618423863E-2</v>
      </c>
      <c r="P57" s="617">
        <f t="shared" si="31"/>
        <v>3.9011680901973218E-2</v>
      </c>
      <c r="Q57" s="617">
        <f t="shared" si="31"/>
        <v>3.9212502515749634E-2</v>
      </c>
      <c r="R57" s="617">
        <f t="shared" si="31"/>
        <v>4.0158291088998918E-2</v>
      </c>
      <c r="S57" s="617">
        <f t="shared" si="31"/>
        <v>3.8060045818556369E-2</v>
      </c>
      <c r="T57" s="617">
        <f t="shared" si="26"/>
        <v>3.7647517430231585E-2</v>
      </c>
      <c r="U57" s="617">
        <f t="shared" si="26"/>
        <v>3.810620340122961E-2</v>
      </c>
      <c r="V57" s="617">
        <f t="shared" si="27"/>
        <v>3.843218311430148E-2</v>
      </c>
    </row>
    <row r="58" spans="1:22">
      <c r="A58" t="s">
        <v>473</v>
      </c>
      <c r="B58" s="615" t="s">
        <v>470</v>
      </c>
      <c r="C58" s="617">
        <f t="shared" ref="C58:S58" si="32">C35/C$15</f>
        <v>5.8561357653782592E-3</v>
      </c>
      <c r="D58" s="618">
        <f t="shared" si="32"/>
        <v>5.8983250456040625E-3</v>
      </c>
      <c r="E58" s="618">
        <f t="shared" si="32"/>
        <v>6.0671563789102753E-3</v>
      </c>
      <c r="F58" s="618">
        <f t="shared" si="32"/>
        <v>5.9411985850317999E-3</v>
      </c>
      <c r="G58" s="618">
        <f t="shared" si="32"/>
        <v>6.1142330523210053E-3</v>
      </c>
      <c r="H58" s="617">
        <f t="shared" si="32"/>
        <v>6.368696771577761E-3</v>
      </c>
      <c r="I58" s="618">
        <f t="shared" si="32"/>
        <v>6.8882251643473365E-3</v>
      </c>
      <c r="J58" s="618">
        <f t="shared" si="32"/>
        <v>7.6952204676606507E-3</v>
      </c>
      <c r="K58" s="618">
        <f t="shared" si="32"/>
        <v>8.3148413205923113E-3</v>
      </c>
      <c r="L58" s="618">
        <f t="shared" si="32"/>
        <v>8.886183502175956E-3</v>
      </c>
      <c r="M58" s="617">
        <f t="shared" si="32"/>
        <v>8.3611160117470808E-3</v>
      </c>
      <c r="N58" s="617">
        <f t="shared" si="32"/>
        <v>8.129759484088948E-3</v>
      </c>
      <c r="O58" s="617">
        <f t="shared" si="32"/>
        <v>7.4816096456465867E-3</v>
      </c>
      <c r="P58" s="617">
        <f t="shared" si="32"/>
        <v>7.4060581423659256E-3</v>
      </c>
      <c r="Q58" s="617">
        <f t="shared" si="32"/>
        <v>6.8318379973342043E-3</v>
      </c>
      <c r="R58" s="617">
        <f t="shared" si="32"/>
        <v>6.8440968303536383E-3</v>
      </c>
      <c r="S58" s="617">
        <f t="shared" si="32"/>
        <v>6.3130257996916496E-3</v>
      </c>
      <c r="T58" s="617">
        <f t="shared" si="26"/>
        <v>6.8587553600669609E-3</v>
      </c>
      <c r="U58" s="617">
        <f t="shared" si="26"/>
        <v>6.7065129810156198E-3</v>
      </c>
      <c r="V58" s="617">
        <f t="shared" si="27"/>
        <v>6.0557970108487359E-3</v>
      </c>
    </row>
    <row r="59" spans="1:22">
      <c r="A59" t="s">
        <v>472</v>
      </c>
      <c r="B59" s="615" t="s">
        <v>470</v>
      </c>
      <c r="C59" s="617">
        <f t="shared" ref="C59:S59" si="33">C36/C$15</f>
        <v>8.2669659657968683E-4</v>
      </c>
      <c r="D59" s="618">
        <f t="shared" si="33"/>
        <v>8.2585609617839438E-4</v>
      </c>
      <c r="E59" s="618">
        <f t="shared" si="33"/>
        <v>8.354374980910084E-4</v>
      </c>
      <c r="F59" s="618">
        <f t="shared" si="33"/>
        <v>8.2170774521705308E-4</v>
      </c>
      <c r="G59" s="618">
        <f t="shared" si="33"/>
        <v>8.3856644716319428E-4</v>
      </c>
      <c r="H59" s="617">
        <f t="shared" si="33"/>
        <v>8.4681774820713008E-4</v>
      </c>
      <c r="I59" s="618">
        <f t="shared" si="33"/>
        <v>9.3545654528184689E-4</v>
      </c>
      <c r="J59" s="618">
        <f t="shared" si="33"/>
        <v>1.0683524510020543E-3</v>
      </c>
      <c r="K59" s="618">
        <f t="shared" si="33"/>
        <v>1.0733958566236214E-3</v>
      </c>
      <c r="L59" s="618">
        <f t="shared" si="33"/>
        <v>1.1074809094844572E-3</v>
      </c>
      <c r="M59" s="617">
        <f t="shared" si="33"/>
        <v>1.0656771972094861E-3</v>
      </c>
      <c r="N59" s="617">
        <f t="shared" si="33"/>
        <v>9.1465504046245273E-4</v>
      </c>
      <c r="O59" s="617">
        <f t="shared" si="33"/>
        <v>8.1244671449852879E-4</v>
      </c>
      <c r="P59" s="617">
        <f t="shared" si="33"/>
        <v>7.5309821073008063E-4</v>
      </c>
      <c r="Q59" s="617">
        <f t="shared" si="33"/>
        <v>5.701824740385207E-4</v>
      </c>
      <c r="R59" s="617">
        <f t="shared" si="33"/>
        <v>4.959046891701936E-4</v>
      </c>
      <c r="S59" s="617">
        <f t="shared" si="33"/>
        <v>4.6064816856793877E-4</v>
      </c>
      <c r="T59" s="617">
        <f t="shared" si="26"/>
        <v>6.4110858245993081E-4</v>
      </c>
      <c r="U59" s="617">
        <f t="shared" si="26"/>
        <v>5.0284462587323151E-4</v>
      </c>
      <c r="V59" s="617">
        <f t="shared" si="27"/>
        <v>2.6603287440015691E-4</v>
      </c>
    </row>
    <row r="60" spans="1:22">
      <c r="A60" t="s">
        <v>471</v>
      </c>
      <c r="B60" s="615" t="s">
        <v>470</v>
      </c>
      <c r="C60" s="617">
        <f t="shared" ref="C60:S60" si="34">C37/C$15</f>
        <v>2.1136497411785585E-2</v>
      </c>
      <c r="D60" s="618">
        <f t="shared" si="34"/>
        <v>1.9073854100739827E-2</v>
      </c>
      <c r="E60" s="618">
        <f t="shared" si="34"/>
        <v>1.4399272448625097E-2</v>
      </c>
      <c r="F60" s="618">
        <f t="shared" si="34"/>
        <v>1.195743431171928E-2</v>
      </c>
      <c r="G60" s="618">
        <f t="shared" si="34"/>
        <v>1.1177327829236092E-2</v>
      </c>
      <c r="H60" s="617">
        <f t="shared" si="34"/>
        <v>1.0587585594135291E-2</v>
      </c>
      <c r="I60" s="618">
        <f t="shared" si="34"/>
        <v>6.8984336493107699E-3</v>
      </c>
      <c r="J60" s="618">
        <f t="shared" si="34"/>
        <v>8.2186310365630639E-3</v>
      </c>
      <c r="K60" s="618">
        <f t="shared" si="34"/>
        <v>7.3227086859603309E-3</v>
      </c>
      <c r="L60" s="618">
        <f t="shared" si="34"/>
        <v>6.9185484994762373E-3</v>
      </c>
      <c r="M60" s="617">
        <f t="shared" si="34"/>
        <v>6.2899661066644422E-3</v>
      </c>
      <c r="N60" s="617">
        <f t="shared" si="34"/>
        <v>5.4505972232547703E-3</v>
      </c>
      <c r="O60" s="617">
        <f t="shared" si="34"/>
        <v>5.0605535468947315E-3</v>
      </c>
      <c r="P60" s="617">
        <f t="shared" si="34"/>
        <v>4.5055089541972126E-3</v>
      </c>
      <c r="Q60" s="617">
        <f t="shared" si="34"/>
        <v>4.1630525159602905E-3</v>
      </c>
      <c r="R60" s="617">
        <f t="shared" si="34"/>
        <v>3.7967442096547436E-3</v>
      </c>
      <c r="S60" s="617">
        <f t="shared" si="34"/>
        <v>3.8190679451445596E-3</v>
      </c>
      <c r="T60" s="617">
        <f t="shared" si="26"/>
        <v>4.1597554723169904E-3</v>
      </c>
      <c r="U60" s="617">
        <f t="shared" si="26"/>
        <v>3.91454800393937E-3</v>
      </c>
      <c r="V60" s="617">
        <f t="shared" si="27"/>
        <v>3.1575778542871635E-3</v>
      </c>
    </row>
    <row r="62" spans="1:22">
      <c r="A62" s="68" t="s">
        <v>479</v>
      </c>
    </row>
    <row r="63" spans="1:22">
      <c r="A63" t="s">
        <v>478</v>
      </c>
      <c r="B63" s="615" t="s">
        <v>470</v>
      </c>
      <c r="C63" s="617">
        <f t="shared" ref="C63:H70" si="35">C30/C$16</f>
        <v>0.43500210533797667</v>
      </c>
      <c r="D63" s="618">
        <f t="shared" si="35"/>
        <v>0.41129271825302338</v>
      </c>
      <c r="E63" s="618">
        <f t="shared" si="35"/>
        <v>0.3933306631705154</v>
      </c>
      <c r="F63" s="618">
        <f t="shared" si="35"/>
        <v>0.35374091663240814</v>
      </c>
      <c r="G63" s="618">
        <f t="shared" si="35"/>
        <v>0.33353171089773909</v>
      </c>
      <c r="H63" s="617">
        <f t="shared" si="35"/>
        <v>0.34212578195174209</v>
      </c>
      <c r="I63" s="618">
        <f>I41/I$16</f>
        <v>0.28915177918059565</v>
      </c>
      <c r="J63" s="618">
        <f t="shared" ref="J63:S63" si="36">J30/J$16</f>
        <v>0.33224480251320088</v>
      </c>
      <c r="K63" s="618">
        <f t="shared" si="36"/>
        <v>0.32335057782304177</v>
      </c>
      <c r="L63" s="618">
        <f t="shared" si="36"/>
        <v>0.30933341006759679</v>
      </c>
      <c r="M63" s="617">
        <f t="shared" si="36"/>
        <v>0.3064030139447132</v>
      </c>
      <c r="N63" s="617">
        <f t="shared" si="36"/>
        <v>0.28804327740305441</v>
      </c>
      <c r="O63" s="617">
        <f t="shared" si="36"/>
        <v>0.27404511138929816</v>
      </c>
      <c r="P63" s="617">
        <f t="shared" si="36"/>
        <v>0.26352260431377672</v>
      </c>
      <c r="Q63" s="617">
        <f t="shared" si="36"/>
        <v>0.2536444502884001</v>
      </c>
      <c r="R63" s="617">
        <f t="shared" si="36"/>
        <v>0.24374495099966992</v>
      </c>
      <c r="S63" s="617">
        <f t="shared" si="36"/>
        <v>0.23954348374379214</v>
      </c>
      <c r="T63" s="617">
        <f t="shared" ref="T63:U70" si="37">T30/T$16</f>
        <v>0.24969734427573595</v>
      </c>
      <c r="U63" s="617">
        <f t="shared" si="37"/>
        <v>0.23563574131661244</v>
      </c>
      <c r="V63" s="617">
        <f t="shared" ref="V63:V70" si="38">V30/V$16</f>
        <v>0.20642302481234784</v>
      </c>
    </row>
    <row r="64" spans="1:22">
      <c r="A64" t="s">
        <v>477</v>
      </c>
      <c r="B64" s="615" t="s">
        <v>470</v>
      </c>
      <c r="C64" s="617">
        <f t="shared" si="35"/>
        <v>0.6195514533065325</v>
      </c>
      <c r="D64" s="618">
        <f t="shared" si="35"/>
        <v>0.58337594255717895</v>
      </c>
      <c r="E64" s="618">
        <f t="shared" si="35"/>
        <v>0.45731909626561673</v>
      </c>
      <c r="F64" s="618">
        <f t="shared" si="35"/>
        <v>0.36514288424173258</v>
      </c>
      <c r="G64" s="618">
        <f t="shared" si="35"/>
        <v>0.3158487291943512</v>
      </c>
      <c r="H64" s="617">
        <f t="shared" si="35"/>
        <v>0.26423311694913043</v>
      </c>
      <c r="I64" s="618">
        <f t="shared" ref="I64:I70" si="39">I31/I$16</f>
        <v>0.22103531640010424</v>
      </c>
      <c r="J64" s="618">
        <f t="shared" ref="J64:S64" si="40">J31/J$16</f>
        <v>0.22154707127887596</v>
      </c>
      <c r="K64" s="618">
        <f t="shared" si="40"/>
        <v>0.16436591177778664</v>
      </c>
      <c r="L64" s="618">
        <f t="shared" si="40"/>
        <v>0.12110127199883398</v>
      </c>
      <c r="M64" s="617">
        <f t="shared" si="40"/>
        <v>0.11549143676014938</v>
      </c>
      <c r="N64" s="617">
        <f t="shared" si="40"/>
        <v>8.692661253608587E-2</v>
      </c>
      <c r="O64" s="617">
        <f t="shared" si="40"/>
        <v>7.6457215654954017E-2</v>
      </c>
      <c r="P64" s="617">
        <f t="shared" si="40"/>
        <v>7.0498358622437182E-2</v>
      </c>
      <c r="Q64" s="617">
        <f t="shared" si="40"/>
        <v>5.7673606408162055E-2</v>
      </c>
      <c r="R64" s="617">
        <f t="shared" si="40"/>
        <v>5.176831660757053E-2</v>
      </c>
      <c r="S64" s="617">
        <f t="shared" si="40"/>
        <v>4.6828540187485029E-2</v>
      </c>
      <c r="T64" s="617">
        <f t="shared" si="37"/>
        <v>5.9651872387159757E-2</v>
      </c>
      <c r="U64" s="617">
        <f t="shared" si="37"/>
        <v>4.9741678399083923E-2</v>
      </c>
      <c r="V64" s="617">
        <f t="shared" si="38"/>
        <v>3.7240473487607964E-2</v>
      </c>
    </row>
    <row r="65" spans="1:22">
      <c r="A65" t="s">
        <v>476</v>
      </c>
      <c r="B65" s="615" t="s">
        <v>470</v>
      </c>
      <c r="C65" s="617">
        <f t="shared" si="35"/>
        <v>6.015748796380483E-2</v>
      </c>
      <c r="D65" s="618">
        <f t="shared" si="35"/>
        <v>5.9422465969846412E-2</v>
      </c>
      <c r="E65" s="618">
        <f t="shared" si="35"/>
        <v>8.2144505303631959E-2</v>
      </c>
      <c r="F65" s="618">
        <f t="shared" si="35"/>
        <v>8.0372498326391956E-2</v>
      </c>
      <c r="G65" s="618">
        <f t="shared" si="35"/>
        <v>8.097332342619562E-2</v>
      </c>
      <c r="H65" s="617">
        <f t="shared" si="35"/>
        <v>8.3864364936433455E-2</v>
      </c>
      <c r="I65" s="618">
        <f t="shared" si="39"/>
        <v>7.1441683012644419E-2</v>
      </c>
      <c r="J65" s="618">
        <f t="shared" ref="J65:S65" si="41">J32/J$16</f>
        <v>7.9898207918798744E-2</v>
      </c>
      <c r="K65" s="618">
        <f t="shared" si="41"/>
        <v>8.8429059057184345E-2</v>
      </c>
      <c r="L65" s="618">
        <f t="shared" si="41"/>
        <v>9.3885057287887166E-2</v>
      </c>
      <c r="M65" s="617">
        <f t="shared" si="41"/>
        <v>9.7532449252573358E-2</v>
      </c>
      <c r="N65" s="617">
        <f t="shared" si="41"/>
        <v>0.10380458512611992</v>
      </c>
      <c r="O65" s="617">
        <f t="shared" si="41"/>
        <v>0.10199371504043137</v>
      </c>
      <c r="P65" s="617">
        <f t="shared" si="41"/>
        <v>0.10300945940532345</v>
      </c>
      <c r="Q65" s="617">
        <f t="shared" si="41"/>
        <v>0.10521286384489688</v>
      </c>
      <c r="R65" s="617">
        <f t="shared" si="41"/>
        <v>0.1084059872372829</v>
      </c>
      <c r="S65" s="617">
        <f t="shared" si="41"/>
        <v>0.10241461932938842</v>
      </c>
      <c r="T65" s="617">
        <f t="shared" si="37"/>
        <v>0.10246746423498512</v>
      </c>
      <c r="U65" s="617">
        <f t="shared" si="37"/>
        <v>0.10984916287704337</v>
      </c>
      <c r="V65" s="617">
        <f t="shared" si="38"/>
        <v>0.10544450298541859</v>
      </c>
    </row>
    <row r="66" spans="1:22">
      <c r="A66" t="s">
        <v>475</v>
      </c>
      <c r="B66" s="615" t="s">
        <v>470</v>
      </c>
      <c r="C66" s="617">
        <f t="shared" si="35"/>
        <v>0.12454767444126047</v>
      </c>
      <c r="D66" s="618">
        <f t="shared" si="35"/>
        <v>0.12558253529107244</v>
      </c>
      <c r="E66" s="618">
        <f t="shared" si="35"/>
        <v>0.12881621182381719</v>
      </c>
      <c r="F66" s="618">
        <f t="shared" si="35"/>
        <v>0.12521907736373075</v>
      </c>
      <c r="G66" s="618">
        <f t="shared" si="35"/>
        <v>0.12099205032531525</v>
      </c>
      <c r="H66" s="617">
        <f t="shared" si="35"/>
        <v>0.12010467573159039</v>
      </c>
      <c r="I66" s="618">
        <f t="shared" si="39"/>
        <v>0.11781391805019124</v>
      </c>
      <c r="J66" s="618">
        <f t="shared" ref="J66:S66" si="42">J33/J$16</f>
        <v>0.11582124134118203</v>
      </c>
      <c r="K66" s="618">
        <f t="shared" si="42"/>
        <v>0.11157002982637648</v>
      </c>
      <c r="L66" s="618">
        <f t="shared" si="42"/>
        <v>0.10929705012849174</v>
      </c>
      <c r="M66" s="617">
        <f t="shared" si="42"/>
        <v>0.11417265329242683</v>
      </c>
      <c r="N66" s="617">
        <f t="shared" si="42"/>
        <v>0.11671167571785573</v>
      </c>
      <c r="O66" s="617">
        <f t="shared" si="42"/>
        <v>0.11788294086470669</v>
      </c>
      <c r="P66" s="617">
        <f t="shared" si="42"/>
        <v>0.11270572986957422</v>
      </c>
      <c r="Q66" s="617">
        <f t="shared" si="42"/>
        <v>0.11412901381343475</v>
      </c>
      <c r="R66" s="617">
        <f t="shared" si="42"/>
        <v>0.11216139021703883</v>
      </c>
      <c r="S66" s="617">
        <f t="shared" si="42"/>
        <v>0.11031600811327012</v>
      </c>
      <c r="T66" s="617">
        <f t="shared" si="37"/>
        <v>0.11219459637318087</v>
      </c>
      <c r="U66" s="617">
        <f t="shared" si="37"/>
        <v>0.10222182683685864</v>
      </c>
      <c r="V66" s="617">
        <f t="shared" si="38"/>
        <v>9.4096063079588052E-2</v>
      </c>
    </row>
    <row r="67" spans="1:22">
      <c r="A67" t="s">
        <v>474</v>
      </c>
      <c r="B67" s="615" t="s">
        <v>470</v>
      </c>
      <c r="C67" s="617">
        <f t="shared" si="35"/>
        <v>2.1452025913264582E-2</v>
      </c>
      <c r="D67" s="618">
        <f t="shared" si="35"/>
        <v>2.1936697967495703E-2</v>
      </c>
      <c r="E67" s="618">
        <f t="shared" si="35"/>
        <v>2.194405289319893E-2</v>
      </c>
      <c r="F67" s="618">
        <f t="shared" si="35"/>
        <v>2.1625698984065422E-2</v>
      </c>
      <c r="G67" s="618">
        <f t="shared" si="35"/>
        <v>2.310751289386527E-2</v>
      </c>
      <c r="H67" s="617">
        <f t="shared" si="35"/>
        <v>2.3081459672454455E-2</v>
      </c>
      <c r="I67" s="618">
        <f t="shared" si="39"/>
        <v>2.6010344783754163E-2</v>
      </c>
      <c r="J67" s="618">
        <f t="shared" ref="J67:S67" si="43">J34/J$16</f>
        <v>2.7284339285204958E-2</v>
      </c>
      <c r="K67" s="618">
        <f t="shared" si="43"/>
        <v>3.1730489213452569E-2</v>
      </c>
      <c r="L67" s="618">
        <f t="shared" si="43"/>
        <v>3.3478697241868506E-2</v>
      </c>
      <c r="M67" s="617">
        <f t="shared" si="43"/>
        <v>3.1954957736690458E-2</v>
      </c>
      <c r="N67" s="617">
        <f t="shared" si="43"/>
        <v>3.2207623702497939E-2</v>
      </c>
      <c r="O67" s="617">
        <f t="shared" si="43"/>
        <v>3.1308040909640976E-2</v>
      </c>
      <c r="P67" s="617">
        <f t="shared" si="43"/>
        <v>3.0992782872625243E-2</v>
      </c>
      <c r="Q67" s="617">
        <f t="shared" si="43"/>
        <v>3.0836554543846546E-2</v>
      </c>
      <c r="R67" s="617">
        <f t="shared" si="43"/>
        <v>3.1159655723198461E-2</v>
      </c>
      <c r="S67" s="617">
        <f t="shared" si="43"/>
        <v>2.9565843496178485E-2</v>
      </c>
      <c r="T67" s="617">
        <f t="shared" si="37"/>
        <v>2.9307068524857326E-2</v>
      </c>
      <c r="U67" s="617">
        <f t="shared" si="37"/>
        <v>2.7551383758760206E-2</v>
      </c>
      <c r="V67" s="617">
        <f t="shared" si="38"/>
        <v>2.7008449910096675E-2</v>
      </c>
    </row>
    <row r="68" spans="1:22">
      <c r="A68" t="s">
        <v>473</v>
      </c>
      <c r="B68" s="615" t="s">
        <v>470</v>
      </c>
      <c r="C68" s="617">
        <f t="shared" si="35"/>
        <v>5.5319765108676104E-3</v>
      </c>
      <c r="D68" s="618">
        <f t="shared" si="35"/>
        <v>5.5641014699993364E-3</v>
      </c>
      <c r="E68" s="618">
        <f t="shared" si="35"/>
        <v>5.7174871389349116E-3</v>
      </c>
      <c r="F68" s="618">
        <f t="shared" si="35"/>
        <v>5.5498884311531169E-3</v>
      </c>
      <c r="G68" s="618">
        <f t="shared" si="35"/>
        <v>5.6149246028167387E-3</v>
      </c>
      <c r="H68" s="617">
        <f t="shared" si="35"/>
        <v>5.7688262856092605E-3</v>
      </c>
      <c r="I68" s="618">
        <f t="shared" si="39"/>
        <v>6.0367961422279704E-3</v>
      </c>
      <c r="J68" s="618">
        <f t="shared" ref="J68:S68" si="44">J35/J$16</f>
        <v>6.4522533524862119E-3</v>
      </c>
      <c r="K68" s="618">
        <f t="shared" si="44"/>
        <v>6.7297745051115446E-3</v>
      </c>
      <c r="L68" s="618">
        <f t="shared" si="44"/>
        <v>7.0265139353510768E-3</v>
      </c>
      <c r="M68" s="617">
        <f t="shared" si="44"/>
        <v>6.7150717514123182E-3</v>
      </c>
      <c r="N68" s="617">
        <f t="shared" si="44"/>
        <v>6.5026019989082844E-3</v>
      </c>
      <c r="O68" s="617">
        <f t="shared" si="44"/>
        <v>5.9983117868466348E-3</v>
      </c>
      <c r="P68" s="617">
        <f t="shared" si="44"/>
        <v>5.8837339648386052E-3</v>
      </c>
      <c r="Q68" s="617">
        <f t="shared" si="44"/>
        <v>5.3725299719114888E-3</v>
      </c>
      <c r="R68" s="617">
        <f t="shared" si="44"/>
        <v>5.3104774926160695E-3</v>
      </c>
      <c r="S68" s="617">
        <f t="shared" si="44"/>
        <v>4.9040911214567745E-3</v>
      </c>
      <c r="T68" s="617">
        <f t="shared" si="37"/>
        <v>5.3392634376284399E-3</v>
      </c>
      <c r="U68" s="617">
        <f t="shared" si="37"/>
        <v>4.8489142536069585E-3</v>
      </c>
      <c r="V68" s="617">
        <f t="shared" si="38"/>
        <v>4.2557480991070153E-3</v>
      </c>
    </row>
    <row r="69" spans="1:22">
      <c r="A69" t="s">
        <v>472</v>
      </c>
      <c r="B69" s="615" t="s">
        <v>470</v>
      </c>
      <c r="C69" s="617">
        <f t="shared" si="35"/>
        <v>7.8093581452301389E-4</v>
      </c>
      <c r="D69" s="618">
        <f t="shared" si="35"/>
        <v>7.7905966240005963E-4</v>
      </c>
      <c r="E69" s="618">
        <f t="shared" si="35"/>
        <v>7.8728861634801443E-4</v>
      </c>
      <c r="F69" s="618">
        <f t="shared" si="35"/>
        <v>7.6758691763955343E-4</v>
      </c>
      <c r="G69" s="618">
        <f t="shared" si="35"/>
        <v>7.7008634361522526E-4</v>
      </c>
      <c r="H69" s="617">
        <f t="shared" si="35"/>
        <v>7.6705559397633339E-4</v>
      </c>
      <c r="I69" s="618">
        <f t="shared" si="39"/>
        <v>8.1982808764852991E-4</v>
      </c>
      <c r="J69" s="618">
        <f t="shared" ref="J69:S69" si="45">J36/J$16</f>
        <v>8.9578728934200705E-4</v>
      </c>
      <c r="K69" s="618">
        <f t="shared" si="45"/>
        <v>8.687732923907958E-4</v>
      </c>
      <c r="L69" s="618">
        <f t="shared" si="45"/>
        <v>8.7571115785784913E-4</v>
      </c>
      <c r="M69" s="617">
        <f t="shared" si="45"/>
        <v>8.5587842975167448E-4</v>
      </c>
      <c r="N69" s="617">
        <f t="shared" si="45"/>
        <v>7.3158839521181697E-4</v>
      </c>
      <c r="O69" s="617">
        <f t="shared" si="45"/>
        <v>6.5137168798923338E-4</v>
      </c>
      <c r="P69" s="617">
        <f t="shared" si="45"/>
        <v>5.9829796582129286E-4</v>
      </c>
      <c r="Q69" s="617">
        <f t="shared" si="45"/>
        <v>4.4838920835445906E-4</v>
      </c>
      <c r="R69" s="617">
        <f t="shared" si="45"/>
        <v>3.8478279247036994E-4</v>
      </c>
      <c r="S69" s="617">
        <f t="shared" si="45"/>
        <v>3.5784117874184713E-4</v>
      </c>
      <c r="T69" s="617">
        <f t="shared" si="37"/>
        <v>4.990770823825808E-4</v>
      </c>
      <c r="U69" s="617">
        <f t="shared" si="37"/>
        <v>3.6356456487125554E-4</v>
      </c>
      <c r="V69" s="617">
        <f t="shared" si="38"/>
        <v>1.869562169108714E-4</v>
      </c>
    </row>
    <row r="70" spans="1:22">
      <c r="A70" t="s">
        <v>471</v>
      </c>
      <c r="B70" s="615" t="s">
        <v>470</v>
      </c>
      <c r="C70" s="617">
        <f t="shared" si="35"/>
        <v>1.9966512370715055E-2</v>
      </c>
      <c r="D70" s="618">
        <f t="shared" si="35"/>
        <v>1.7993050369371499E-2</v>
      </c>
      <c r="E70" s="618">
        <f t="shared" si="35"/>
        <v>1.3569397242043842E-2</v>
      </c>
      <c r="F70" s="618">
        <f t="shared" si="35"/>
        <v>1.1169871769658911E-2</v>
      </c>
      <c r="G70" s="618">
        <f t="shared" si="35"/>
        <v>1.0264550350808407E-2</v>
      </c>
      <c r="H70" s="617">
        <f t="shared" si="35"/>
        <v>9.5903360243440126E-3</v>
      </c>
      <c r="I70" s="618">
        <f t="shared" si="39"/>
        <v>6.0457427926603946E-3</v>
      </c>
      <c r="J70" s="618">
        <f t="shared" ref="J70:S70" si="46">J37/J$16</f>
        <v>6.8911202585248341E-3</v>
      </c>
      <c r="K70" s="618">
        <f t="shared" si="46"/>
        <v>5.9267731425119013E-3</v>
      </c>
      <c r="L70" s="618">
        <f t="shared" si="46"/>
        <v>5.4706587402868906E-3</v>
      </c>
      <c r="M70" s="617">
        <f t="shared" si="46"/>
        <v>5.0516669857063306E-3</v>
      </c>
      <c r="N70" s="617">
        <f t="shared" si="46"/>
        <v>4.3596694918893158E-3</v>
      </c>
      <c r="O70" s="617">
        <f t="shared" si="46"/>
        <v>4.0572523061224008E-3</v>
      </c>
      <c r="P70" s="617">
        <f t="shared" si="46"/>
        <v>3.5793961582680765E-3</v>
      </c>
      <c r="Q70" s="617">
        <f t="shared" si="46"/>
        <v>3.2738077842837457E-3</v>
      </c>
      <c r="R70" s="617">
        <f t="shared" si="46"/>
        <v>2.945973029073888E-3</v>
      </c>
      <c r="S70" s="617">
        <f t="shared" si="46"/>
        <v>2.9667322447721337E-3</v>
      </c>
      <c r="T70" s="617">
        <f t="shared" si="37"/>
        <v>3.2382012678463714E-3</v>
      </c>
      <c r="U70" s="617">
        <f t="shared" si="37"/>
        <v>2.8302797096585643E-3</v>
      </c>
      <c r="V70" s="617">
        <f t="shared" si="38"/>
        <v>2.2190069989287261E-3</v>
      </c>
    </row>
    <row r="73" spans="1:22">
      <c r="A73" t="s">
        <v>176</v>
      </c>
    </row>
    <row r="74" spans="1:22">
      <c r="A74" s="68" t="str">
        <f>A14</f>
        <v>Consumo TERNA totale (E.E. e calore)</v>
      </c>
      <c r="B74" s="615" t="s">
        <v>176</v>
      </c>
      <c r="C74" s="616">
        <f t="shared" ref="C74:S74" si="47">C14/41.868</f>
        <v>53462.293437100001</v>
      </c>
      <c r="D74" s="616">
        <f t="shared" si="47"/>
        <v>54917.812180000008</v>
      </c>
      <c r="E74" s="616">
        <f t="shared" si="47"/>
        <v>55068.39365000002</v>
      </c>
      <c r="F74" s="616">
        <f t="shared" si="47"/>
        <v>53501.866540000003</v>
      </c>
      <c r="G74" s="616">
        <f t="shared" si="47"/>
        <v>46755.335189999998</v>
      </c>
      <c r="H74" s="616">
        <f t="shared" si="47"/>
        <v>47762.929818239994</v>
      </c>
      <c r="I74" s="616">
        <f t="shared" si="47"/>
        <v>47670.66595000001</v>
      </c>
      <c r="J74" s="616">
        <f t="shared" si="47"/>
        <v>45665.760760000005</v>
      </c>
      <c r="K74" s="616">
        <f t="shared" si="47"/>
        <v>41098.64028</v>
      </c>
      <c r="L74" s="616">
        <f t="shared" si="47"/>
        <v>38300.488140000001</v>
      </c>
      <c r="M74" s="616">
        <f t="shared" si="47"/>
        <v>40343.115442426191</v>
      </c>
      <c r="N74" s="616">
        <f t="shared" si="47"/>
        <v>40886.221686443103</v>
      </c>
      <c r="O74" s="616">
        <f t="shared" si="47"/>
        <v>42043.682158904179</v>
      </c>
      <c r="P74" s="616">
        <f t="shared" si="47"/>
        <v>39108.314983041942</v>
      </c>
      <c r="Q74" s="616">
        <f t="shared" si="47"/>
        <v>39096.485204528522</v>
      </c>
      <c r="R74" s="616">
        <f t="shared" si="47"/>
        <v>36458.897773000863</v>
      </c>
      <c r="S74" s="616">
        <f t="shared" si="47"/>
        <v>37644.945242189744</v>
      </c>
      <c r="T74" s="616">
        <f>T14/41.868</f>
        <v>39315.659285373069</v>
      </c>
      <c r="U74" s="616">
        <f>U14/41.868</f>
        <v>32239.752713528229</v>
      </c>
      <c r="V74" s="616">
        <f>V14/41.868</f>
        <v>29818.601202230828</v>
      </c>
    </row>
    <row r="75" spans="1:22">
      <c r="A75" s="68" t="str">
        <f>A13</f>
        <v>Consumo TERNA per produzione termoelettrica</v>
      </c>
      <c r="B75" s="615" t="s">
        <v>176</v>
      </c>
      <c r="C75" s="616">
        <f t="shared" ref="C75:S75" si="48">C13/41.868</f>
        <v>48339.396207400001</v>
      </c>
      <c r="D75" s="616">
        <f t="shared" si="48"/>
        <v>49334.336650000005</v>
      </c>
      <c r="E75" s="616">
        <f t="shared" si="48"/>
        <v>49619.031570000006</v>
      </c>
      <c r="F75" s="616">
        <f t="shared" si="48"/>
        <v>48198.314030000009</v>
      </c>
      <c r="G75" s="616">
        <f t="shared" si="48"/>
        <v>41814.843969999994</v>
      </c>
      <c r="H75" s="616">
        <f t="shared" si="48"/>
        <v>42341.899451039993</v>
      </c>
      <c r="I75" s="616">
        <f t="shared" si="48"/>
        <v>41827.86179000001</v>
      </c>
      <c r="J75" s="616">
        <f t="shared" si="48"/>
        <v>40298.63708</v>
      </c>
      <c r="K75" s="616">
        <f t="shared" si="48"/>
        <v>35297.152603999995</v>
      </c>
      <c r="L75" s="616">
        <f t="shared" si="48"/>
        <v>32862.67</v>
      </c>
      <c r="M75" s="616">
        <f t="shared" si="48"/>
        <v>34577.495792568305</v>
      </c>
      <c r="N75" s="616">
        <f t="shared" si="48"/>
        <v>34977.59336481322</v>
      </c>
      <c r="O75" s="616">
        <f t="shared" si="48"/>
        <v>36137.601158419318</v>
      </c>
      <c r="P75" s="616">
        <f t="shared" si="48"/>
        <v>33340.623674823255</v>
      </c>
      <c r="Q75" s="616">
        <f t="shared" si="48"/>
        <v>33270.473370535976</v>
      </c>
      <c r="R75" s="616">
        <f t="shared" si="48"/>
        <v>30726.972902933023</v>
      </c>
      <c r="S75" s="616">
        <f t="shared" si="48"/>
        <v>32092.687219117226</v>
      </c>
      <c r="T75" s="616">
        <f>T13/41.868</f>
        <v>33835.631393904645</v>
      </c>
      <c r="U75" s="616">
        <f>U13/41.868</f>
        <v>27294.339397391803</v>
      </c>
      <c r="V75" s="616">
        <f>V13/41.868</f>
        <v>24800.921015453336</v>
      </c>
    </row>
    <row r="76" spans="1:22">
      <c r="A76" s="68" t="str">
        <f>A17</f>
        <v>Consumo per la produzione di calore</v>
      </c>
      <c r="B76" s="615" t="s">
        <v>176</v>
      </c>
      <c r="C76" s="613">
        <f t="shared" ref="C76:S76" si="49">C17/41.868</f>
        <v>5122.8972297000037</v>
      </c>
      <c r="D76" s="613">
        <f t="shared" si="49"/>
        <v>5583.4755300000061</v>
      </c>
      <c r="E76" s="613">
        <f t="shared" si="49"/>
        <v>5449.3620800000108</v>
      </c>
      <c r="F76" s="613">
        <f t="shared" si="49"/>
        <v>5303.552509999995</v>
      </c>
      <c r="G76" s="613">
        <f t="shared" si="49"/>
        <v>4940.4912200000053</v>
      </c>
      <c r="H76" s="613">
        <f t="shared" si="49"/>
        <v>5421.0303672000055</v>
      </c>
      <c r="I76" s="613">
        <f t="shared" si="49"/>
        <v>5842.8041599999997</v>
      </c>
      <c r="J76" s="613">
        <f t="shared" si="49"/>
        <v>5367.1236800000088</v>
      </c>
      <c r="K76" s="613">
        <f t="shared" si="49"/>
        <v>5801.4876760000052</v>
      </c>
      <c r="L76" s="613">
        <f t="shared" si="49"/>
        <v>5437.8181400000003</v>
      </c>
      <c r="M76" s="613">
        <f t="shared" si="49"/>
        <v>5765.6196498578893</v>
      </c>
      <c r="N76" s="613">
        <f t="shared" si="49"/>
        <v>5908.6283216298807</v>
      </c>
      <c r="O76" s="613">
        <f t="shared" si="49"/>
        <v>5906.0810004848609</v>
      </c>
      <c r="P76" s="613">
        <f t="shared" si="49"/>
        <v>5767.6913082186884</v>
      </c>
      <c r="Q76" s="613">
        <f t="shared" si="49"/>
        <v>5826.011833992543</v>
      </c>
      <c r="R76" s="613">
        <f t="shared" si="49"/>
        <v>5731.9248700678372</v>
      </c>
      <c r="S76" s="613">
        <f t="shared" si="49"/>
        <v>5552.2580230725198</v>
      </c>
      <c r="T76" s="613">
        <f>T17/41.868</f>
        <v>5480.0278914684241</v>
      </c>
      <c r="U76" s="613">
        <f>U17/41.868</f>
        <v>4945.4133161364261</v>
      </c>
      <c r="V76" s="613">
        <f>V17/41.868</f>
        <v>5017.6801867774921</v>
      </c>
    </row>
    <row r="78" spans="1:22">
      <c r="A78" s="68"/>
      <c r="B78" s="615"/>
      <c r="C78" s="614"/>
      <c r="D78" s="614"/>
      <c r="E78" s="614"/>
      <c r="F78" s="614"/>
      <c r="G78" s="614"/>
      <c r="H78" s="614"/>
      <c r="I78" s="614"/>
      <c r="J78" s="614"/>
      <c r="K78" s="614"/>
      <c r="L78" s="614"/>
      <c r="M78" s="614"/>
      <c r="N78" s="614"/>
      <c r="O78" s="614"/>
      <c r="P78" s="614"/>
      <c r="Q78" s="614"/>
      <c r="R78" s="614"/>
      <c r="S78" s="614"/>
      <c r="T78" s="614"/>
      <c r="U78" s="614"/>
      <c r="V78" s="614"/>
    </row>
    <row r="79" spans="1:22">
      <c r="H79" s="613"/>
      <c r="I79" s="613"/>
      <c r="J79" s="613"/>
      <c r="K79" s="613"/>
      <c r="L79" s="613"/>
      <c r="M79" s="613"/>
      <c r="N79" s="613"/>
    </row>
    <row r="80" spans="1:22">
      <c r="H80" s="613"/>
      <c r="I80" s="613"/>
      <c r="J80" s="613"/>
      <c r="K80" s="613"/>
      <c r="L80" s="613"/>
      <c r="M80" s="613"/>
      <c r="N80" s="613"/>
    </row>
    <row r="81" spans="8:14">
      <c r="H81" s="613"/>
      <c r="I81" s="613"/>
      <c r="J81" s="613"/>
      <c r="K81" s="613"/>
      <c r="L81" s="613"/>
      <c r="M81" s="613"/>
      <c r="N81" s="6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3"/>
  <dimension ref="A1:E44"/>
  <sheetViews>
    <sheetView zoomScaleNormal="100" workbookViewId="0"/>
  </sheetViews>
  <sheetFormatPr defaultColWidth="8.90625" defaultRowHeight="15.5"/>
  <cols>
    <col min="1" max="1" width="27.08984375" style="837" customWidth="1"/>
    <col min="2" max="2" width="47.1796875" style="837" customWidth="1"/>
    <col min="3" max="3" width="19.6328125" style="837" customWidth="1"/>
    <col min="4" max="4" width="46.90625" style="837" customWidth="1"/>
    <col min="5" max="5" width="42.08984375" style="837" customWidth="1"/>
    <col min="6" max="16384" width="8.90625" style="1017"/>
  </cols>
  <sheetData>
    <row r="1" spans="1:5">
      <c r="A1" s="1015" t="s">
        <v>694</v>
      </c>
      <c r="B1" s="1016"/>
    </row>
    <row r="3" spans="1:5">
      <c r="A3" s="1066" t="s">
        <v>154</v>
      </c>
      <c r="B3" s="1066"/>
      <c r="C3" s="1066"/>
      <c r="D3" s="1066"/>
      <c r="E3" s="1066"/>
    </row>
    <row r="4" spans="1:5" ht="15">
      <c r="A4" s="1018" t="s">
        <v>144</v>
      </c>
      <c r="B4" s="1018"/>
      <c r="C4" s="1019" t="s">
        <v>145</v>
      </c>
      <c r="D4" s="1019"/>
      <c r="E4" s="1019" t="s">
        <v>775</v>
      </c>
    </row>
    <row r="5" spans="1:5">
      <c r="A5" s="1065" t="s">
        <v>5</v>
      </c>
      <c r="B5" s="830" t="s">
        <v>272</v>
      </c>
      <c r="C5" s="1021" t="s">
        <v>5</v>
      </c>
      <c r="D5" s="832" t="s">
        <v>723</v>
      </c>
      <c r="E5" s="1021" t="s">
        <v>272</v>
      </c>
    </row>
    <row r="6" spans="1:5">
      <c r="A6" s="1065"/>
      <c r="B6" s="830" t="s">
        <v>273</v>
      </c>
      <c r="C6" s="1021" t="s">
        <v>5</v>
      </c>
      <c r="D6" s="832" t="s">
        <v>724</v>
      </c>
      <c r="E6" s="1021" t="s">
        <v>272</v>
      </c>
    </row>
    <row r="7" spans="1:5">
      <c r="A7" s="1065"/>
      <c r="B7" s="1022" t="s">
        <v>274</v>
      </c>
      <c r="C7" s="1021" t="s">
        <v>5</v>
      </c>
      <c r="D7" s="832" t="s">
        <v>725</v>
      </c>
      <c r="E7" s="1021" t="s">
        <v>274</v>
      </c>
    </row>
    <row r="8" spans="1:5">
      <c r="A8" s="1020" t="s">
        <v>6</v>
      </c>
      <c r="B8" s="830" t="s">
        <v>6</v>
      </c>
      <c r="C8" s="1021" t="s">
        <v>6</v>
      </c>
      <c r="D8" s="832" t="s">
        <v>726</v>
      </c>
      <c r="E8" s="1021" t="s">
        <v>6</v>
      </c>
    </row>
    <row r="9" spans="1:5">
      <c r="A9" s="1065" t="s">
        <v>7</v>
      </c>
      <c r="B9" s="830" t="s">
        <v>275</v>
      </c>
      <c r="C9" s="1021" t="s">
        <v>727</v>
      </c>
      <c r="D9" s="832" t="s">
        <v>728</v>
      </c>
      <c r="E9" s="1021" t="s">
        <v>705</v>
      </c>
    </row>
    <row r="10" spans="1:5">
      <c r="A10" s="1065"/>
      <c r="B10" s="830" t="s">
        <v>276</v>
      </c>
      <c r="C10" s="1021" t="s">
        <v>143</v>
      </c>
      <c r="D10" s="832" t="s">
        <v>729</v>
      </c>
      <c r="E10" s="1021" t="s">
        <v>705</v>
      </c>
    </row>
    <row r="11" spans="1:5">
      <c r="A11" s="1065"/>
      <c r="B11" s="830" t="s">
        <v>277</v>
      </c>
      <c r="C11" s="1021" t="s">
        <v>727</v>
      </c>
      <c r="D11" s="832" t="s">
        <v>730</v>
      </c>
      <c r="E11" s="1021" t="s">
        <v>705</v>
      </c>
    </row>
    <row r="12" spans="1:5">
      <c r="A12" s="1065"/>
      <c r="B12" s="830" t="s">
        <v>100</v>
      </c>
      <c r="C12" s="1021" t="s">
        <v>727</v>
      </c>
      <c r="D12" s="832" t="s">
        <v>731</v>
      </c>
      <c r="E12" s="1021" t="s">
        <v>705</v>
      </c>
    </row>
    <row r="13" spans="1:5">
      <c r="A13" s="1065" t="s">
        <v>143</v>
      </c>
      <c r="B13" s="830" t="s">
        <v>556</v>
      </c>
      <c r="C13" s="1021" t="s">
        <v>143</v>
      </c>
      <c r="D13" s="832" t="s">
        <v>729</v>
      </c>
      <c r="E13" s="1021" t="s">
        <v>8</v>
      </c>
    </row>
    <row r="14" spans="1:5">
      <c r="A14" s="1065"/>
      <c r="B14" s="1022" t="s">
        <v>278</v>
      </c>
      <c r="C14" s="1021" t="s">
        <v>143</v>
      </c>
      <c r="D14" s="832" t="s">
        <v>732</v>
      </c>
      <c r="E14" s="1021" t="s">
        <v>8</v>
      </c>
    </row>
    <row r="15" spans="1:5">
      <c r="A15" s="1065"/>
      <c r="B15" s="830" t="s">
        <v>107</v>
      </c>
      <c r="C15" s="1021" t="s">
        <v>143</v>
      </c>
      <c r="D15" s="832" t="s">
        <v>733</v>
      </c>
      <c r="E15" s="1021" t="s">
        <v>8</v>
      </c>
    </row>
    <row r="16" spans="1:5">
      <c r="A16" s="1065"/>
      <c r="B16" s="1022" t="s">
        <v>279</v>
      </c>
      <c r="C16" s="1021" t="s">
        <v>143</v>
      </c>
      <c r="D16" s="832" t="s">
        <v>734</v>
      </c>
      <c r="E16" s="1021" t="s">
        <v>8</v>
      </c>
    </row>
    <row r="17" spans="1:5">
      <c r="A17" s="1065"/>
      <c r="B17" s="830" t="s">
        <v>93</v>
      </c>
      <c r="C17" s="1021" t="s">
        <v>143</v>
      </c>
      <c r="D17" s="832" t="s">
        <v>735</v>
      </c>
      <c r="E17" s="1021" t="s">
        <v>8</v>
      </c>
    </row>
    <row r="18" spans="1:5" ht="31">
      <c r="A18" s="1065"/>
      <c r="B18" s="830" t="s">
        <v>280</v>
      </c>
      <c r="C18" s="1021" t="s">
        <v>143</v>
      </c>
      <c r="D18" s="832" t="s">
        <v>736</v>
      </c>
      <c r="E18" s="1021" t="s">
        <v>8</v>
      </c>
    </row>
    <row r="19" spans="1:5">
      <c r="A19" s="1065"/>
      <c r="B19" s="830" t="s">
        <v>338</v>
      </c>
      <c r="C19" s="1021" t="s">
        <v>143</v>
      </c>
      <c r="D19" s="832" t="s">
        <v>729</v>
      </c>
      <c r="E19" s="1021" t="s">
        <v>8</v>
      </c>
    </row>
    <row r="20" spans="1:5">
      <c r="A20" s="1065"/>
      <c r="B20" s="830" t="s">
        <v>281</v>
      </c>
      <c r="C20" s="1021" t="s">
        <v>143</v>
      </c>
      <c r="D20" s="832" t="s">
        <v>737</v>
      </c>
      <c r="E20" s="1021" t="s">
        <v>8</v>
      </c>
    </row>
    <row r="21" spans="1:5">
      <c r="A21" s="1065"/>
      <c r="B21" s="830" t="s">
        <v>94</v>
      </c>
      <c r="C21" s="1021" t="s">
        <v>143</v>
      </c>
      <c r="D21" s="832" t="s">
        <v>738</v>
      </c>
      <c r="E21" s="1021" t="s">
        <v>8</v>
      </c>
    </row>
    <row r="22" spans="1:5">
      <c r="A22" s="1065"/>
      <c r="B22" s="1022" t="s">
        <v>282</v>
      </c>
      <c r="C22" s="1021" t="s">
        <v>143</v>
      </c>
      <c r="D22" s="1023" t="s">
        <v>739</v>
      </c>
      <c r="E22" s="1021" t="s">
        <v>8</v>
      </c>
    </row>
    <row r="23" spans="1:5">
      <c r="A23" s="1065"/>
      <c r="B23" s="1022" t="s">
        <v>283</v>
      </c>
      <c r="C23" s="1021" t="s">
        <v>143</v>
      </c>
      <c r="D23" s="1023" t="s">
        <v>740</v>
      </c>
      <c r="E23" s="1021" t="s">
        <v>8</v>
      </c>
    </row>
    <row r="24" spans="1:5">
      <c r="A24" s="1065" t="s">
        <v>11</v>
      </c>
      <c r="B24" s="830" t="s">
        <v>284</v>
      </c>
      <c r="C24" s="1021" t="s">
        <v>749</v>
      </c>
      <c r="D24" s="1023" t="s">
        <v>741</v>
      </c>
      <c r="E24" s="1021" t="s">
        <v>706</v>
      </c>
    </row>
    <row r="25" spans="1:5">
      <c r="A25" s="1065"/>
      <c r="B25" s="830" t="s">
        <v>285</v>
      </c>
      <c r="C25" s="1021" t="s">
        <v>143</v>
      </c>
      <c r="D25" s="832" t="s">
        <v>729</v>
      </c>
      <c r="E25" s="1021" t="s">
        <v>705</v>
      </c>
    </row>
    <row r="26" spans="1:5">
      <c r="A26" s="1065"/>
      <c r="B26" s="830" t="s">
        <v>286</v>
      </c>
      <c r="C26" s="1021" t="s">
        <v>749</v>
      </c>
      <c r="D26" s="1023" t="s">
        <v>742</v>
      </c>
      <c r="E26" s="1021" t="s">
        <v>706</v>
      </c>
    </row>
    <row r="27" spans="1:5">
      <c r="A27" s="1065"/>
      <c r="B27" s="830" t="s">
        <v>287</v>
      </c>
      <c r="C27" s="1021" t="s">
        <v>749</v>
      </c>
      <c r="D27" s="1023" t="s">
        <v>743</v>
      </c>
      <c r="E27" s="1021" t="s">
        <v>706</v>
      </c>
    </row>
    <row r="28" spans="1:5">
      <c r="A28" s="1065"/>
      <c r="B28" s="830" t="s">
        <v>744</v>
      </c>
      <c r="C28" s="1021" t="s">
        <v>749</v>
      </c>
      <c r="D28" s="1023" t="s">
        <v>743</v>
      </c>
      <c r="E28" s="1021" t="s">
        <v>706</v>
      </c>
    </row>
    <row r="29" spans="1:5" ht="31">
      <c r="A29" s="1065"/>
      <c r="B29" s="830" t="s">
        <v>130</v>
      </c>
      <c r="C29" s="1021" t="s">
        <v>749</v>
      </c>
      <c r="D29" s="1023" t="s">
        <v>745</v>
      </c>
      <c r="E29" s="1021" t="s">
        <v>776</v>
      </c>
    </row>
    <row r="30" spans="1:5">
      <c r="A30" s="1065"/>
      <c r="B30" s="830" t="s">
        <v>288</v>
      </c>
      <c r="C30" s="1021" t="s">
        <v>143</v>
      </c>
      <c r="D30" s="832" t="s">
        <v>729</v>
      </c>
      <c r="E30" s="1021" t="s">
        <v>705</v>
      </c>
    </row>
    <row r="31" spans="1:5">
      <c r="A31" s="1065"/>
      <c r="B31" s="830" t="s">
        <v>289</v>
      </c>
      <c r="C31" s="1021" t="s">
        <v>143</v>
      </c>
      <c r="D31" s="832" t="s">
        <v>729</v>
      </c>
      <c r="E31" s="1021" t="s">
        <v>705</v>
      </c>
    </row>
    <row r="32" spans="1:5">
      <c r="A32" s="1065"/>
      <c r="B32" s="830" t="s">
        <v>290</v>
      </c>
      <c r="C32" s="1021" t="s">
        <v>749</v>
      </c>
      <c r="D32" s="1023" t="s">
        <v>741</v>
      </c>
      <c r="E32" s="1021" t="s">
        <v>706</v>
      </c>
    </row>
    <row r="33" spans="1:5" ht="31">
      <c r="A33" s="1065"/>
      <c r="B33" s="830" t="s">
        <v>291</v>
      </c>
      <c r="C33" s="1021" t="s">
        <v>749</v>
      </c>
      <c r="D33" s="1023" t="s">
        <v>745</v>
      </c>
      <c r="E33" s="1021" t="s">
        <v>776</v>
      </c>
    </row>
    <row r="34" spans="1:5">
      <c r="A34" s="1065"/>
      <c r="B34" s="830" t="s">
        <v>292</v>
      </c>
      <c r="C34" s="1021" t="s">
        <v>749</v>
      </c>
      <c r="D34" s="832" t="s">
        <v>746</v>
      </c>
      <c r="E34" s="1021" t="s">
        <v>705</v>
      </c>
    </row>
    <row r="35" spans="1:5">
      <c r="A35" s="1065"/>
      <c r="B35" s="830" t="s">
        <v>293</v>
      </c>
      <c r="C35" s="1021" t="s">
        <v>749</v>
      </c>
      <c r="D35" s="1023" t="s">
        <v>741</v>
      </c>
      <c r="E35" s="1021" t="s">
        <v>706</v>
      </c>
    </row>
    <row r="36" spans="1:5" ht="31">
      <c r="A36" s="1065"/>
      <c r="B36" s="1022" t="s">
        <v>135</v>
      </c>
      <c r="C36" s="1021" t="s">
        <v>749</v>
      </c>
      <c r="D36" s="1023" t="s">
        <v>745</v>
      </c>
      <c r="E36" s="1021" t="s">
        <v>776</v>
      </c>
    </row>
    <row r="37" spans="1:5">
      <c r="A37" s="1065" t="s">
        <v>12</v>
      </c>
      <c r="B37" s="830" t="s">
        <v>294</v>
      </c>
      <c r="C37" s="1021" t="s">
        <v>143</v>
      </c>
      <c r="D37" s="832" t="s">
        <v>729</v>
      </c>
      <c r="E37" s="1021" t="s">
        <v>705</v>
      </c>
    </row>
    <row r="38" spans="1:5">
      <c r="A38" s="1065"/>
      <c r="B38" s="830" t="s">
        <v>295</v>
      </c>
      <c r="C38" s="1021" t="s">
        <v>749</v>
      </c>
      <c r="D38" s="832" t="s">
        <v>747</v>
      </c>
      <c r="E38" s="1021" t="s">
        <v>706</v>
      </c>
    </row>
    <row r="39" spans="1:5">
      <c r="A39" s="1065"/>
      <c r="B39" s="830" t="s">
        <v>296</v>
      </c>
      <c r="C39" s="1021" t="s">
        <v>749</v>
      </c>
      <c r="D39" s="832" t="s">
        <v>747</v>
      </c>
      <c r="E39" s="1021" t="s">
        <v>706</v>
      </c>
    </row>
    <row r="40" spans="1:5">
      <c r="A40" s="1065"/>
      <c r="B40" s="830" t="s">
        <v>297</v>
      </c>
      <c r="C40" s="1021" t="s">
        <v>749</v>
      </c>
      <c r="D40" s="832" t="s">
        <v>747</v>
      </c>
      <c r="E40" s="1021" t="s">
        <v>706</v>
      </c>
    </row>
    <row r="41" spans="1:5">
      <c r="A41" s="1065"/>
      <c r="B41" s="830" t="s">
        <v>298</v>
      </c>
      <c r="C41" s="1021" t="s">
        <v>749</v>
      </c>
      <c r="D41" s="832" t="s">
        <v>747</v>
      </c>
      <c r="E41" s="1021" t="s">
        <v>706</v>
      </c>
    </row>
    <row r="42" spans="1:5">
      <c r="A42" s="1065"/>
      <c r="B42" s="830" t="s">
        <v>299</v>
      </c>
      <c r="C42" s="1021" t="s">
        <v>749</v>
      </c>
      <c r="D42" s="832" t="s">
        <v>747</v>
      </c>
      <c r="E42" s="1021" t="s">
        <v>706</v>
      </c>
    </row>
    <row r="43" spans="1:5">
      <c r="A43" s="1065"/>
      <c r="B43" s="830" t="s">
        <v>748</v>
      </c>
      <c r="C43" s="1021" t="s">
        <v>749</v>
      </c>
      <c r="D43" s="832" t="s">
        <v>747</v>
      </c>
      <c r="E43" s="1021" t="s">
        <v>706</v>
      </c>
    </row>
    <row r="44" spans="1:5">
      <c r="A44" s="1065"/>
      <c r="B44" s="830" t="s">
        <v>300</v>
      </c>
      <c r="C44" s="1021" t="s">
        <v>749</v>
      </c>
      <c r="D44" s="832" t="s">
        <v>747</v>
      </c>
      <c r="E44" s="1021" t="s">
        <v>706</v>
      </c>
    </row>
  </sheetData>
  <sheetProtection algorithmName="SHA-512" hashValue="6Mobn32AIkNPBLEzBO5RitPZKEkzgPW2xVrEe+tYcbmupvNPu5taFULgBM0oqJG2vDq1VI26ev7JefwwTl0NyQ==" saltValue="UW5PpeGk38xA2CJrjGLQcQ==" spinCount="100000" sheet="1" objects="1" scenarios="1"/>
  <mergeCells count="6">
    <mergeCell ref="A37:A44"/>
    <mergeCell ref="A3:E3"/>
    <mergeCell ref="A5:A7"/>
    <mergeCell ref="A9:A12"/>
    <mergeCell ref="A13:A23"/>
    <mergeCell ref="A24:A36"/>
  </mergeCells>
  <hyperlinks>
    <hyperlink ref="A1" location="Indice!A1" display="Torna indietro" xr:uid="{5F9D4137-5151-4CD3-98D3-738BCB026F8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7"/>
  <dimension ref="A1:AU40"/>
  <sheetViews>
    <sheetView showGridLines="0" zoomScaleNormal="100" workbookViewId="0"/>
  </sheetViews>
  <sheetFormatPr defaultColWidth="9.1796875" defaultRowHeight="15.5"/>
  <cols>
    <col min="1" max="1" width="53.1796875" style="12" customWidth="1"/>
    <col min="2" max="2" width="8.54296875" style="12" bestFit="1" customWidth="1"/>
    <col min="3" max="6" width="8.984375E-2" style="12" customWidth="1"/>
    <col min="7" max="7" width="8.54296875" style="12" bestFit="1" customWidth="1"/>
    <col min="8" max="11" width="8.984375E-2" style="12" customWidth="1"/>
    <col min="12" max="12" width="8.54296875" style="12" bestFit="1" customWidth="1"/>
    <col min="13" max="16" width="8.984375E-2" style="12" customWidth="1"/>
    <col min="17" max="17" width="8.54296875" style="12" bestFit="1" customWidth="1"/>
    <col min="18" max="21" width="8.984375E-2" style="12" customWidth="1"/>
    <col min="22" max="22" width="8.54296875" style="12" bestFit="1" customWidth="1"/>
    <col min="23" max="25" width="8.984375E-2" style="12" customWidth="1"/>
    <col min="26" max="26" width="8.984375E-2" style="46" customWidth="1"/>
    <col min="27" max="27" width="8.54296875" style="46" bestFit="1" customWidth="1"/>
    <col min="28" max="31" width="8.984375E-2" style="46" customWidth="1"/>
    <col min="32" max="34" width="8" style="46" bestFit="1" customWidth="1"/>
    <col min="35" max="36" width="9.36328125" style="46" bestFit="1" customWidth="1"/>
    <col min="37" max="37" width="8.90625" style="46" bestFit="1" customWidth="1"/>
    <col min="38" max="39" width="10.81640625" style="12" customWidth="1"/>
    <col min="40" max="40" width="53.36328125" style="12" bestFit="1" customWidth="1"/>
    <col min="41" max="41" width="13.1796875" style="12" bestFit="1" customWidth="1"/>
    <col min="42" max="42" width="10.81640625" bestFit="1" customWidth="1"/>
    <col min="43" max="43" width="17.1796875" style="12" bestFit="1" customWidth="1"/>
    <col min="45" max="45" width="11.6328125" style="12" bestFit="1" customWidth="1"/>
    <col min="46" max="46" width="19" style="12" customWidth="1"/>
    <col min="47" max="47" width="11.36328125" style="12" bestFit="1" customWidth="1"/>
    <col min="48" max="16384" width="9.1796875" style="12"/>
  </cols>
  <sheetData>
    <row r="1" spans="1:47">
      <c r="A1" s="108" t="s">
        <v>694</v>
      </c>
      <c r="B1" s="546"/>
    </row>
    <row r="2" spans="1:47">
      <c r="A2" s="546"/>
      <c r="B2" s="546"/>
    </row>
    <row r="3" spans="1:47">
      <c r="A3" s="47" t="s">
        <v>785</v>
      </c>
    </row>
    <row r="4" spans="1:47">
      <c r="A4" s="1067"/>
      <c r="B4" s="86">
        <v>1990</v>
      </c>
      <c r="C4" s="86">
        <v>1991</v>
      </c>
      <c r="D4" s="86">
        <v>1992</v>
      </c>
      <c r="E4" s="86">
        <v>1993</v>
      </c>
      <c r="F4" s="86">
        <v>1994</v>
      </c>
      <c r="G4" s="86">
        <v>1995</v>
      </c>
      <c r="H4" s="86">
        <v>1996</v>
      </c>
      <c r="I4" s="86">
        <v>1997</v>
      </c>
      <c r="J4" s="86">
        <v>1998</v>
      </c>
      <c r="K4" s="86">
        <v>1999</v>
      </c>
      <c r="L4" s="86">
        <v>2000</v>
      </c>
      <c r="M4" s="86">
        <v>2001</v>
      </c>
      <c r="N4" s="86">
        <v>2002</v>
      </c>
      <c r="O4" s="86">
        <v>2003</v>
      </c>
      <c r="P4" s="86">
        <v>2004</v>
      </c>
      <c r="Q4" s="86">
        <v>2005</v>
      </c>
      <c r="R4" s="86">
        <v>2006</v>
      </c>
      <c r="S4" s="86">
        <v>2007</v>
      </c>
      <c r="T4" s="86">
        <v>2008</v>
      </c>
      <c r="U4" s="86">
        <v>2009</v>
      </c>
      <c r="V4" s="86">
        <v>2010</v>
      </c>
      <c r="W4" s="86">
        <v>2011</v>
      </c>
      <c r="X4" s="86">
        <v>2012</v>
      </c>
      <c r="Y4" s="86">
        <v>2013</v>
      </c>
      <c r="Z4" s="86">
        <v>2014</v>
      </c>
      <c r="AA4" s="86">
        <v>2015</v>
      </c>
      <c r="AB4" s="86">
        <v>2016</v>
      </c>
      <c r="AC4" s="86">
        <v>2017</v>
      </c>
      <c r="AD4" s="86">
        <v>2018</v>
      </c>
      <c r="AE4" s="86">
        <v>2019</v>
      </c>
      <c r="AF4" s="86">
        <v>2020</v>
      </c>
      <c r="AG4" s="86">
        <v>2021</v>
      </c>
      <c r="AH4" s="86">
        <v>2022</v>
      </c>
      <c r="AI4" s="86">
        <f>+AH4+1</f>
        <v>2023</v>
      </c>
      <c r="AJ4" s="86">
        <f>+AI4+1</f>
        <v>2024</v>
      </c>
      <c r="AK4" s="799">
        <v>2025</v>
      </c>
    </row>
    <row r="5" spans="1:47">
      <c r="A5" s="1068"/>
      <c r="B5" s="87" t="s">
        <v>116</v>
      </c>
      <c r="C5" s="88"/>
      <c r="D5" s="88"/>
      <c r="E5" s="88"/>
      <c r="F5" s="88"/>
      <c r="G5" s="88"/>
      <c r="H5" s="88"/>
      <c r="I5" s="88"/>
      <c r="J5" s="88"/>
      <c r="K5" s="88"/>
      <c r="L5" s="88"/>
      <c r="M5" s="88"/>
      <c r="N5" s="88"/>
      <c r="O5" s="88"/>
      <c r="P5" s="88"/>
      <c r="Q5" s="88"/>
      <c r="R5" s="88"/>
      <c r="S5" s="88"/>
      <c r="T5" s="88"/>
      <c r="U5" s="88"/>
      <c r="V5" s="88"/>
      <c r="W5" s="89"/>
      <c r="X5" s="89"/>
      <c r="Y5" s="89"/>
      <c r="Z5" s="89"/>
      <c r="AA5" s="89"/>
      <c r="AB5" s="89"/>
      <c r="AC5" s="89"/>
      <c r="AD5" s="89"/>
      <c r="AE5" s="89"/>
      <c r="AF5" s="89"/>
      <c r="AG5" s="89"/>
      <c r="AH5" s="89"/>
      <c r="AI5" s="89"/>
      <c r="AJ5" s="89"/>
      <c r="AK5" s="89"/>
    </row>
    <row r="6" spans="1:47">
      <c r="A6" s="83" t="s">
        <v>84</v>
      </c>
      <c r="B6" s="739">
        <v>216.6</v>
      </c>
      <c r="C6" s="739">
        <v>221.81649999999999</v>
      </c>
      <c r="D6" s="739">
        <v>226.25399999999999</v>
      </c>
      <c r="E6" s="739">
        <v>222.80199999999999</v>
      </c>
      <c r="F6" s="739">
        <v>231.81269999999998</v>
      </c>
      <c r="G6" s="739">
        <v>241.48829999999998</v>
      </c>
      <c r="H6" s="739">
        <v>244.43170000000001</v>
      </c>
      <c r="I6" s="739">
        <v>251.46979999999999</v>
      </c>
      <c r="J6" s="739">
        <v>259.79400000000004</v>
      </c>
      <c r="K6" s="739">
        <v>265.6592</v>
      </c>
      <c r="L6" s="739">
        <v>276.64209999999997</v>
      </c>
      <c r="M6" s="739">
        <v>279.0086</v>
      </c>
      <c r="N6" s="739">
        <v>285.27679999999998</v>
      </c>
      <c r="O6" s="739">
        <v>293.88390000000004</v>
      </c>
      <c r="P6" s="739">
        <v>303.34819999999996</v>
      </c>
      <c r="Q6" s="739">
        <v>303.6979</v>
      </c>
      <c r="R6" s="739">
        <v>314.12290000000007</v>
      </c>
      <c r="S6" s="739">
        <v>313.88800000000003</v>
      </c>
      <c r="T6" s="739">
        <v>319.12959999999998</v>
      </c>
      <c r="U6" s="739">
        <v>292.64260000000002</v>
      </c>
      <c r="V6" s="739">
        <v>302.06207999999998</v>
      </c>
      <c r="W6" s="739">
        <v>302.58045999999996</v>
      </c>
      <c r="X6" s="739">
        <v>299.27619999999996</v>
      </c>
      <c r="Y6" s="739">
        <v>289.8039</v>
      </c>
      <c r="Z6" s="739">
        <v>279.82820000000004</v>
      </c>
      <c r="AA6" s="739">
        <v>282.99400000000003</v>
      </c>
      <c r="AB6" s="739">
        <v>289.76820000000004</v>
      </c>
      <c r="AC6" s="739">
        <v>295.82999317200006</v>
      </c>
      <c r="AD6" s="739">
        <v>289.70845972702</v>
      </c>
      <c r="AE6" s="739">
        <v>293.85318719754002</v>
      </c>
      <c r="AF6" s="739">
        <v>280.53101400000003</v>
      </c>
      <c r="AG6" s="739">
        <v>289.06950605539993</v>
      </c>
      <c r="AH6" s="739">
        <v>283.95313216482998</v>
      </c>
      <c r="AI6" s="739">
        <v>264.70822462643906</v>
      </c>
      <c r="AJ6" s="739">
        <v>270.9631241096119</v>
      </c>
      <c r="AK6" s="740">
        <v>277.66688938778822</v>
      </c>
    </row>
    <row r="7" spans="1:47">
      <c r="A7" s="84" t="s">
        <v>85</v>
      </c>
      <c r="B7" s="741">
        <v>3.4529999999999998</v>
      </c>
      <c r="C7" s="741">
        <v>3.367</v>
      </c>
      <c r="D7" s="741">
        <v>3.5859999999999999</v>
      </c>
      <c r="E7" s="741">
        <v>3.0569999999999999</v>
      </c>
      <c r="F7" s="741">
        <v>3.073</v>
      </c>
      <c r="G7" s="741">
        <v>4.125</v>
      </c>
      <c r="H7" s="741">
        <v>5.0350000000000001</v>
      </c>
      <c r="I7" s="741">
        <v>4.9489999999999998</v>
      </c>
      <c r="J7" s="741">
        <v>6.1449999999999996</v>
      </c>
      <c r="K7" s="741">
        <v>6.4119999999999999</v>
      </c>
      <c r="L7" s="741">
        <v>6.7</v>
      </c>
      <c r="M7" s="741">
        <v>7.1150000000000002</v>
      </c>
      <c r="N7" s="741">
        <v>7.7430000000000003</v>
      </c>
      <c r="O7" s="741">
        <v>7.6070000000000002</v>
      </c>
      <c r="P7" s="741">
        <v>7.57</v>
      </c>
      <c r="Q7" s="741">
        <v>6.86</v>
      </c>
      <c r="R7" s="741">
        <v>6.431</v>
      </c>
      <c r="S7" s="741">
        <v>5.6660000000000004</v>
      </c>
      <c r="T7" s="741">
        <v>5.6040000000000001</v>
      </c>
      <c r="U7" s="741">
        <v>4.3049999999999997</v>
      </c>
      <c r="V7" s="741">
        <v>3.29</v>
      </c>
      <c r="W7" s="741">
        <v>1.9339999999999999</v>
      </c>
      <c r="X7" s="741">
        <v>1.9790000000000001</v>
      </c>
      <c r="Y7" s="741">
        <v>1.8979999999999999</v>
      </c>
      <c r="Z7" s="741">
        <v>1.7110000000000001</v>
      </c>
      <c r="AA7" s="741">
        <v>1.4320999999999999</v>
      </c>
      <c r="AB7" s="741">
        <v>1.8252000000000002</v>
      </c>
      <c r="AC7" s="741">
        <v>1.8260000000000001</v>
      </c>
      <c r="AD7" s="741">
        <v>1.7162999999999999</v>
      </c>
      <c r="AE7" s="741">
        <v>1.835</v>
      </c>
      <c r="AF7" s="741">
        <v>1.9434709999999999</v>
      </c>
      <c r="AG7" s="741">
        <v>2.0901999999999998</v>
      </c>
      <c r="AH7" s="741">
        <v>1.8932</v>
      </c>
      <c r="AI7" s="741">
        <v>1.5509999999999999</v>
      </c>
      <c r="AJ7" s="741">
        <v>1.6262000000000001</v>
      </c>
      <c r="AK7" s="740">
        <v>1.8171891483516482</v>
      </c>
      <c r="AL7" s="152"/>
    </row>
    <row r="8" spans="1:47">
      <c r="A8" s="84" t="s">
        <v>566</v>
      </c>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1064">
        <v>0</v>
      </c>
      <c r="AI8" s="1064">
        <v>8.4000000000000012E-3</v>
      </c>
      <c r="AJ8" s="1064">
        <v>0.13589999999999999</v>
      </c>
      <c r="AK8" s="755">
        <v>1.6914058901206892</v>
      </c>
    </row>
    <row r="9" spans="1:47" s="837" customFormat="1">
      <c r="A9" s="833" t="s">
        <v>428</v>
      </c>
      <c r="B9" s="834">
        <v>0</v>
      </c>
      <c r="C9" s="834">
        <v>0</v>
      </c>
      <c r="D9" s="834">
        <v>0</v>
      </c>
      <c r="E9" s="834">
        <v>0</v>
      </c>
      <c r="F9" s="834">
        <v>0</v>
      </c>
      <c r="G9" s="834">
        <v>0</v>
      </c>
      <c r="H9" s="834">
        <v>0</v>
      </c>
      <c r="I9" s="834">
        <v>0</v>
      </c>
      <c r="J9" s="834">
        <v>0</v>
      </c>
      <c r="K9" s="834">
        <v>0</v>
      </c>
      <c r="L9" s="834">
        <v>0</v>
      </c>
      <c r="M9" s="834">
        <v>0</v>
      </c>
      <c r="N9" s="834">
        <v>0</v>
      </c>
      <c r="O9" s="834">
        <v>0</v>
      </c>
      <c r="P9" s="835">
        <v>52.660026248869897</v>
      </c>
      <c r="Q9" s="835">
        <v>53.628915620710529</v>
      </c>
      <c r="R9" s="835">
        <v>58.02752892435052</v>
      </c>
      <c r="S9" s="835">
        <v>56.780861636271183</v>
      </c>
      <c r="T9" s="835">
        <v>55.104062635157035</v>
      </c>
      <c r="U9" s="835">
        <v>50.227723507174296</v>
      </c>
      <c r="V9" s="835">
        <v>56.251942794311546</v>
      </c>
      <c r="W9" s="835">
        <v>59.954932081796819</v>
      </c>
      <c r="X9" s="835">
        <v>56.456630644373554</v>
      </c>
      <c r="Y9" s="835">
        <v>59.094312712217949</v>
      </c>
      <c r="Z9" s="835">
        <v>56.235660806238421</v>
      </c>
      <c r="AA9" s="835">
        <v>59.269925583577979</v>
      </c>
      <c r="AB9" s="835">
        <v>61.045825282695432</v>
      </c>
      <c r="AC9" s="835">
        <v>61.079597</v>
      </c>
      <c r="AD9" s="835">
        <v>59.621195</v>
      </c>
      <c r="AE9" s="835">
        <v>60.245725999999998</v>
      </c>
      <c r="AF9" s="835">
        <v>59.297881000000004</v>
      </c>
      <c r="AG9" s="835">
        <v>57.681199999999997</v>
      </c>
      <c r="AH9" s="835">
        <v>56.677</v>
      </c>
      <c r="AI9" s="835">
        <v>50.866800000000005</v>
      </c>
      <c r="AJ9" s="835">
        <v>51.720800000000004</v>
      </c>
      <c r="AK9" s="836">
        <v>52.416793235512124</v>
      </c>
      <c r="AT9" s="12"/>
      <c r="AU9" s="12"/>
    </row>
    <row r="10" spans="1:47">
      <c r="A10" s="83" t="s">
        <v>86</v>
      </c>
      <c r="B10" s="739">
        <v>11.536</v>
      </c>
      <c r="C10" s="739">
        <v>11.526</v>
      </c>
      <c r="D10" s="739">
        <v>11.811</v>
      </c>
      <c r="E10" s="739">
        <v>11.430999999999999</v>
      </c>
      <c r="F10" s="739">
        <v>11.641</v>
      </c>
      <c r="G10" s="739">
        <v>12.273</v>
      </c>
      <c r="H10" s="739">
        <v>12.058999999999999</v>
      </c>
      <c r="I10" s="739">
        <v>12.176</v>
      </c>
      <c r="J10" s="739">
        <v>12.847</v>
      </c>
      <c r="K10" s="739">
        <v>12.919</v>
      </c>
      <c r="L10" s="739">
        <v>13.336416000000026</v>
      </c>
      <c r="M10" s="739">
        <v>13.027398000000044</v>
      </c>
      <c r="N10" s="739">
        <v>14.477496999999975</v>
      </c>
      <c r="O10" s="739">
        <v>13.682059999999998</v>
      </c>
      <c r="P10" s="739">
        <v>13.300268999999972</v>
      </c>
      <c r="Q10" s="739">
        <v>13.064966000000014</v>
      </c>
      <c r="R10" s="739">
        <v>12.863271000000008</v>
      </c>
      <c r="S10" s="739">
        <v>12.588071999999986</v>
      </c>
      <c r="T10" s="739">
        <v>12.065985999999976</v>
      </c>
      <c r="U10" s="739">
        <v>11.533415000000037</v>
      </c>
      <c r="V10" s="739">
        <v>11.31742200000002</v>
      </c>
      <c r="W10" s="739">
        <v>11.139831999999995</v>
      </c>
      <c r="X10" s="739">
        <v>11.473618000000016</v>
      </c>
      <c r="Y10" s="739">
        <v>10.97320299999998</v>
      </c>
      <c r="Z10" s="739">
        <v>10.679407999999995</v>
      </c>
      <c r="AA10" s="739">
        <v>10.565047000000021</v>
      </c>
      <c r="AB10" s="739">
        <v>10.065338000000047</v>
      </c>
      <c r="AC10" s="739">
        <v>10.564362000000022</v>
      </c>
      <c r="AD10" s="739">
        <v>9.8638140000000138</v>
      </c>
      <c r="AE10" s="739">
        <v>9.9031000000000002</v>
      </c>
      <c r="AF10" s="739">
        <v>8.8829999999999991</v>
      </c>
      <c r="AG10" s="739">
        <v>9.0242500000000003</v>
      </c>
      <c r="AH10" s="739">
        <v>9.3451399999999989</v>
      </c>
      <c r="AI10" s="739">
        <v>8.1463000000000001</v>
      </c>
      <c r="AJ10" s="739">
        <v>7.7338000000000005</v>
      </c>
      <c r="AK10" s="740">
        <v>7.9186893877881701</v>
      </c>
    </row>
    <row r="11" spans="1:47">
      <c r="A11" s="83" t="s">
        <v>87</v>
      </c>
      <c r="B11" s="739">
        <v>205.06399999999999</v>
      </c>
      <c r="C11" s="739">
        <v>210.29050000000001</v>
      </c>
      <c r="D11" s="739">
        <v>214.44300000000001</v>
      </c>
      <c r="E11" s="739">
        <v>211.37100000000001</v>
      </c>
      <c r="F11" s="739">
        <v>220.17169999999999</v>
      </c>
      <c r="G11" s="739">
        <v>229.21529999999998</v>
      </c>
      <c r="H11" s="739">
        <v>232.37270000000001</v>
      </c>
      <c r="I11" s="739">
        <v>239.29379999999998</v>
      </c>
      <c r="J11" s="739">
        <v>246.94700000000003</v>
      </c>
      <c r="K11" s="739">
        <v>252.74020000000002</v>
      </c>
      <c r="L11" s="739">
        <v>263.30568399999993</v>
      </c>
      <c r="M11" s="739">
        <v>265.98120199999994</v>
      </c>
      <c r="N11" s="739">
        <v>270.79930300000001</v>
      </c>
      <c r="O11" s="739">
        <v>280.20184</v>
      </c>
      <c r="P11" s="739">
        <v>290.04793100000001</v>
      </c>
      <c r="Q11" s="739">
        <v>290.63293400000003</v>
      </c>
      <c r="R11" s="739">
        <v>301.25962900000007</v>
      </c>
      <c r="S11" s="739">
        <v>301.29992800000008</v>
      </c>
      <c r="T11" s="739">
        <v>307.06361400000003</v>
      </c>
      <c r="U11" s="739">
        <v>281.10918500000002</v>
      </c>
      <c r="V11" s="739">
        <v>290.74465799999996</v>
      </c>
      <c r="W11" s="739">
        <v>291.44062799999995</v>
      </c>
      <c r="X11" s="739">
        <v>287.80258199999992</v>
      </c>
      <c r="Y11" s="739">
        <v>278.83069700000004</v>
      </c>
      <c r="Z11" s="739">
        <v>269.14879200000001</v>
      </c>
      <c r="AA11" s="739">
        <v>272.42895299999998</v>
      </c>
      <c r="AB11" s="739">
        <v>279.70286199999998</v>
      </c>
      <c r="AC11" s="739">
        <v>285.26563117200004</v>
      </c>
      <c r="AD11" s="739">
        <v>279.84464572702001</v>
      </c>
      <c r="AE11" s="739">
        <v>283.95008719754003</v>
      </c>
      <c r="AF11" s="739">
        <v>271.64801400000005</v>
      </c>
      <c r="AG11" s="739">
        <v>280.04525605539993</v>
      </c>
      <c r="AH11" s="739">
        <v>274.60799216482997</v>
      </c>
      <c r="AI11" s="739">
        <v>256.56192462643907</v>
      </c>
      <c r="AJ11" s="739">
        <v>263.22932410961192</v>
      </c>
      <c r="AK11" s="740">
        <v>269.7482</v>
      </c>
      <c r="AL11" s="152"/>
    </row>
    <row r="12" spans="1:47">
      <c r="A12" s="83" t="s">
        <v>88</v>
      </c>
      <c r="B12" s="739">
        <v>4.782</v>
      </c>
      <c r="C12" s="739">
        <v>4.577</v>
      </c>
      <c r="D12" s="739">
        <v>4.9459999999999997</v>
      </c>
      <c r="E12" s="739">
        <v>4.1890000000000001</v>
      </c>
      <c r="F12" s="739">
        <v>4.1500000000000004</v>
      </c>
      <c r="G12" s="739">
        <v>5.6260000000000003</v>
      </c>
      <c r="H12" s="739">
        <v>6.8819999999999997</v>
      </c>
      <c r="I12" s="739">
        <v>6.7279999999999998</v>
      </c>
      <c r="J12" s="739">
        <v>8.3580000000000005</v>
      </c>
      <c r="K12" s="739">
        <v>8.9030000000000005</v>
      </c>
      <c r="L12" s="739">
        <v>9.1300000000000008</v>
      </c>
      <c r="M12" s="739">
        <v>9.5109999999999992</v>
      </c>
      <c r="N12" s="739">
        <v>10.654</v>
      </c>
      <c r="O12" s="739">
        <v>10.493</v>
      </c>
      <c r="P12" s="739">
        <v>10.3</v>
      </c>
      <c r="Q12" s="739">
        <v>9.3190000000000008</v>
      </c>
      <c r="R12" s="739">
        <v>8.7520000000000007</v>
      </c>
      <c r="S12" s="739">
        <v>7.6539999999999999</v>
      </c>
      <c r="T12" s="739">
        <v>7.6180000000000003</v>
      </c>
      <c r="U12" s="739">
        <v>5.798</v>
      </c>
      <c r="V12" s="739">
        <v>4.4530000000000003</v>
      </c>
      <c r="W12" s="739">
        <v>2.5390000000000001</v>
      </c>
      <c r="X12" s="739">
        <v>2.6890000000000001</v>
      </c>
      <c r="Y12" s="739">
        <v>2.4950000000000001</v>
      </c>
      <c r="Z12" s="739">
        <v>2.3290000000000002</v>
      </c>
      <c r="AA12" s="739">
        <v>1.909</v>
      </c>
      <c r="AB12" s="739">
        <v>2.468</v>
      </c>
      <c r="AC12" s="739">
        <v>2.4781619999999998</v>
      </c>
      <c r="AD12" s="739">
        <v>2.3122790000000002</v>
      </c>
      <c r="AE12" s="739">
        <v>2.4691999999999998</v>
      </c>
      <c r="AF12" s="739">
        <v>2.6680000000000001</v>
      </c>
      <c r="AG12" s="739">
        <v>2.91615</v>
      </c>
      <c r="AH12" s="739">
        <v>2.5863499999999999</v>
      </c>
      <c r="AI12" s="739">
        <v>2.1855000000000002</v>
      </c>
      <c r="AJ12" s="739">
        <v>2.1410999999999998</v>
      </c>
      <c r="AK12" s="740">
        <v>2.4302127351664251</v>
      </c>
    </row>
    <row r="13" spans="1:47">
      <c r="A13" s="83" t="s">
        <v>573</v>
      </c>
      <c r="B13" s="739"/>
      <c r="C13" s="739"/>
      <c r="D13" s="739"/>
      <c r="E13" s="739"/>
      <c r="F13" s="739"/>
      <c r="G13" s="739"/>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739"/>
      <c r="AF13" s="739"/>
      <c r="AG13" s="739"/>
      <c r="AH13" s="739">
        <v>0</v>
      </c>
      <c r="AI13" s="739">
        <v>1.1599999999999999E-2</v>
      </c>
      <c r="AJ13" s="739">
        <v>0.1739</v>
      </c>
      <c r="AK13" s="740">
        <v>1.9168000000000003</v>
      </c>
    </row>
    <row r="14" spans="1:47">
      <c r="A14" s="83" t="s">
        <v>89</v>
      </c>
      <c r="B14" s="739">
        <v>200.28200000000001</v>
      </c>
      <c r="C14" s="739">
        <v>205.71350000000001</v>
      </c>
      <c r="D14" s="739">
        <v>209.49700000000001</v>
      </c>
      <c r="E14" s="739">
        <v>207.18199999999999</v>
      </c>
      <c r="F14" s="739">
        <v>216.02169999999998</v>
      </c>
      <c r="G14" s="739">
        <v>223.58929999999998</v>
      </c>
      <c r="H14" s="739">
        <v>225.4907</v>
      </c>
      <c r="I14" s="739">
        <v>232.5658</v>
      </c>
      <c r="J14" s="739">
        <v>238.58900000000003</v>
      </c>
      <c r="K14" s="739">
        <v>243.83720000000002</v>
      </c>
      <c r="L14" s="739">
        <v>254.17568399999996</v>
      </c>
      <c r="M14" s="739">
        <v>256.47020199999992</v>
      </c>
      <c r="N14" s="739">
        <v>260.14530300000001</v>
      </c>
      <c r="O14" s="739">
        <v>269.70884000000001</v>
      </c>
      <c r="P14" s="739">
        <v>279.74793099999999</v>
      </c>
      <c r="Q14" s="739">
        <v>281.31393400000002</v>
      </c>
      <c r="R14" s="739">
        <v>292.50762900000007</v>
      </c>
      <c r="S14" s="739">
        <v>293.64592800000008</v>
      </c>
      <c r="T14" s="739">
        <v>299.44561399999998</v>
      </c>
      <c r="U14" s="739">
        <v>275.31118500000002</v>
      </c>
      <c r="V14" s="739">
        <v>286.29165799999993</v>
      </c>
      <c r="W14" s="739">
        <v>288.90162799999996</v>
      </c>
      <c r="X14" s="739">
        <v>285.11358199999995</v>
      </c>
      <c r="Y14" s="739">
        <v>276.33569700000004</v>
      </c>
      <c r="Z14" s="739">
        <v>266.81979200000001</v>
      </c>
      <c r="AA14" s="739">
        <v>270.51995299999999</v>
      </c>
      <c r="AB14" s="739">
        <v>277.23486199999996</v>
      </c>
      <c r="AC14" s="739">
        <v>282.78746917199999</v>
      </c>
      <c r="AD14" s="739">
        <v>277.53236672702002</v>
      </c>
      <c r="AE14" s="739">
        <v>281.48088719754003</v>
      </c>
      <c r="AF14" s="739">
        <v>268.98001400000004</v>
      </c>
      <c r="AG14" s="739">
        <v>277.12910605539992</v>
      </c>
      <c r="AH14" s="739">
        <v>272.02164216482998</v>
      </c>
      <c r="AI14" s="739">
        <v>254.36482462643906</v>
      </c>
      <c r="AJ14" s="739">
        <v>260.91432410961193</v>
      </c>
      <c r="AK14" s="740">
        <v>265.4011872648336</v>
      </c>
      <c r="AL14" s="1009"/>
      <c r="AM14" s="1009"/>
    </row>
    <row r="15" spans="1:47">
      <c r="A15" s="83" t="s">
        <v>112</v>
      </c>
      <c r="B15" s="739">
        <v>34.655000000000001</v>
      </c>
      <c r="C15" s="739">
        <v>35.082000000000001</v>
      </c>
      <c r="D15" s="739">
        <v>35.299999999999997</v>
      </c>
      <c r="E15" s="739">
        <v>39.432000000000002</v>
      </c>
      <c r="F15" s="739">
        <v>37.598999999999997</v>
      </c>
      <c r="G15" s="739">
        <v>37.427</v>
      </c>
      <c r="H15" s="739">
        <v>37.389000000000003</v>
      </c>
      <c r="I15" s="739">
        <v>38.832000000000001</v>
      </c>
      <c r="J15" s="739">
        <v>40.731999999999999</v>
      </c>
      <c r="K15" s="739">
        <v>42.01</v>
      </c>
      <c r="L15" s="739">
        <v>44.347000000000001</v>
      </c>
      <c r="M15" s="739">
        <v>48.377000000000002</v>
      </c>
      <c r="N15" s="739">
        <v>50.597000000000001</v>
      </c>
      <c r="O15" s="739">
        <v>50.968000000000004</v>
      </c>
      <c r="P15" s="739">
        <v>45.634999999999998</v>
      </c>
      <c r="Q15" s="739">
        <v>49.155000000000001</v>
      </c>
      <c r="R15" s="739">
        <v>44.984999999999999</v>
      </c>
      <c r="S15" s="739">
        <v>46.283000000000001</v>
      </c>
      <c r="T15" s="739">
        <v>40.034999999999997</v>
      </c>
      <c r="U15" s="739">
        <v>44.959000000000003</v>
      </c>
      <c r="V15" s="739">
        <v>44.16</v>
      </c>
      <c r="W15" s="739">
        <v>45.731999999999999</v>
      </c>
      <c r="X15" s="739">
        <v>43.103000000000002</v>
      </c>
      <c r="Y15" s="739">
        <v>42.137999999999998</v>
      </c>
      <c r="Z15" s="739">
        <v>43.716000000000001</v>
      </c>
      <c r="AA15" s="739">
        <v>46.378</v>
      </c>
      <c r="AB15" s="739">
        <v>37.027000000000001</v>
      </c>
      <c r="AC15" s="739">
        <v>37.760649999999998</v>
      </c>
      <c r="AD15" s="739">
        <v>43.898788999999994</v>
      </c>
      <c r="AE15" s="739">
        <v>38.141200000000005</v>
      </c>
      <c r="AF15" s="739">
        <v>32.200400000000002</v>
      </c>
      <c r="AG15" s="739">
        <v>42.7898</v>
      </c>
      <c r="AH15" s="739">
        <v>42.986800000000002</v>
      </c>
      <c r="AI15" s="739">
        <v>51.2515</v>
      </c>
      <c r="AJ15" s="739">
        <v>50.999600000000001</v>
      </c>
      <c r="AK15" s="740">
        <v>46.889000000000003</v>
      </c>
      <c r="AL15" s="1009"/>
      <c r="AM15" s="1009"/>
    </row>
    <row r="16" spans="1:47">
      <c r="A16" s="83" t="s">
        <v>90</v>
      </c>
      <c r="B16" s="739">
        <v>234.93700000000001</v>
      </c>
      <c r="C16" s="739">
        <v>240.7955</v>
      </c>
      <c r="D16" s="739">
        <v>244.797</v>
      </c>
      <c r="E16" s="739">
        <v>246.614</v>
      </c>
      <c r="F16" s="739">
        <v>253.62069999999997</v>
      </c>
      <c r="G16" s="739">
        <v>261.0163</v>
      </c>
      <c r="H16" s="739">
        <v>262.87970000000001</v>
      </c>
      <c r="I16" s="739">
        <v>271.39779999999996</v>
      </c>
      <c r="J16" s="739">
        <v>279.32100000000003</v>
      </c>
      <c r="K16" s="739">
        <v>285.84719999999999</v>
      </c>
      <c r="L16" s="739">
        <v>298.52268399999997</v>
      </c>
      <c r="M16" s="739">
        <v>304.84720199999992</v>
      </c>
      <c r="N16" s="739">
        <v>310.74230299999999</v>
      </c>
      <c r="O16" s="739">
        <v>320.67684000000003</v>
      </c>
      <c r="P16" s="739">
        <v>325.38293099999999</v>
      </c>
      <c r="Q16" s="739">
        <v>330.46893399999999</v>
      </c>
      <c r="R16" s="739">
        <v>337.49262900000008</v>
      </c>
      <c r="S16" s="739">
        <v>339.9289280000001</v>
      </c>
      <c r="T16" s="739">
        <v>339.480614</v>
      </c>
      <c r="U16" s="739">
        <v>320.27018499999997</v>
      </c>
      <c r="V16" s="739">
        <v>330.45165799999995</v>
      </c>
      <c r="W16" s="739">
        <v>334.63362799999999</v>
      </c>
      <c r="X16" s="739">
        <v>328.21658199999996</v>
      </c>
      <c r="Y16" s="739">
        <v>318.47369700000002</v>
      </c>
      <c r="Z16" s="739">
        <v>310.53579200000001</v>
      </c>
      <c r="AA16" s="739">
        <v>316.89795299999997</v>
      </c>
      <c r="AB16" s="739">
        <v>314.26186199999995</v>
      </c>
      <c r="AC16" s="739">
        <v>320.54811917200004</v>
      </c>
      <c r="AD16" s="739">
        <v>321.43115572701998</v>
      </c>
      <c r="AE16" s="739">
        <v>319.62208719754005</v>
      </c>
      <c r="AF16" s="739">
        <v>301.18041400000004</v>
      </c>
      <c r="AG16" s="739">
        <v>319.91890605539993</v>
      </c>
      <c r="AH16" s="739">
        <v>315.00844216483</v>
      </c>
      <c r="AI16" s="739">
        <v>305.616324626439</v>
      </c>
      <c r="AJ16" s="739">
        <v>311.91392410961191</v>
      </c>
      <c r="AK16" s="740">
        <v>312.29018726483361</v>
      </c>
      <c r="AL16" s="1009"/>
      <c r="AM16" s="1009"/>
    </row>
    <row r="17" spans="1:45">
      <c r="A17" s="83" t="s">
        <v>91</v>
      </c>
      <c r="B17" s="739">
        <v>16.158999999999999</v>
      </c>
      <c r="C17" s="739">
        <v>17.108000000000001</v>
      </c>
      <c r="D17" s="739">
        <v>16.728000000000002</v>
      </c>
      <c r="E17" s="739">
        <v>17.649999999999999</v>
      </c>
      <c r="F17" s="739">
        <v>17.065999999999999</v>
      </c>
      <c r="G17" s="739">
        <v>17.552</v>
      </c>
      <c r="H17" s="739">
        <v>16.927</v>
      </c>
      <c r="I17" s="739">
        <v>17.727</v>
      </c>
      <c r="J17" s="739">
        <v>18.518000000000001</v>
      </c>
      <c r="K17" s="739">
        <v>18.571000000000002</v>
      </c>
      <c r="L17" s="739">
        <v>19.202999999999999</v>
      </c>
      <c r="M17" s="739">
        <v>19.356000000000002</v>
      </c>
      <c r="N17" s="739">
        <v>19.782</v>
      </c>
      <c r="O17" s="739">
        <v>20.888999999999999</v>
      </c>
      <c r="P17" s="739">
        <v>20.867999999999999</v>
      </c>
      <c r="Q17" s="739">
        <v>20.626000000000001</v>
      </c>
      <c r="R17" s="739">
        <v>19.925999999999998</v>
      </c>
      <c r="S17" s="739">
        <v>20.975999999999999</v>
      </c>
      <c r="T17" s="739">
        <v>20.443999999999999</v>
      </c>
      <c r="U17" s="739">
        <v>20.352</v>
      </c>
      <c r="V17" s="739">
        <v>20.57</v>
      </c>
      <c r="W17" s="739">
        <v>20.847999999999999</v>
      </c>
      <c r="X17" s="739">
        <v>21</v>
      </c>
      <c r="Y17" s="739">
        <v>21.187000000000001</v>
      </c>
      <c r="Z17" s="739">
        <v>19.451000000000001</v>
      </c>
      <c r="AA17" s="739">
        <v>19.716999999999999</v>
      </c>
      <c r="AB17" s="739">
        <v>18.753</v>
      </c>
      <c r="AC17" s="739">
        <v>18.667621999999998</v>
      </c>
      <c r="AD17" s="739">
        <v>17.988159</v>
      </c>
      <c r="AE17" s="739">
        <v>17.818287197540048</v>
      </c>
      <c r="AF17" s="739">
        <v>17.365914000000046</v>
      </c>
      <c r="AG17" s="739">
        <v>19.0318</v>
      </c>
      <c r="AH17" s="739">
        <v>19.155000000000001</v>
      </c>
      <c r="AI17" s="739">
        <v>18.244199999999999</v>
      </c>
      <c r="AJ17" s="739">
        <v>19.201400000000003</v>
      </c>
      <c r="AK17" s="740">
        <v>18.642605696738311</v>
      </c>
      <c r="AL17" s="1009"/>
      <c r="AM17" s="1009"/>
    </row>
    <row r="18" spans="1:45">
      <c r="A18" s="83" t="s">
        <v>51</v>
      </c>
      <c r="B18" s="739">
        <v>218.77799999999999</v>
      </c>
      <c r="C18" s="739">
        <v>223.6875</v>
      </c>
      <c r="D18" s="739">
        <v>228.06899999999999</v>
      </c>
      <c r="E18" s="739">
        <v>228.964</v>
      </c>
      <c r="F18" s="739">
        <v>236.55469999999997</v>
      </c>
      <c r="G18" s="739">
        <v>243.46429999999998</v>
      </c>
      <c r="H18" s="739">
        <v>245.95270000000002</v>
      </c>
      <c r="I18" s="739">
        <v>253.67079999999999</v>
      </c>
      <c r="J18" s="739">
        <v>260.803</v>
      </c>
      <c r="K18" s="739">
        <v>267.27620000000002</v>
      </c>
      <c r="L18" s="739">
        <v>279.31968399999994</v>
      </c>
      <c r="M18" s="739">
        <v>285.49120199999993</v>
      </c>
      <c r="N18" s="739">
        <v>290.96030300000001</v>
      </c>
      <c r="O18" s="739">
        <v>299.78784000000002</v>
      </c>
      <c r="P18" s="739">
        <v>304.51493099999999</v>
      </c>
      <c r="Q18" s="739">
        <v>309.84293400000001</v>
      </c>
      <c r="R18" s="739">
        <v>317.56662900000009</v>
      </c>
      <c r="S18" s="739">
        <v>318.9529280000001</v>
      </c>
      <c r="T18" s="739">
        <v>319.03661399999999</v>
      </c>
      <c r="U18" s="739">
        <v>299.91818499999999</v>
      </c>
      <c r="V18" s="739">
        <v>309.88165799999996</v>
      </c>
      <c r="W18" s="739">
        <v>313.78562799999997</v>
      </c>
      <c r="X18" s="739">
        <v>307.21658199999996</v>
      </c>
      <c r="Y18" s="739">
        <v>297.28669700000006</v>
      </c>
      <c r="Z18" s="739">
        <v>291.08479199999999</v>
      </c>
      <c r="AA18" s="739">
        <v>297.18095299999999</v>
      </c>
      <c r="AB18" s="739">
        <v>295.50886199999997</v>
      </c>
      <c r="AC18" s="739">
        <v>301.88049717200005</v>
      </c>
      <c r="AD18" s="739">
        <v>303.44299672701999</v>
      </c>
      <c r="AE18" s="739">
        <v>301.80379999999997</v>
      </c>
      <c r="AF18" s="739">
        <v>283.81450000000001</v>
      </c>
      <c r="AG18" s="739">
        <v>300.88710605539995</v>
      </c>
      <c r="AH18" s="739">
        <v>295.85344216482997</v>
      </c>
      <c r="AI18" s="739">
        <v>287.37212462643902</v>
      </c>
      <c r="AJ18" s="739">
        <v>292.71252410961188</v>
      </c>
      <c r="AK18" s="740">
        <v>293.64758156809529</v>
      </c>
      <c r="AL18" s="1009"/>
      <c r="AM18" s="1009"/>
    </row>
    <row r="19" spans="1:45">
      <c r="A19" s="789" t="s">
        <v>664</v>
      </c>
      <c r="B19" s="790">
        <f t="shared" ref="B19:AH19" si="0">(B6-B7-B8)/B14</f>
        <v>1.064234429454469</v>
      </c>
      <c r="C19" s="790">
        <f t="shared" si="0"/>
        <v>1.0619113475780637</v>
      </c>
      <c r="D19" s="790">
        <f t="shared" si="0"/>
        <v>1.0628696353647067</v>
      </c>
      <c r="E19" s="790">
        <f t="shared" si="0"/>
        <v>1.0606375071193443</v>
      </c>
      <c r="F19" s="790">
        <f t="shared" si="0"/>
        <v>1.05887371500178</v>
      </c>
      <c r="G19" s="790">
        <f t="shared" si="0"/>
        <v>1.0616040213015561</v>
      </c>
      <c r="H19" s="790">
        <f t="shared" si="0"/>
        <v>1.0616699491375921</v>
      </c>
      <c r="I19" s="790">
        <f t="shared" si="0"/>
        <v>1.0600045234509974</v>
      </c>
      <c r="J19" s="790">
        <f t="shared" si="0"/>
        <v>1.0631210994639317</v>
      </c>
      <c r="K19" s="790">
        <f t="shared" si="0"/>
        <v>1.0631979041754087</v>
      </c>
      <c r="L19" s="790">
        <f t="shared" si="0"/>
        <v>1.0620295999675564</v>
      </c>
      <c r="M19" s="790">
        <f t="shared" si="0"/>
        <v>1.0601371928579839</v>
      </c>
      <c r="N19" s="790">
        <f t="shared" si="0"/>
        <v>1.0668414797402663</v>
      </c>
      <c r="O19" s="790">
        <f t="shared" si="0"/>
        <v>1.0614294288611379</v>
      </c>
      <c r="P19" s="790">
        <f t="shared" si="0"/>
        <v>1.0573025471276853</v>
      </c>
      <c r="Q19" s="790">
        <f t="shared" si="0"/>
        <v>1.0551837791298315</v>
      </c>
      <c r="R19" s="790">
        <f t="shared" si="0"/>
        <v>1.0519106836697241</v>
      </c>
      <c r="S19" s="790">
        <f t="shared" si="0"/>
        <v>1.0496382568601461</v>
      </c>
      <c r="T19" s="790">
        <f t="shared" si="0"/>
        <v>1.0470201777608938</v>
      </c>
      <c r="U19" s="790">
        <f t="shared" si="0"/>
        <v>1.0473152407520239</v>
      </c>
      <c r="V19" s="790">
        <f t="shared" si="0"/>
        <v>1.0435933833601259</v>
      </c>
      <c r="W19" s="790">
        <f t="shared" si="0"/>
        <v>1.0406533950026753</v>
      </c>
      <c r="X19" s="790">
        <f t="shared" si="0"/>
        <v>1.0427325065138426</v>
      </c>
      <c r="Y19" s="790">
        <f t="shared" si="0"/>
        <v>1.0418700990339296</v>
      </c>
      <c r="Z19" s="790">
        <f t="shared" si="0"/>
        <v>1.0423409669699466</v>
      </c>
      <c r="AA19" s="790">
        <f t="shared" si="0"/>
        <v>1.0408174956321985</v>
      </c>
      <c r="AB19" s="790">
        <f t="shared" si="0"/>
        <v>1.0386247888261617</v>
      </c>
      <c r="AC19" s="790">
        <f t="shared" si="0"/>
        <v>1.0396641478946784</v>
      </c>
      <c r="AD19" s="790">
        <f t="shared" si="0"/>
        <v>1.0376885518736205</v>
      </c>
      <c r="AE19" s="790">
        <f t="shared" si="0"/>
        <v>1.0374352237727782</v>
      </c>
      <c r="AF19" s="790">
        <f t="shared" si="0"/>
        <v>1.0357183749719041</v>
      </c>
      <c r="AG19" s="790">
        <f t="shared" si="0"/>
        <v>1.0355437223473414</v>
      </c>
      <c r="AH19" s="790">
        <f t="shared" si="0"/>
        <v>1.0369025417246669</v>
      </c>
      <c r="AI19" s="790">
        <f>(AI6-AI7-AI8)/AI14</f>
        <v>1.034533076705477</v>
      </c>
      <c r="AJ19" s="790">
        <f>(AJ6-AJ7-AJ8)/AJ14</f>
        <v>1.0317602340472449</v>
      </c>
      <c r="AK19" s="788">
        <f>(AK6-AK7-AK8)/AK14</f>
        <v>1.0329957344001779</v>
      </c>
      <c r="AS19" s="66"/>
    </row>
    <row r="20" spans="1:45">
      <c r="A20" s="789" t="s">
        <v>628</v>
      </c>
      <c r="B20" s="790">
        <f t="shared" ref="B20:AK20" si="1">B17/(B18)</f>
        <v>7.386026017241222E-2</v>
      </c>
      <c r="C20" s="790">
        <f t="shared" si="1"/>
        <v>7.6481698798547076E-2</v>
      </c>
      <c r="D20" s="790">
        <f t="shared" si="1"/>
        <v>7.3346224169001495E-2</v>
      </c>
      <c r="E20" s="790">
        <f t="shared" si="1"/>
        <v>7.7086354186684358E-2</v>
      </c>
      <c r="F20" s="790">
        <f t="shared" si="1"/>
        <v>7.2143990375164821E-2</v>
      </c>
      <c r="G20" s="790">
        <f t="shared" si="1"/>
        <v>7.2092705172791247E-2</v>
      </c>
      <c r="H20" s="790">
        <f t="shared" si="1"/>
        <v>6.8822175971233482E-2</v>
      </c>
      <c r="I20" s="790">
        <f t="shared" si="1"/>
        <v>6.9881909939969442E-2</v>
      </c>
      <c r="J20" s="790">
        <f t="shared" si="1"/>
        <v>7.1003784465669489E-2</v>
      </c>
      <c r="K20" s="790">
        <f t="shared" si="1"/>
        <v>6.9482430534405989E-2</v>
      </c>
      <c r="L20" s="790">
        <f t="shared" si="1"/>
        <v>6.8749182746461954E-2</v>
      </c>
      <c r="M20" s="790">
        <f t="shared" si="1"/>
        <v>6.7798936935366594E-2</v>
      </c>
      <c r="N20" s="790">
        <f t="shared" si="1"/>
        <v>6.798865617073542E-2</v>
      </c>
      <c r="O20" s="790">
        <f t="shared" si="1"/>
        <v>6.9679277184825097E-2</v>
      </c>
      <c r="P20" s="790">
        <f t="shared" si="1"/>
        <v>6.8528659437063863E-2</v>
      </c>
      <c r="Q20" s="790">
        <f t="shared" si="1"/>
        <v>6.6569212128619978E-2</v>
      </c>
      <c r="R20" s="790">
        <f t="shared" si="1"/>
        <v>6.2745887572462758E-2</v>
      </c>
      <c r="S20" s="790">
        <f t="shared" si="1"/>
        <v>6.5765190279112262E-2</v>
      </c>
      <c r="T20" s="790">
        <f t="shared" si="1"/>
        <v>6.4080419308863407E-2</v>
      </c>
      <c r="U20" s="790">
        <f t="shared" si="1"/>
        <v>6.7858506145601016E-2</v>
      </c>
      <c r="V20" s="790">
        <f t="shared" si="1"/>
        <v>6.638017923603598E-2</v>
      </c>
      <c r="W20" s="790">
        <f t="shared" si="1"/>
        <v>6.6440264115601874E-2</v>
      </c>
      <c r="X20" s="790">
        <f t="shared" si="1"/>
        <v>6.8355685306075054E-2</v>
      </c>
      <c r="Y20" s="790">
        <f t="shared" si="1"/>
        <v>7.1267904732380261E-2</v>
      </c>
      <c r="Z20" s="790">
        <f t="shared" si="1"/>
        <v>6.6822453575657775E-2</v>
      </c>
      <c r="AA20" s="790">
        <f t="shared" si="1"/>
        <v>6.6346782325581943E-2</v>
      </c>
      <c r="AB20" s="790">
        <f t="shared" si="1"/>
        <v>6.3460025777501053E-2</v>
      </c>
      <c r="AC20" s="790">
        <f t="shared" si="1"/>
        <v>6.1837787385661737E-2</v>
      </c>
      <c r="AD20" s="790">
        <f t="shared" si="1"/>
        <v>5.9280191647271094E-2</v>
      </c>
      <c r="AE20" s="790">
        <f t="shared" si="1"/>
        <v>5.9039306985333023E-2</v>
      </c>
      <c r="AF20" s="790">
        <f t="shared" si="1"/>
        <v>6.1187550318958492E-2</v>
      </c>
      <c r="AG20" s="790">
        <f t="shared" si="1"/>
        <v>6.3252295020232024E-2</v>
      </c>
      <c r="AH20" s="790">
        <f t="shared" si="1"/>
        <v>6.4744894836572836E-2</v>
      </c>
      <c r="AI20" s="790">
        <f t="shared" si="1"/>
        <v>6.348632465210749E-2</v>
      </c>
      <c r="AJ20" s="790">
        <f>AJ17/(AJ18)</f>
        <v>6.5598149783333726E-2</v>
      </c>
      <c r="AK20" s="788">
        <f t="shared" si="1"/>
        <v>6.348632465210749E-2</v>
      </c>
      <c r="AS20" s="66"/>
    </row>
    <row r="21" spans="1:45">
      <c r="Z21" s="12"/>
      <c r="AA21" s="12"/>
      <c r="AB21" s="12"/>
      <c r="AC21" s="12"/>
      <c r="AD21" s="12"/>
      <c r="AE21" s="12"/>
      <c r="AF21" s="12"/>
      <c r="AG21" s="12"/>
      <c r="AH21" s="12"/>
      <c r="AI21" s="12"/>
      <c r="AJ21" s="12"/>
      <c r="AK21" s="12"/>
      <c r="AS21" s="66"/>
    </row>
    <row r="22" spans="1:45">
      <c r="B22" s="152"/>
      <c r="AF22" s="962"/>
      <c r="AG22" s="962"/>
      <c r="AH22" s="962"/>
      <c r="AI22" s="962"/>
      <c r="AJ22" s="962"/>
      <c r="AK22" s="962"/>
      <c r="AS22" s="843"/>
    </row>
    <row r="23" spans="1:45">
      <c r="AI23" s="860"/>
      <c r="AJ23" s="860"/>
    </row>
    <row r="25" spans="1:45">
      <c r="A25" s="47" t="s">
        <v>569</v>
      </c>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742"/>
      <c r="AA25" s="743"/>
      <c r="AB25" s="743"/>
      <c r="AC25" s="743"/>
      <c r="AD25" s="743"/>
      <c r="AE25" s="743"/>
      <c r="AF25" s="743"/>
      <c r="AG25" s="743"/>
      <c r="AH25" s="743"/>
      <c r="AI25" s="743"/>
      <c r="AJ25" s="743"/>
      <c r="AK25" s="743"/>
      <c r="AL25" s="509" t="s">
        <v>576</v>
      </c>
      <c r="AM25" s="828"/>
      <c r="AO25" s="820"/>
    </row>
    <row r="26" spans="1:45">
      <c r="A26" s="85" t="s">
        <v>332</v>
      </c>
      <c r="B26" s="744">
        <f>'2'!B7+'2'!B9++'2'!B12++'2'!B14</f>
        <v>26.295999999999999</v>
      </c>
      <c r="C26" s="744">
        <f>'2'!C7+'2'!C9++'2'!C12++'2'!C14</f>
        <v>29.168999999999997</v>
      </c>
      <c r="D26" s="744">
        <f>'2'!D7+'2'!D9++'2'!D12++'2'!D14</f>
        <v>32.119999999999997</v>
      </c>
      <c r="E26" s="744">
        <f>'2'!E7+'2'!E9++'2'!E12++'2'!E14</f>
        <v>34.968000000000004</v>
      </c>
      <c r="F26" s="744">
        <f>'2'!F7+'2'!F9++'2'!F12++'2'!F14</f>
        <v>38.612000000000002</v>
      </c>
      <c r="G26" s="744">
        <f>'2'!G7+'2'!G9++'2'!G12++'2'!G14</f>
        <v>40.183</v>
      </c>
      <c r="H26" s="744">
        <f>'2'!H7+'2'!H9++'2'!H12++'2'!H14</f>
        <v>43.783000000000001</v>
      </c>
      <c r="I26" s="744">
        <f>'2'!I7+'2'!I9++'2'!I12++'2'!I14</f>
        <v>53.024000000000001</v>
      </c>
      <c r="J26" s="744">
        <f>'2'!J7+'2'!J9++'2'!J12++'2'!J14</f>
        <v>57.805999999999997</v>
      </c>
      <c r="K26" s="744">
        <f>'2'!K7+'2'!K9++'2'!K12++'2'!K14</f>
        <v>63.143999999999998</v>
      </c>
      <c r="L26" s="744">
        <f>'2'!L7+'2'!L9++'2'!L12++'2'!L14</f>
        <v>21.157899999999998</v>
      </c>
      <c r="M26" s="744">
        <f>'2'!M7+'2'!M9++'2'!M12++'2'!M14</f>
        <v>20.430399999999999</v>
      </c>
      <c r="N26" s="744">
        <f>'2'!N7+'2'!N9++'2'!N12++'2'!N14</f>
        <v>20.2502</v>
      </c>
      <c r="O26" s="744">
        <f>'2'!O7+'2'!O9++'2'!O12++'2'!O14</f>
        <v>19.524000000000001</v>
      </c>
      <c r="P26" s="745">
        <f>'2'!P7+'2'!P9++'2'!P12++'2'!P14</f>
        <v>19.037000000000003</v>
      </c>
      <c r="Q26" s="745">
        <f>'2'!Q7+'2'!Q9++'2'!Q12++'2'!Q14</f>
        <v>19.786999999999999</v>
      </c>
      <c r="R26" s="745">
        <f>'2'!R7+'2'!R9++'2'!R12++'2'!R14</f>
        <v>18.353999999999999</v>
      </c>
      <c r="S26" s="745">
        <f>'2'!S7+'2'!S9++'2'!S12++'2'!S14</f>
        <v>19.116</v>
      </c>
      <c r="T26" s="745">
        <f>'2'!T7+'2'!T9++'2'!T12++'2'!T14</f>
        <v>18.762</v>
      </c>
      <c r="U26" s="745">
        <f>'2'!U7+'2'!U9++'2'!U12++'2'!U14</f>
        <v>20.271000000000001</v>
      </c>
      <c r="V26" s="745">
        <f>'2'!V7+'2'!V9++'2'!V12++'2'!V14</f>
        <v>23.861999999999998</v>
      </c>
      <c r="W26" s="745">
        <f>'2'!W7+'2'!W9++'2'!W12++'2'!W14</f>
        <v>23.553100000000001</v>
      </c>
      <c r="X26" s="745">
        <f>'2'!X7+'2'!X9++'2'!X12++'2'!X14</f>
        <v>16.0565</v>
      </c>
      <c r="Y26" s="745">
        <f>'2'!Y7+'2'!Y9++'2'!Y12++'2'!Y14</f>
        <v>16.0701</v>
      </c>
      <c r="Z26" s="745">
        <f>'2'!Z7+'2'!Z9++'2'!Z12++'2'!Z14</f>
        <v>15.742100000000001</v>
      </c>
      <c r="AA26" s="745">
        <f>'2'!AA7+'2'!AA9++'2'!AA12++'2'!AA14</f>
        <v>19.082799999999999</v>
      </c>
      <c r="AB26" s="745">
        <f>'2'!AB7+'2'!AB9++'2'!AB12++'2'!AB14</f>
        <v>18.467299999999998</v>
      </c>
      <c r="AC26" s="745">
        <f>'2'!AC7+'2'!AC9++'2'!AC12++'2'!AC14</f>
        <v>19.781600000000001</v>
      </c>
      <c r="AD26" s="745">
        <f>'2'!AD7+'2'!AD9++'2'!AD12++'2'!AD14</f>
        <v>22.7835</v>
      </c>
      <c r="AE26" s="745">
        <f>'2'!AE7+'2'!AE9++'2'!AE12++'2'!AE14</f>
        <v>22.3398</v>
      </c>
      <c r="AF26" s="745">
        <f>'2'!AF7+'2'!AF9++'2'!AF12++'2'!AF14</f>
        <v>20.335000000000001</v>
      </c>
      <c r="AG26" s="745">
        <f>'2'!AG7+'2'!AG9++'2'!AG12++'2'!AG14</f>
        <v>22.871100000000002</v>
      </c>
      <c r="AH26" s="745">
        <f>'2'!AH7+'2'!AH9++'2'!AH12++'2'!AH14</f>
        <v>22.0443</v>
      </c>
      <c r="AI26" s="745">
        <f>'2'!AI7+'2'!AI9++'2'!AI12++'2'!AI14</f>
        <v>25.7913</v>
      </c>
      <c r="AJ26" s="745">
        <f>'2'!AJ7+'2'!AJ9++'2'!AJ12++'2'!AJ14</f>
        <v>28.577500000000001</v>
      </c>
      <c r="AK26" s="746">
        <f>'2'!AK7+'2'!AK9++'2'!AK12++'2'!AK14</f>
        <v>30.439421182448363</v>
      </c>
      <c r="AL26" s="83" t="s">
        <v>575</v>
      </c>
    </row>
    <row r="27" spans="1:45">
      <c r="A27" s="83" t="s">
        <v>86</v>
      </c>
      <c r="B27" s="739">
        <f t="shared" ref="B27:K27" si="2">$L$27/$L$26*B26</f>
        <v>1.2527882256745708</v>
      </c>
      <c r="C27" s="739">
        <f t="shared" si="2"/>
        <v>1.3896630572977471</v>
      </c>
      <c r="D27" s="739">
        <f t="shared" si="2"/>
        <v>1.530253947698023</v>
      </c>
      <c r="E27" s="739">
        <f t="shared" si="2"/>
        <v>1.66593773484136</v>
      </c>
      <c r="F27" s="739">
        <f t="shared" si="2"/>
        <v>1.8395443782227918</v>
      </c>
      <c r="G27" s="739">
        <f t="shared" si="2"/>
        <v>1.9143896133359175</v>
      </c>
      <c r="H27" s="739">
        <f t="shared" si="2"/>
        <v>2.0859000184328318</v>
      </c>
      <c r="I27" s="739">
        <f t="shared" si="2"/>
        <v>2.5261576999607716</v>
      </c>
      <c r="J27" s="739">
        <f t="shared" si="2"/>
        <v>2.7539806880645057</v>
      </c>
      <c r="K27" s="739">
        <f t="shared" si="2"/>
        <v>3.0082925053998748</v>
      </c>
      <c r="L27" s="747">
        <v>1.008</v>
      </c>
      <c r="M27" s="739">
        <f>$L$27/$L$26*M26</f>
        <v>0.97334060563666536</v>
      </c>
      <c r="N27" s="739">
        <f>$L$27/$L$26*N26</f>
        <v>0.96475555702598093</v>
      </c>
      <c r="O27" s="739">
        <f>$L$27/$L$26*O26</f>
        <v>0.93015809697559793</v>
      </c>
      <c r="P27" s="739">
        <f>$L$27/$L$26*P26</f>
        <v>0.90695655050832102</v>
      </c>
      <c r="Q27" s="747">
        <v>1.0581</v>
      </c>
      <c r="R27" s="739">
        <f>$Q$27/$Q$26*R26</f>
        <v>0.98147103653914192</v>
      </c>
      <c r="S27" s="739">
        <f>$Q$27/$Q$26*S26</f>
        <v>1.0222186081770861</v>
      </c>
      <c r="T27" s="739">
        <f>$Q$27/$Q$26*T26</f>
        <v>1.0032886339515845</v>
      </c>
      <c r="U27" s="739">
        <f>$Q$27/$Q$26*U26</f>
        <v>1.0839816596755447</v>
      </c>
      <c r="V27" s="747">
        <v>1.0091000000000001</v>
      </c>
      <c r="W27" s="739">
        <f>$V$27/$V$26*W26</f>
        <v>0.99603692942754196</v>
      </c>
      <c r="X27" s="739">
        <f>$V$27/$V$26*X26</f>
        <v>0.67901324909898597</v>
      </c>
      <c r="Y27" s="739">
        <f>$V$27/$V$26*Y26</f>
        <v>0.67958837943173256</v>
      </c>
      <c r="Z27" s="739">
        <f>$V$27/$V$26*Z26</f>
        <v>0.6657175890537258</v>
      </c>
      <c r="AA27" s="747">
        <v>0.74</v>
      </c>
      <c r="AB27" s="739">
        <f>$AA$27/$AA$26*AB26</f>
        <v>0.71613190936340576</v>
      </c>
      <c r="AC27" s="739">
        <f>$AA$27/$AA$26*AC26</f>
        <v>0.76709832938562483</v>
      </c>
      <c r="AD27" s="739">
        <f>$AA$27/$AA$26*AD26</f>
        <v>0.88350713731737485</v>
      </c>
      <c r="AE27" s="739">
        <f>$AA$27/$AA$26*AE26</f>
        <v>0.86630117173580401</v>
      </c>
      <c r="AF27" s="747">
        <v>0.6643</v>
      </c>
      <c r="AG27" s="747">
        <v>0.75109999999999999</v>
      </c>
      <c r="AH27" s="747">
        <v>0.73970000000000002</v>
      </c>
      <c r="AI27" s="747">
        <v>0.83030000000000004</v>
      </c>
      <c r="AJ27" s="982">
        <v>0.90490000000000004</v>
      </c>
      <c r="AK27" s="740">
        <f>AJ27/$AJ$26*$AK$26</f>
        <v>0.9638573083018992</v>
      </c>
      <c r="AL27" s="748" t="s">
        <v>575</v>
      </c>
    </row>
    <row r="28" spans="1:45">
      <c r="A28" s="83" t="s">
        <v>87</v>
      </c>
      <c r="B28" s="739">
        <f>B26-B27</f>
        <v>25.043211774325428</v>
      </c>
      <c r="C28" s="739">
        <f t="shared" ref="C28:AC28" si="3">C26-C27</f>
        <v>27.779336942702251</v>
      </c>
      <c r="D28" s="739">
        <f t="shared" si="3"/>
        <v>30.589746052301976</v>
      </c>
      <c r="E28" s="739">
        <f t="shared" si="3"/>
        <v>33.302062265158646</v>
      </c>
      <c r="F28" s="739">
        <f t="shared" si="3"/>
        <v>36.772455621777212</v>
      </c>
      <c r="G28" s="739">
        <f t="shared" si="3"/>
        <v>38.268610386664079</v>
      </c>
      <c r="H28" s="739">
        <f t="shared" si="3"/>
        <v>41.69709998156717</v>
      </c>
      <c r="I28" s="739">
        <f t="shared" si="3"/>
        <v>50.497842300039231</v>
      </c>
      <c r="J28" s="739">
        <f t="shared" si="3"/>
        <v>55.052019311935489</v>
      </c>
      <c r="K28" s="739">
        <f t="shared" si="3"/>
        <v>60.135707494600126</v>
      </c>
      <c r="L28" s="739">
        <f t="shared" si="3"/>
        <v>20.149899999999999</v>
      </c>
      <c r="M28" s="739">
        <f t="shared" si="3"/>
        <v>19.457059394363334</v>
      </c>
      <c r="N28" s="739">
        <f t="shared" si="3"/>
        <v>19.285444442974018</v>
      </c>
      <c r="O28" s="739">
        <f t="shared" si="3"/>
        <v>18.593841903024401</v>
      </c>
      <c r="P28" s="739">
        <f t="shared" si="3"/>
        <v>18.13004344949168</v>
      </c>
      <c r="Q28" s="739">
        <f t="shared" si="3"/>
        <v>18.728899999999999</v>
      </c>
      <c r="R28" s="739">
        <f t="shared" si="3"/>
        <v>17.372528963460859</v>
      </c>
      <c r="S28" s="739">
        <f t="shared" si="3"/>
        <v>18.093781391822915</v>
      </c>
      <c r="T28" s="739">
        <f t="shared" si="3"/>
        <v>17.758711366048416</v>
      </c>
      <c r="U28" s="739">
        <f t="shared" si="3"/>
        <v>19.187018340324457</v>
      </c>
      <c r="V28" s="739">
        <f t="shared" si="3"/>
        <v>22.852899999999998</v>
      </c>
      <c r="W28" s="739">
        <f t="shared" si="3"/>
        <v>22.557063070572458</v>
      </c>
      <c r="X28" s="739">
        <f t="shared" si="3"/>
        <v>15.377486750901014</v>
      </c>
      <c r="Y28" s="739">
        <f t="shared" si="3"/>
        <v>15.390511620568267</v>
      </c>
      <c r="Z28" s="739">
        <f t="shared" si="3"/>
        <v>15.076382410946275</v>
      </c>
      <c r="AA28" s="739">
        <f t="shared" si="3"/>
        <v>18.3428</v>
      </c>
      <c r="AB28" s="739">
        <f t="shared" si="3"/>
        <v>17.751168090636593</v>
      </c>
      <c r="AC28" s="739">
        <f t="shared" si="3"/>
        <v>19.014501670614376</v>
      </c>
      <c r="AD28" s="739">
        <f t="shared" ref="AD28:AK28" si="4">AD26-AD27</f>
        <v>21.899992862682627</v>
      </c>
      <c r="AE28" s="739">
        <f t="shared" si="4"/>
        <v>21.473498828264198</v>
      </c>
      <c r="AF28" s="739">
        <f t="shared" si="4"/>
        <v>19.6707</v>
      </c>
      <c r="AG28" s="739">
        <f t="shared" si="4"/>
        <v>22.12</v>
      </c>
      <c r="AH28" s="739">
        <f t="shared" si="4"/>
        <v>21.304600000000001</v>
      </c>
      <c r="AI28" s="739">
        <f t="shared" si="4"/>
        <v>24.960999999999999</v>
      </c>
      <c r="AJ28" s="739">
        <f t="shared" si="4"/>
        <v>27.672599999999999</v>
      </c>
      <c r="AK28" s="740">
        <f t="shared" si="4"/>
        <v>29.475563874146463</v>
      </c>
      <c r="AL28" s="83"/>
    </row>
    <row r="29" spans="1:45">
      <c r="A29" s="83" t="s">
        <v>88</v>
      </c>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40"/>
      <c r="AL29" s="83"/>
    </row>
    <row r="30" spans="1:45">
      <c r="A30" s="83" t="s">
        <v>573</v>
      </c>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47">
        <f>3.7/1000</f>
        <v>3.7000000000000002E-3</v>
      </c>
      <c r="AJ30" s="982">
        <v>0</v>
      </c>
      <c r="AK30" s="740">
        <f>AJ30/$AJ$26*$AK$26</f>
        <v>0</v>
      </c>
      <c r="AL30" s="748" t="s">
        <v>575</v>
      </c>
    </row>
    <row r="31" spans="1:45">
      <c r="A31" s="83" t="s">
        <v>89</v>
      </c>
      <c r="B31" s="739">
        <f>B28-B29</f>
        <v>25.043211774325428</v>
      </c>
      <c r="C31" s="739">
        <f t="shared" ref="C31:AC31" si="5">C28-C29</f>
        <v>27.779336942702251</v>
      </c>
      <c r="D31" s="739">
        <f t="shared" si="5"/>
        <v>30.589746052301976</v>
      </c>
      <c r="E31" s="739">
        <f t="shared" si="5"/>
        <v>33.302062265158646</v>
      </c>
      <c r="F31" s="739">
        <f t="shared" si="5"/>
        <v>36.772455621777212</v>
      </c>
      <c r="G31" s="739">
        <f t="shared" si="5"/>
        <v>38.268610386664079</v>
      </c>
      <c r="H31" s="739">
        <f t="shared" si="5"/>
        <v>41.69709998156717</v>
      </c>
      <c r="I31" s="739">
        <f t="shared" si="5"/>
        <v>50.497842300039231</v>
      </c>
      <c r="J31" s="739">
        <f t="shared" si="5"/>
        <v>55.052019311935489</v>
      </c>
      <c r="K31" s="739">
        <f t="shared" si="5"/>
        <v>60.135707494600126</v>
      </c>
      <c r="L31" s="739">
        <f t="shared" si="5"/>
        <v>20.149899999999999</v>
      </c>
      <c r="M31" s="739">
        <f t="shared" si="5"/>
        <v>19.457059394363334</v>
      </c>
      <c r="N31" s="739">
        <f t="shared" si="5"/>
        <v>19.285444442974018</v>
      </c>
      <c r="O31" s="739">
        <f t="shared" si="5"/>
        <v>18.593841903024401</v>
      </c>
      <c r="P31" s="739">
        <f t="shared" si="5"/>
        <v>18.13004344949168</v>
      </c>
      <c r="Q31" s="739">
        <f t="shared" si="5"/>
        <v>18.728899999999999</v>
      </c>
      <c r="R31" s="739">
        <f t="shared" si="5"/>
        <v>17.372528963460859</v>
      </c>
      <c r="S31" s="739">
        <f t="shared" si="5"/>
        <v>18.093781391822915</v>
      </c>
      <c r="T31" s="739">
        <f t="shared" si="5"/>
        <v>17.758711366048416</v>
      </c>
      <c r="U31" s="739">
        <f t="shared" si="5"/>
        <v>19.187018340324457</v>
      </c>
      <c r="V31" s="739">
        <f t="shared" si="5"/>
        <v>22.852899999999998</v>
      </c>
      <c r="W31" s="739">
        <f t="shared" si="5"/>
        <v>22.557063070572458</v>
      </c>
      <c r="X31" s="739">
        <f t="shared" si="5"/>
        <v>15.377486750901014</v>
      </c>
      <c r="Y31" s="739">
        <f t="shared" si="5"/>
        <v>15.390511620568267</v>
      </c>
      <c r="Z31" s="739">
        <f t="shared" si="5"/>
        <v>15.076382410946275</v>
      </c>
      <c r="AA31" s="739">
        <f t="shared" si="5"/>
        <v>18.3428</v>
      </c>
      <c r="AB31" s="739">
        <f t="shared" si="5"/>
        <v>17.751168090636593</v>
      </c>
      <c r="AC31" s="739">
        <f t="shared" si="5"/>
        <v>19.014501670614376</v>
      </c>
      <c r="AD31" s="739">
        <f>AD28-AD29</f>
        <v>21.899992862682627</v>
      </c>
      <c r="AE31" s="739">
        <f>AE28-AE29</f>
        <v>21.473498828264198</v>
      </c>
      <c r="AF31" s="739">
        <f>AF28-AF29</f>
        <v>19.6707</v>
      </c>
      <c r="AG31" s="739">
        <f>AG28-AG29</f>
        <v>22.12</v>
      </c>
      <c r="AH31" s="739">
        <f>AH28-AH29</f>
        <v>21.304600000000001</v>
      </c>
      <c r="AI31" s="739">
        <f>AI28-AI29-AI30</f>
        <v>24.9573</v>
      </c>
      <c r="AJ31" s="739">
        <f>AJ28-AJ29-AJ30</f>
        <v>27.672599999999999</v>
      </c>
      <c r="AK31" s="740">
        <f>AK28-AK29-AK30</f>
        <v>29.475563874146463</v>
      </c>
      <c r="AL31" s="83"/>
    </row>
    <row r="32" spans="1:45">
      <c r="A32" s="83" t="s">
        <v>574</v>
      </c>
      <c r="B32" s="739">
        <f t="shared" ref="B32:K32" si="6">$L$32/$L$26*B26</f>
        <v>-2.5520588716271466</v>
      </c>
      <c r="C32" s="739">
        <f t="shared" si="6"/>
        <v>-2.8308870256499934</v>
      </c>
      <c r="D32" s="739">
        <f t="shared" si="6"/>
        <v>-3.117285174804683</v>
      </c>
      <c r="E32" s="739">
        <f t="shared" si="6"/>
        <v>-3.3936870483365555</v>
      </c>
      <c r="F32" s="739">
        <f t="shared" si="6"/>
        <v>-3.7473416927010721</v>
      </c>
      <c r="G32" s="739">
        <f t="shared" si="6"/>
        <v>-3.899809158753941</v>
      </c>
      <c r="H32" s="739">
        <f t="shared" si="6"/>
        <v>-4.2491935494543416</v>
      </c>
      <c r="I32" s="739">
        <f t="shared" si="6"/>
        <v>-5.1460438701383415</v>
      </c>
      <c r="J32" s="739">
        <f t="shared" si="6"/>
        <v>-5.6101428024520397</v>
      </c>
      <c r="K32" s="739">
        <f t="shared" si="6"/>
        <v>-6.1282022128850215</v>
      </c>
      <c r="L32" s="747">
        <v>-2.0533999999999999</v>
      </c>
      <c r="M32" s="739">
        <f>$L$32/$L$26*M26</f>
        <v>-1.9827952377126274</v>
      </c>
      <c r="N32" s="739">
        <f>$L$32/$L$26*N26</f>
        <v>-1.9653066079336796</v>
      </c>
      <c r="O32" s="739">
        <f>$L$32/$L$26*O26</f>
        <v>-1.8948280122318379</v>
      </c>
      <c r="P32" s="739">
        <f>$L$32/$L$26*P26</f>
        <v>-1.8475640682676451</v>
      </c>
      <c r="Q32" s="747">
        <v>-3.6989999999999998</v>
      </c>
      <c r="R32" s="739">
        <f>$Q$32/$Q$26*R26</f>
        <v>-3.4311136604841561</v>
      </c>
      <c r="S32" s="739">
        <f>$Q$32/$Q$26*S26</f>
        <v>-3.5735626421387781</v>
      </c>
      <c r="T32" s="739">
        <f>$Q$32/$Q$26*T26</f>
        <v>-3.5073855561732454</v>
      </c>
      <c r="U32" s="739">
        <f>$Q$32/$Q$26*U26</f>
        <v>-3.7894794056703898</v>
      </c>
      <c r="V32" s="747">
        <v>-8.7292000000000005</v>
      </c>
      <c r="W32" s="739">
        <f>$V$32/$V$26*W26</f>
        <v>-8.616198161092953</v>
      </c>
      <c r="X32" s="739">
        <f>$V$32/$V$26*X26</f>
        <v>-5.8737909563322441</v>
      </c>
      <c r="Y32" s="739">
        <f>$V$32/$V$26*Y26</f>
        <v>-5.8787661101332667</v>
      </c>
      <c r="Z32" s="739">
        <f>$V$32/$V$26*Z26</f>
        <v>-5.758777106696841</v>
      </c>
      <c r="AA32" s="747">
        <v>-1.9778</v>
      </c>
      <c r="AB32" s="739">
        <f>$AA$32/$AA$26*AB26</f>
        <v>-1.9140076896472213</v>
      </c>
      <c r="AC32" s="739">
        <f>$AA$32/$AA$26*AC26</f>
        <v>-2.0502257781876874</v>
      </c>
      <c r="AD32" s="739">
        <f>$AA$32/$AA$26*AD26</f>
        <v>-2.3613519137652754</v>
      </c>
      <c r="AE32" s="739">
        <f>$AA$32/$AA$26*AE26</f>
        <v>-2.3153654830528017</v>
      </c>
      <c r="AF32" s="747">
        <v>-1.6418999999999999</v>
      </c>
      <c r="AG32" s="747">
        <v>-1.9177</v>
      </c>
      <c r="AH32" s="747">
        <v>-1.8776999999999999</v>
      </c>
      <c r="AI32" s="747">
        <v>-2.5950000000000002</v>
      </c>
      <c r="AJ32" s="982">
        <v>-3.1080000000000001</v>
      </c>
      <c r="AK32" s="740">
        <f>AJ32/$AJ$26*$AK$26</f>
        <v>-3.3104967556661538</v>
      </c>
      <c r="AL32" s="748" t="s">
        <v>575</v>
      </c>
    </row>
    <row r="33" spans="1:38">
      <c r="A33" s="83" t="s">
        <v>90</v>
      </c>
      <c r="B33" s="739">
        <f>B31+B32</f>
        <v>22.491152902698282</v>
      </c>
      <c r="C33" s="739">
        <f t="shared" ref="C33:AC33" si="7">C31+C32</f>
        <v>24.948449917052258</v>
      </c>
      <c r="D33" s="739">
        <f t="shared" si="7"/>
        <v>27.472460877497294</v>
      </c>
      <c r="E33" s="739">
        <f t="shared" si="7"/>
        <v>29.90837521682209</v>
      </c>
      <c r="F33" s="739">
        <f t="shared" si="7"/>
        <v>33.025113929076142</v>
      </c>
      <c r="G33" s="739">
        <f t="shared" si="7"/>
        <v>34.36880122791014</v>
      </c>
      <c r="H33" s="739">
        <f t="shared" si="7"/>
        <v>37.447906432112831</v>
      </c>
      <c r="I33" s="739">
        <f t="shared" si="7"/>
        <v>45.351798429900889</v>
      </c>
      <c r="J33" s="739">
        <f t="shared" si="7"/>
        <v>49.44187650948345</v>
      </c>
      <c r="K33" s="739">
        <f t="shared" si="7"/>
        <v>54.007505281715105</v>
      </c>
      <c r="L33" s="739">
        <f t="shared" si="7"/>
        <v>18.096499999999999</v>
      </c>
      <c r="M33" s="739">
        <f t="shared" si="7"/>
        <v>17.474264156650708</v>
      </c>
      <c r="N33" s="739">
        <f t="shared" si="7"/>
        <v>17.320137835040338</v>
      </c>
      <c r="O33" s="739">
        <f t="shared" si="7"/>
        <v>16.699013890792564</v>
      </c>
      <c r="P33" s="739">
        <f t="shared" si="7"/>
        <v>16.282479381224036</v>
      </c>
      <c r="Q33" s="739">
        <f t="shared" si="7"/>
        <v>15.0299</v>
      </c>
      <c r="R33" s="739">
        <f t="shared" si="7"/>
        <v>13.941415302976703</v>
      </c>
      <c r="S33" s="739">
        <f t="shared" si="7"/>
        <v>14.520218749684137</v>
      </c>
      <c r="T33" s="739">
        <f t="shared" si="7"/>
        <v>14.251325809875171</v>
      </c>
      <c r="U33" s="739">
        <f t="shared" si="7"/>
        <v>15.397538934654067</v>
      </c>
      <c r="V33" s="739">
        <f t="shared" si="7"/>
        <v>14.123699999999998</v>
      </c>
      <c r="W33" s="739">
        <f t="shared" si="7"/>
        <v>13.940864909479505</v>
      </c>
      <c r="X33" s="739">
        <f t="shared" si="7"/>
        <v>9.5036957945687703</v>
      </c>
      <c r="Y33" s="739">
        <f t="shared" si="7"/>
        <v>9.5117455104350004</v>
      </c>
      <c r="Z33" s="739">
        <f t="shared" si="7"/>
        <v>9.3176053042494331</v>
      </c>
      <c r="AA33" s="739">
        <f t="shared" si="7"/>
        <v>16.365000000000002</v>
      </c>
      <c r="AB33" s="739">
        <f t="shared" si="7"/>
        <v>15.837160400989372</v>
      </c>
      <c r="AC33" s="739">
        <f t="shared" si="7"/>
        <v>16.964275892426688</v>
      </c>
      <c r="AD33" s="739">
        <f t="shared" ref="AD33:AK33" si="8">AD31+AD32</f>
        <v>19.538640948917351</v>
      </c>
      <c r="AE33" s="739">
        <f t="shared" si="8"/>
        <v>19.158133345211397</v>
      </c>
      <c r="AF33" s="739">
        <f t="shared" si="8"/>
        <v>18.0288</v>
      </c>
      <c r="AG33" s="739">
        <f t="shared" si="8"/>
        <v>20.202300000000001</v>
      </c>
      <c r="AH33" s="739">
        <f t="shared" si="8"/>
        <v>19.4269</v>
      </c>
      <c r="AI33" s="739">
        <f t="shared" si="8"/>
        <v>22.362300000000001</v>
      </c>
      <c r="AJ33" s="739">
        <f t="shared" si="8"/>
        <v>24.564599999999999</v>
      </c>
      <c r="AK33" s="740">
        <f t="shared" si="8"/>
        <v>26.165067118480309</v>
      </c>
      <c r="AL33" s="83"/>
    </row>
    <row r="34" spans="1:38">
      <c r="A34" s="83" t="s">
        <v>91</v>
      </c>
      <c r="B34" s="739">
        <f t="shared" ref="B34:K34" si="9">$L$34/$L$33*B33</f>
        <v>0.6190613246116109</v>
      </c>
      <c r="C34" s="739">
        <f t="shared" si="9"/>
        <v>0.68669758813492843</v>
      </c>
      <c r="D34" s="739">
        <f t="shared" si="9"/>
        <v>0.75617013030593783</v>
      </c>
      <c r="E34" s="739">
        <f t="shared" si="9"/>
        <v>0.82321784298063638</v>
      </c>
      <c r="F34" s="739">
        <f t="shared" si="9"/>
        <v>0.90900501467536976</v>
      </c>
      <c r="G34" s="739">
        <f t="shared" si="9"/>
        <v>0.94598955000259954</v>
      </c>
      <c r="H34" s="739">
        <f t="shared" si="9"/>
        <v>1.0307408722037634</v>
      </c>
      <c r="I34" s="739">
        <f t="shared" si="9"/>
        <v>1.2482928078873614</v>
      </c>
      <c r="J34" s="739">
        <f t="shared" si="9"/>
        <v>1.3608708142112402</v>
      </c>
      <c r="K34" s="739">
        <f t="shared" si="9"/>
        <v>1.4865381914084104</v>
      </c>
      <c r="L34" s="747">
        <f>498.1/1000</f>
        <v>0.49810000000000004</v>
      </c>
      <c r="M34" s="739">
        <f>$L$34/$L$33*M33</f>
        <v>0.48097317030518161</v>
      </c>
      <c r="N34" s="739">
        <f>$L$34/$L$33*N33</f>
        <v>0.47673089578833444</v>
      </c>
      <c r="O34" s="739">
        <f>$L$34/$L$33*O33</f>
        <v>0.45963467073764414</v>
      </c>
      <c r="P34" s="739">
        <f>$L$34/$L$33*P33</f>
        <v>0.44816970020654234</v>
      </c>
      <c r="Q34" s="747">
        <f>247.9/1000</f>
        <v>0.24790000000000001</v>
      </c>
      <c r="R34" s="739">
        <f>$Q$34/$Q$33*R33</f>
        <v>0.22994676302622938</v>
      </c>
      <c r="S34" s="739">
        <f>$Q$34/$Q$33*S33</f>
        <v>0.23949342497599438</v>
      </c>
      <c r="T34" s="739">
        <f>$Q$34/$Q$33*T33</f>
        <v>0.23505836155051299</v>
      </c>
      <c r="U34" s="739">
        <f>$Q$34/$Q$33*U33</f>
        <v>0.25396375903370905</v>
      </c>
      <c r="V34" s="747">
        <f>267.2/1000</f>
        <v>0.26719999999999999</v>
      </c>
      <c r="W34" s="739">
        <f>$V$34/$V$33*W33</f>
        <v>0.26374102422261336</v>
      </c>
      <c r="X34" s="739">
        <f>$V$34/$V$33*X33</f>
        <v>0.17979619478669015</v>
      </c>
      <c r="Y34" s="739">
        <f>$V$34/$V$33*Y33</f>
        <v>0.17994848378174505</v>
      </c>
      <c r="Z34" s="739">
        <f>$V$34/$V$33*Z33</f>
        <v>0.17627563154806805</v>
      </c>
      <c r="AA34" s="747">
        <f>3.9/1000</f>
        <v>3.8999999999999998E-3</v>
      </c>
      <c r="AB34" s="739">
        <f>$AA$34/$AA$33*AB33</f>
        <v>3.7742087115098409E-3</v>
      </c>
      <c r="AC34" s="739">
        <f>$AA$34/$AA$33*AC33</f>
        <v>4.0428155197350492E-3</v>
      </c>
      <c r="AD34" s="739">
        <f>$AA$34/$AA$33*AD33</f>
        <v>4.6563213993753537E-3</v>
      </c>
      <c r="AE34" s="739">
        <f>$AA$34/$AA$33*AE33</f>
        <v>4.5656413104995077E-3</v>
      </c>
      <c r="AF34" s="747">
        <f>31.7/1000</f>
        <v>3.1699999999999999E-2</v>
      </c>
      <c r="AG34" s="747">
        <f>42.8/1000</f>
        <v>4.2799999999999998E-2</v>
      </c>
      <c r="AH34" s="747">
        <f>25.7/1000</f>
        <v>2.5700000000000001E-2</v>
      </c>
      <c r="AI34" s="747">
        <f>46.6/1000</f>
        <v>4.6600000000000003E-2</v>
      </c>
      <c r="AJ34" s="747">
        <f>28.4/1000</f>
        <v>2.8399999999999998E-2</v>
      </c>
      <c r="AK34" s="740">
        <f>AJ34/$AJ$26*$AK$26</f>
        <v>3.0250356454607063E-2</v>
      </c>
      <c r="AL34" s="748" t="s">
        <v>575</v>
      </c>
    </row>
    <row r="35" spans="1:38">
      <c r="A35" s="83" t="s">
        <v>51</v>
      </c>
      <c r="B35" s="739">
        <f>B33-B34</f>
        <v>21.872091578086671</v>
      </c>
      <c r="C35" s="739">
        <f t="shared" ref="C35:AC35" si="10">C33-C34</f>
        <v>24.261752328917328</v>
      </c>
      <c r="D35" s="739">
        <f t="shared" si="10"/>
        <v>26.716290747191355</v>
      </c>
      <c r="E35" s="739">
        <f t="shared" si="10"/>
        <v>29.085157373841454</v>
      </c>
      <c r="F35" s="739">
        <f t="shared" si="10"/>
        <v>32.116108914400769</v>
      </c>
      <c r="G35" s="739">
        <f t="shared" si="10"/>
        <v>33.422811677907539</v>
      </c>
      <c r="H35" s="739">
        <f t="shared" si="10"/>
        <v>36.417165559909066</v>
      </c>
      <c r="I35" s="739">
        <f t="shared" si="10"/>
        <v>44.103505622013529</v>
      </c>
      <c r="J35" s="739">
        <f t="shared" si="10"/>
        <v>48.081005695272211</v>
      </c>
      <c r="K35" s="739">
        <f t="shared" si="10"/>
        <v>52.520967090306698</v>
      </c>
      <c r="L35" s="739">
        <f t="shared" si="10"/>
        <v>17.598399999999998</v>
      </c>
      <c r="M35" s="739">
        <f t="shared" si="10"/>
        <v>16.993290986345528</v>
      </c>
      <c r="N35" s="739">
        <f t="shared" si="10"/>
        <v>16.843406939252002</v>
      </c>
      <c r="O35" s="739">
        <f t="shared" si="10"/>
        <v>16.239379220054921</v>
      </c>
      <c r="P35" s="739">
        <f t="shared" si="10"/>
        <v>15.834309681017494</v>
      </c>
      <c r="Q35" s="739">
        <f t="shared" si="10"/>
        <v>14.782</v>
      </c>
      <c r="R35" s="739">
        <f t="shared" si="10"/>
        <v>13.711468539950474</v>
      </c>
      <c r="S35" s="739">
        <f t="shared" si="10"/>
        <v>14.280725324708142</v>
      </c>
      <c r="T35" s="739">
        <f t="shared" si="10"/>
        <v>14.016267448324658</v>
      </c>
      <c r="U35" s="739">
        <f t="shared" si="10"/>
        <v>15.143575175620358</v>
      </c>
      <c r="V35" s="739">
        <f t="shared" si="10"/>
        <v>13.856499999999997</v>
      </c>
      <c r="W35" s="739">
        <f t="shared" si="10"/>
        <v>13.677123885256892</v>
      </c>
      <c r="X35" s="739">
        <f t="shared" si="10"/>
        <v>9.3238995997820808</v>
      </c>
      <c r="Y35" s="739">
        <f t="shared" si="10"/>
        <v>9.3317970266532555</v>
      </c>
      <c r="Z35" s="739">
        <f t="shared" si="10"/>
        <v>9.1413296727013655</v>
      </c>
      <c r="AA35" s="739">
        <f t="shared" si="10"/>
        <v>16.3611</v>
      </c>
      <c r="AB35" s="739">
        <f t="shared" si="10"/>
        <v>15.833386192277862</v>
      </c>
      <c r="AC35" s="739">
        <f t="shared" si="10"/>
        <v>16.960233076906952</v>
      </c>
      <c r="AD35" s="739">
        <f t="shared" ref="AD35:AK35" si="11">AD33-AD34</f>
        <v>19.533984627517974</v>
      </c>
      <c r="AE35" s="739">
        <f t="shared" si="11"/>
        <v>19.153567703900897</v>
      </c>
      <c r="AF35" s="739">
        <f t="shared" si="11"/>
        <v>17.9971</v>
      </c>
      <c r="AG35" s="739">
        <f t="shared" si="11"/>
        <v>20.159500000000001</v>
      </c>
      <c r="AH35" s="739">
        <f t="shared" si="11"/>
        <v>19.401199999999999</v>
      </c>
      <c r="AI35" s="739">
        <f t="shared" si="11"/>
        <v>22.3157</v>
      </c>
      <c r="AJ35" s="739">
        <f t="shared" si="11"/>
        <v>24.536199999999997</v>
      </c>
      <c r="AK35" s="740">
        <f t="shared" si="11"/>
        <v>26.1348167620257</v>
      </c>
      <c r="AL35" s="83"/>
    </row>
    <row r="36" spans="1:38">
      <c r="T36" s="100"/>
    </row>
    <row r="37" spans="1:38">
      <c r="AE37" s="384"/>
      <c r="AF37" s="384"/>
      <c r="AG37" s="384"/>
      <c r="AH37" s="384"/>
      <c r="AI37" s="384"/>
    </row>
    <row r="39" spans="1:38">
      <c r="X39" s="384"/>
      <c r="Y39" s="384"/>
      <c r="Z39" s="384"/>
      <c r="AA39" s="384"/>
      <c r="AB39" s="384"/>
      <c r="AC39" s="384"/>
    </row>
    <row r="40" spans="1:38">
      <c r="AB40" s="384"/>
      <c r="AC40" s="384"/>
    </row>
  </sheetData>
  <sheetProtection algorithmName="SHA-512" hashValue="944Q1eoyxr5nG5sMEqhvbi0z4bZtyNceRkFNKcFbHtRlRwwaNVFbSUFPT2gjGXxAGaP0ctmgeA8o7IYCMUV1sg==" saltValue="oYpgt67ueKVz1kLomMZ18A==" spinCount="100000" sheet="1" objects="1" scenarios="1"/>
  <mergeCells count="1">
    <mergeCell ref="A4:A5"/>
  </mergeCells>
  <hyperlinks>
    <hyperlink ref="A1" location="Indice!A1" display="Torna indietro" xr:uid="{267054AF-312C-4094-B5EA-F9DFABD6C71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11"/>
  <dimension ref="A1:AS42"/>
  <sheetViews>
    <sheetView showGridLines="0" zoomScaleNormal="100" workbookViewId="0"/>
  </sheetViews>
  <sheetFormatPr defaultColWidth="9.1796875" defaultRowHeight="15.5"/>
  <cols>
    <col min="1" max="1" width="51.453125" style="2" customWidth="1"/>
    <col min="2" max="2" width="9.90625" style="2" customWidth="1"/>
    <col min="3" max="6" width="8.984375E-2" style="2" customWidth="1"/>
    <col min="7" max="7" width="9.90625" style="2" customWidth="1"/>
    <col min="8" max="11" width="8.984375E-2" style="2" customWidth="1"/>
    <col min="12" max="12" width="9.90625" style="2" customWidth="1"/>
    <col min="13" max="16" width="8.984375E-2" style="2" customWidth="1"/>
    <col min="17" max="17" width="9.90625" style="2" customWidth="1"/>
    <col min="18" max="21" width="8.984375E-2" style="2" customWidth="1"/>
    <col min="22" max="22" width="9.90625" style="2" customWidth="1"/>
    <col min="23" max="25" width="8.984375E-2" style="2" customWidth="1"/>
    <col min="26" max="26" width="8.984375E-2" style="117" customWidth="1"/>
    <col min="27" max="27" width="9.90625" style="117" customWidth="1"/>
    <col min="28" max="31" width="8.984375E-2" style="117" customWidth="1"/>
    <col min="32" max="35" width="9.90625" style="117" customWidth="1"/>
    <col min="36" max="37" width="9.90625" style="2" customWidth="1"/>
    <col min="38" max="16384" width="9.1796875" style="2"/>
  </cols>
  <sheetData>
    <row r="1" spans="1:45">
      <c r="A1" s="108" t="s">
        <v>694</v>
      </c>
      <c r="B1" s="546"/>
    </row>
    <row r="3" spans="1:45">
      <c r="A3" s="1" t="s">
        <v>784</v>
      </c>
    </row>
    <row r="4" spans="1:45">
      <c r="A4" s="1069" t="s">
        <v>0</v>
      </c>
      <c r="B4" s="3">
        <v>1990</v>
      </c>
      <c r="C4" s="4">
        <v>1991</v>
      </c>
      <c r="D4" s="4">
        <v>1992</v>
      </c>
      <c r="E4" s="3">
        <v>1993</v>
      </c>
      <c r="F4" s="3">
        <v>1994</v>
      </c>
      <c r="G4" s="3">
        <v>1995</v>
      </c>
      <c r="H4" s="3">
        <v>1996</v>
      </c>
      <c r="I4" s="3">
        <v>1997</v>
      </c>
      <c r="J4" s="3">
        <v>1998</v>
      </c>
      <c r="K4" s="3">
        <v>1999</v>
      </c>
      <c r="L4" s="3">
        <v>2000</v>
      </c>
      <c r="M4" s="3">
        <v>2001</v>
      </c>
      <c r="N4" s="3">
        <v>2002</v>
      </c>
      <c r="O4" s="3">
        <v>2003</v>
      </c>
      <c r="P4" s="3">
        <v>2004</v>
      </c>
      <c r="Q4" s="3">
        <v>2005</v>
      </c>
      <c r="R4" s="3">
        <v>2006</v>
      </c>
      <c r="S4" s="3">
        <v>2007</v>
      </c>
      <c r="T4" s="3">
        <v>2008</v>
      </c>
      <c r="U4" s="3">
        <v>2009</v>
      </c>
      <c r="V4" s="3">
        <v>2010</v>
      </c>
      <c r="W4" s="3">
        <v>2011</v>
      </c>
      <c r="X4" s="3">
        <v>2012</v>
      </c>
      <c r="Y4" s="3">
        <v>2013</v>
      </c>
      <c r="Z4" s="3">
        <v>2014</v>
      </c>
      <c r="AA4" s="3">
        <v>2015</v>
      </c>
      <c r="AB4" s="3">
        <v>2016</v>
      </c>
      <c r="AC4" s="3">
        <v>2017</v>
      </c>
      <c r="AD4" s="3">
        <v>2018</v>
      </c>
      <c r="AE4" s="3">
        <v>2019</v>
      </c>
      <c r="AF4" s="3">
        <v>2020</v>
      </c>
      <c r="AG4" s="3">
        <v>2021</v>
      </c>
      <c r="AH4" s="3">
        <v>2022</v>
      </c>
      <c r="AI4" s="3">
        <f>+AH4+1</f>
        <v>2023</v>
      </c>
      <c r="AJ4" s="3">
        <f>+AI4+1</f>
        <v>2024</v>
      </c>
      <c r="AK4" s="799">
        <v>2025</v>
      </c>
    </row>
    <row r="5" spans="1:45">
      <c r="A5" s="1069"/>
      <c r="B5" s="63" t="s">
        <v>116</v>
      </c>
      <c r="C5" s="64"/>
      <c r="D5" s="64"/>
      <c r="E5" s="64"/>
      <c r="F5" s="64"/>
      <c r="G5" s="64"/>
      <c r="H5" s="64"/>
      <c r="I5" s="64"/>
      <c r="J5" s="64"/>
      <c r="K5" s="64"/>
      <c r="L5" s="64"/>
      <c r="M5" s="64"/>
      <c r="N5" s="64"/>
      <c r="O5" s="64"/>
      <c r="P5" s="64"/>
      <c r="Q5" s="64"/>
      <c r="R5" s="64"/>
      <c r="S5" s="64"/>
      <c r="T5" s="64"/>
      <c r="U5" s="64"/>
      <c r="V5" s="65"/>
      <c r="W5" s="65"/>
      <c r="X5" s="65"/>
      <c r="Y5" s="65"/>
      <c r="Z5" s="65"/>
      <c r="AA5" s="65"/>
      <c r="AB5" s="65"/>
      <c r="AC5" s="65"/>
      <c r="AD5" s="65"/>
      <c r="AE5" s="65"/>
      <c r="AF5" s="65"/>
      <c r="AG5" s="65"/>
      <c r="AH5" s="65"/>
      <c r="AI5" s="65"/>
      <c r="AJ5" s="65"/>
      <c r="AK5" s="65"/>
    </row>
    <row r="6" spans="1:45">
      <c r="A6" s="7" t="s">
        <v>80</v>
      </c>
      <c r="B6" s="146">
        <v>35.079000000000001</v>
      </c>
      <c r="C6" s="146">
        <v>45.606499999999997</v>
      </c>
      <c r="D6" s="146">
        <v>45.786000000000001</v>
      </c>
      <c r="E6" s="146">
        <v>44.481999999999999</v>
      </c>
      <c r="F6" s="146">
        <v>47.731099999999998</v>
      </c>
      <c r="G6" s="146">
        <v>41.905800000000006</v>
      </c>
      <c r="H6" s="146">
        <v>47.070599999999999</v>
      </c>
      <c r="I6" s="146">
        <v>46.5488</v>
      </c>
      <c r="J6" s="146">
        <v>47.358600000000003</v>
      </c>
      <c r="K6" s="146">
        <v>51.77</v>
      </c>
      <c r="L6" s="146">
        <v>50.9</v>
      </c>
      <c r="M6" s="146">
        <v>53.925400000000003</v>
      </c>
      <c r="N6" s="146">
        <v>47.262300000000003</v>
      </c>
      <c r="O6" s="146">
        <v>44.276000000000003</v>
      </c>
      <c r="P6" s="146">
        <v>49.907799999999995</v>
      </c>
      <c r="Q6" s="146">
        <v>42.926699999999997</v>
      </c>
      <c r="R6" s="146">
        <v>43.425400000000003</v>
      </c>
      <c r="S6" s="146">
        <v>38.481199999999994</v>
      </c>
      <c r="T6" s="146">
        <v>47.226999999999997</v>
      </c>
      <c r="U6" s="146">
        <v>53.442500000000003</v>
      </c>
      <c r="V6" s="146">
        <v>54.406779999999998</v>
      </c>
      <c r="W6" s="146">
        <v>47.756660000000004</v>
      </c>
      <c r="X6" s="146">
        <v>43.853899999999996</v>
      </c>
      <c r="Y6" s="146">
        <v>54.671399999999998</v>
      </c>
      <c r="Z6" s="146">
        <v>60.256399999999999</v>
      </c>
      <c r="AA6" s="146">
        <v>46.9694</v>
      </c>
      <c r="AB6" s="146">
        <v>44.256999999999998</v>
      </c>
      <c r="AC6" s="146">
        <v>38.024699999999996</v>
      </c>
      <c r="AD6" s="146">
        <v>50.502839999999999</v>
      </c>
      <c r="AE6" s="146">
        <v>48.153500000000001</v>
      </c>
      <c r="AF6" s="146">
        <v>49.495255327720052</v>
      </c>
      <c r="AG6" s="146">
        <v>47.478300000000004</v>
      </c>
      <c r="AH6" s="146">
        <v>30.290800000000001</v>
      </c>
      <c r="AI6" s="146">
        <v>42.068300000000001</v>
      </c>
      <c r="AJ6" s="146">
        <v>54.756999999999998</v>
      </c>
      <c r="AK6" s="261">
        <v>43.776831983881131</v>
      </c>
    </row>
    <row r="7" spans="1:45">
      <c r="A7" s="736" t="s">
        <v>115</v>
      </c>
      <c r="B7" s="737">
        <v>5.7720000000000002</v>
      </c>
      <c r="C7" s="737">
        <v>6.9139999999999997</v>
      </c>
      <c r="D7" s="737">
        <v>7.5190000000000001</v>
      </c>
      <c r="E7" s="737">
        <v>7.4059999999999997</v>
      </c>
      <c r="F7" s="737">
        <v>7.7720000000000002</v>
      </c>
      <c r="G7" s="737">
        <v>6.5620000000000003</v>
      </c>
      <c r="H7" s="737">
        <v>7.101</v>
      </c>
      <c r="I7" s="737">
        <v>7.0039999999999996</v>
      </c>
      <c r="J7" s="737">
        <v>7.1379999999999999</v>
      </c>
      <c r="K7" s="737">
        <v>7.6689999999999996</v>
      </c>
      <c r="L7" s="737">
        <v>1.7983</v>
      </c>
      <c r="M7" s="737">
        <v>1.6818</v>
      </c>
      <c r="N7" s="737">
        <v>1.4621999999999999</v>
      </c>
      <c r="O7" s="737">
        <v>1.091</v>
      </c>
      <c r="P7" s="737">
        <v>0.99199999999999999</v>
      </c>
      <c r="Q7" s="737">
        <v>0.79900000000000004</v>
      </c>
      <c r="R7" s="737">
        <v>0.85899999999999999</v>
      </c>
      <c r="S7" s="737">
        <v>0.70399999999999996</v>
      </c>
      <c r="T7" s="737">
        <v>0.876</v>
      </c>
      <c r="U7" s="737">
        <v>0.88900000000000001</v>
      </c>
      <c r="V7" s="737">
        <v>0.92700000000000005</v>
      </c>
      <c r="W7" s="737">
        <v>0.86760000000000004</v>
      </c>
      <c r="X7" s="737">
        <v>0.57329999999999992</v>
      </c>
      <c r="Y7" s="737">
        <v>0.62690000000000001</v>
      </c>
      <c r="Z7" s="737">
        <v>0.73820000000000008</v>
      </c>
      <c r="AA7" s="737">
        <v>0.60880000000000001</v>
      </c>
      <c r="AB7" s="737">
        <v>0.56169999999999998</v>
      </c>
      <c r="AC7" s="737">
        <v>0.48870000000000002</v>
      </c>
      <c r="AD7" s="737">
        <v>0.46579999999999999</v>
      </c>
      <c r="AE7" s="737">
        <v>0.49199999999999999</v>
      </c>
      <c r="AF7" s="737">
        <v>0.46489999999999998</v>
      </c>
      <c r="AG7" s="737">
        <v>0.46899999999999997</v>
      </c>
      <c r="AH7" s="737">
        <v>0.34910000000000002</v>
      </c>
      <c r="AI7" s="737">
        <v>0.43009999999999998</v>
      </c>
      <c r="AJ7" s="737">
        <v>0.56699999999999995</v>
      </c>
      <c r="AK7" s="261">
        <f>AJ7/AJ6*AK6</f>
        <v>0.45330211178224883</v>
      </c>
    </row>
    <row r="8" spans="1:45">
      <c r="A8" s="7" t="s">
        <v>81</v>
      </c>
      <c r="B8" s="146">
        <v>178.29300000000001</v>
      </c>
      <c r="C8" s="146">
        <v>173.02</v>
      </c>
      <c r="D8" s="146">
        <v>176.99799999999999</v>
      </c>
      <c r="E8" s="146">
        <v>174.63800000000001</v>
      </c>
      <c r="F8" s="146">
        <v>180.64699999999999</v>
      </c>
      <c r="G8" s="146">
        <v>196.124</v>
      </c>
      <c r="H8" s="146">
        <v>193.55199999999999</v>
      </c>
      <c r="I8" s="146">
        <v>200.88300000000001</v>
      </c>
      <c r="J8" s="146">
        <v>207.97399999999999</v>
      </c>
      <c r="K8" s="146">
        <v>209.06700000000001</v>
      </c>
      <c r="L8" s="146">
        <v>220.45579999999998</v>
      </c>
      <c r="M8" s="146">
        <v>219.37899999999999</v>
      </c>
      <c r="N8" s="146">
        <v>231.92699999999999</v>
      </c>
      <c r="O8" s="146">
        <v>242.785</v>
      </c>
      <c r="P8" s="146">
        <v>246.12759999999997</v>
      </c>
      <c r="Q8" s="146">
        <v>253.07230000000001</v>
      </c>
      <c r="R8" s="146">
        <v>262.1644</v>
      </c>
      <c r="S8" s="146">
        <v>265.76430000000005</v>
      </c>
      <c r="T8" s="146">
        <v>261.32800000000003</v>
      </c>
      <c r="U8" s="146">
        <v>226.63890000000004</v>
      </c>
      <c r="V8" s="146">
        <v>231.24779999999998</v>
      </c>
      <c r="W8" s="146">
        <v>228.51739999999998</v>
      </c>
      <c r="X8" s="146">
        <v>217.56179999999998</v>
      </c>
      <c r="Y8" s="146">
        <v>192.98770000000002</v>
      </c>
      <c r="Z8" s="146">
        <v>176.17080000000001</v>
      </c>
      <c r="AA8" s="146">
        <v>192.05350000000001</v>
      </c>
      <c r="AB8" s="146">
        <v>199.42959999999999</v>
      </c>
      <c r="AC8" s="146">
        <v>209.48449317200001</v>
      </c>
      <c r="AD8" s="146">
        <v>192.73001972702002</v>
      </c>
      <c r="AE8" s="146">
        <v>195.73388719753999</v>
      </c>
      <c r="AF8" s="146">
        <v>181.30658567227997</v>
      </c>
      <c r="AG8" s="146">
        <v>189.71110605539999</v>
      </c>
      <c r="AH8" s="146">
        <v>199.20973216483003</v>
      </c>
      <c r="AI8" s="146">
        <v>162.58772462643901</v>
      </c>
      <c r="AJ8" s="146">
        <v>152.08022410961189</v>
      </c>
      <c r="AK8" s="261">
        <v>159.94894058899374</v>
      </c>
    </row>
    <row r="9" spans="1:45">
      <c r="A9" s="736" t="s">
        <v>115</v>
      </c>
      <c r="B9" s="737">
        <v>20.524000000000001</v>
      </c>
      <c r="C9" s="737">
        <v>22.254999999999999</v>
      </c>
      <c r="D9" s="737">
        <v>24.600999999999999</v>
      </c>
      <c r="E9" s="737">
        <v>27.562000000000001</v>
      </c>
      <c r="F9" s="737">
        <v>30.84</v>
      </c>
      <c r="G9" s="737">
        <v>33.621000000000002</v>
      </c>
      <c r="H9" s="737">
        <v>36.682000000000002</v>
      </c>
      <c r="I9" s="737">
        <v>46.02</v>
      </c>
      <c r="J9" s="737">
        <v>50.667999999999999</v>
      </c>
      <c r="K9" s="737">
        <v>55.475000000000001</v>
      </c>
      <c r="L9" s="737">
        <v>19.359599999999997</v>
      </c>
      <c r="M9" s="737">
        <v>18.7486</v>
      </c>
      <c r="N9" s="737">
        <v>18.788</v>
      </c>
      <c r="O9" s="737">
        <v>18.433</v>
      </c>
      <c r="P9" s="737">
        <v>18.045000000000002</v>
      </c>
      <c r="Q9" s="737">
        <v>18.988</v>
      </c>
      <c r="R9" s="737">
        <v>17.495000000000001</v>
      </c>
      <c r="S9" s="737">
        <v>18.411999999999999</v>
      </c>
      <c r="T9" s="737">
        <v>17.885999999999999</v>
      </c>
      <c r="U9" s="737">
        <v>19.382000000000001</v>
      </c>
      <c r="V9" s="737">
        <v>22.934999999999999</v>
      </c>
      <c r="W9" s="737">
        <v>22.685500000000001</v>
      </c>
      <c r="X9" s="737">
        <v>15.4832</v>
      </c>
      <c r="Y9" s="737">
        <v>15.443200000000001</v>
      </c>
      <c r="Z9" s="737">
        <v>15.0039</v>
      </c>
      <c r="AA9" s="737">
        <v>18.474</v>
      </c>
      <c r="AB9" s="737">
        <v>17.9056</v>
      </c>
      <c r="AC9" s="737">
        <v>19.292899999999999</v>
      </c>
      <c r="AD9" s="737">
        <v>22.317699999999999</v>
      </c>
      <c r="AE9" s="737">
        <v>21.847799999999999</v>
      </c>
      <c r="AF9" s="737">
        <v>19.8657</v>
      </c>
      <c r="AG9" s="737">
        <v>22.398</v>
      </c>
      <c r="AH9" s="737">
        <v>21.6922</v>
      </c>
      <c r="AI9" s="737">
        <v>22.3626</v>
      </c>
      <c r="AJ9" s="737">
        <v>22.173200000000001</v>
      </c>
      <c r="AK9" s="261">
        <f>AJ9/AJ8*AK8</f>
        <v>23.32045386066552</v>
      </c>
    </row>
    <row r="10" spans="1:45">
      <c r="A10" s="7" t="s">
        <v>2</v>
      </c>
      <c r="B10" s="146">
        <v>3.222</v>
      </c>
      <c r="C10" s="146">
        <v>3.1819999999999999</v>
      </c>
      <c r="D10" s="146">
        <v>3.4590000000000001</v>
      </c>
      <c r="E10" s="146">
        <v>3.6669999999999998</v>
      </c>
      <c r="F10" s="146">
        <v>3.4173</v>
      </c>
      <c r="G10" s="146">
        <v>3.4356</v>
      </c>
      <c r="H10" s="146">
        <v>3.7624</v>
      </c>
      <c r="I10" s="146">
        <v>3.9051999999999998</v>
      </c>
      <c r="J10" s="146">
        <v>4.2137000000000002</v>
      </c>
      <c r="K10" s="146">
        <v>4.4026999999999994</v>
      </c>
      <c r="L10" s="146">
        <v>4.7051999999999996</v>
      </c>
      <c r="M10" s="146">
        <v>4.5066000000000006</v>
      </c>
      <c r="N10" s="146">
        <v>4.6623000000000001</v>
      </c>
      <c r="O10" s="146">
        <v>5.3404999999999996</v>
      </c>
      <c r="P10" s="146">
        <v>5.4373000000000005</v>
      </c>
      <c r="Q10" s="146">
        <v>5.3244999999999996</v>
      </c>
      <c r="R10" s="146">
        <v>5.5273999999999992</v>
      </c>
      <c r="S10" s="146">
        <v>5.5691000000000006</v>
      </c>
      <c r="T10" s="146">
        <v>5.5202999999999998</v>
      </c>
      <c r="U10" s="146">
        <v>5.3418000000000001</v>
      </c>
      <c r="V10" s="146">
        <v>5.3758999999999997</v>
      </c>
      <c r="W10" s="146">
        <v>5.6543000000000001</v>
      </c>
      <c r="X10" s="146">
        <v>5.5916999999999994</v>
      </c>
      <c r="Y10" s="146">
        <v>5.6592000000000002</v>
      </c>
      <c r="Z10" s="146">
        <v>5.9163000000000006</v>
      </c>
      <c r="AA10" s="146">
        <v>6.1849999999999996</v>
      </c>
      <c r="AB10" s="146">
        <v>6.2886000000000006</v>
      </c>
      <c r="AC10" s="146">
        <v>6.2012</v>
      </c>
      <c r="AD10" s="146">
        <v>6.1053999999999995</v>
      </c>
      <c r="AE10" s="146">
        <v>6.0748999999999995</v>
      </c>
      <c r="AF10" s="146">
        <v>6.0261120000000004</v>
      </c>
      <c r="AG10" s="146">
        <v>5.9138000000000002</v>
      </c>
      <c r="AH10" s="146">
        <v>5.8369</v>
      </c>
      <c r="AI10" s="146">
        <v>5.6921999999999997</v>
      </c>
      <c r="AJ10" s="146">
        <v>5.6749999999999998</v>
      </c>
      <c r="AK10" s="261">
        <v>5.6592895448422063</v>
      </c>
    </row>
    <row r="11" spans="1:45">
      <c r="A11" s="7" t="s">
        <v>3</v>
      </c>
      <c r="B11" s="146">
        <v>6.0000000000000001E-3</v>
      </c>
      <c r="C11" s="146">
        <v>8.0000000000000002E-3</v>
      </c>
      <c r="D11" s="146">
        <v>1.0999999999999999E-2</v>
      </c>
      <c r="E11" s="146">
        <v>1.4999999999999999E-2</v>
      </c>
      <c r="F11" s="146">
        <v>1.7299999999999999E-2</v>
      </c>
      <c r="G11" s="146">
        <v>2.29E-2</v>
      </c>
      <c r="H11" s="146">
        <v>4.6700000000000005E-2</v>
      </c>
      <c r="I11" s="146">
        <v>0.1328</v>
      </c>
      <c r="J11" s="146">
        <v>0.24769999999999998</v>
      </c>
      <c r="K11" s="146">
        <v>0.41949999999999998</v>
      </c>
      <c r="L11" s="146">
        <v>0.58110000000000006</v>
      </c>
      <c r="M11" s="146">
        <v>1.1976</v>
      </c>
      <c r="N11" s="146">
        <v>1.4252</v>
      </c>
      <c r="O11" s="146">
        <v>1.4824000000000002</v>
      </c>
      <c r="P11" s="146">
        <v>1.8754999999999999</v>
      </c>
      <c r="Q11" s="146">
        <v>2.3744000000000001</v>
      </c>
      <c r="R11" s="146">
        <v>3.0057</v>
      </c>
      <c r="S11" s="146">
        <v>4.0734000000000004</v>
      </c>
      <c r="T11" s="146">
        <v>5.0543000000000005</v>
      </c>
      <c r="U11" s="146">
        <v>7.2193999999999994</v>
      </c>
      <c r="V11" s="146">
        <v>11.031600000000001</v>
      </c>
      <c r="W11" s="146">
        <v>20.652099999999997</v>
      </c>
      <c r="X11" s="146">
        <v>32.268800000000006</v>
      </c>
      <c r="Y11" s="146">
        <v>36.485599999999998</v>
      </c>
      <c r="Z11" s="146">
        <v>37.484699999999997</v>
      </c>
      <c r="AA11" s="146">
        <v>37.786099999999998</v>
      </c>
      <c r="AB11" s="146">
        <v>39.792999999999999</v>
      </c>
      <c r="AC11" s="146">
        <v>42.119600000000005</v>
      </c>
      <c r="AD11" s="146">
        <v>40.370199999999997</v>
      </c>
      <c r="AE11" s="146">
        <v>43.890900000000002</v>
      </c>
      <c r="AF11" s="146">
        <v>43.703060999999998</v>
      </c>
      <c r="AG11" s="146">
        <v>45.966300000000004</v>
      </c>
      <c r="AH11" s="146">
        <v>48.615699999999997</v>
      </c>
      <c r="AI11" s="146">
        <v>54.351599999999998</v>
      </c>
      <c r="AJ11" s="146">
        <v>58.314999999999998</v>
      </c>
      <c r="AK11" s="261">
        <v>66.590421379950442</v>
      </c>
    </row>
    <row r="12" spans="1:45">
      <c r="A12" s="736" t="s">
        <v>115</v>
      </c>
      <c r="B12" s="738"/>
      <c r="C12" s="738"/>
      <c r="D12" s="738"/>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8"/>
      <c r="AC12" s="738"/>
      <c r="AD12" s="738"/>
      <c r="AE12" s="738"/>
      <c r="AF12" s="738">
        <f>4.4/1000</f>
        <v>4.4000000000000003E-3</v>
      </c>
      <c r="AG12" s="738">
        <f>4.1/1000</f>
        <v>4.0999999999999995E-3</v>
      </c>
      <c r="AH12" s="738">
        <v>3.0000000000000001E-3</v>
      </c>
      <c r="AI12" s="738">
        <f>(2.2+2993.8)/1000</f>
        <v>2.996</v>
      </c>
      <c r="AJ12" s="738">
        <f>(0+5837.3)/1000</f>
        <v>5.8372999999999999</v>
      </c>
      <c r="AK12" s="261">
        <f>AJ12/AJ11*AK11</f>
        <v>6.6656652100005953</v>
      </c>
    </row>
    <row r="13" spans="1:45">
      <c r="A13" s="7" t="s">
        <v>565</v>
      </c>
      <c r="B13" s="146">
        <v>0</v>
      </c>
      <c r="C13" s="146">
        <v>0</v>
      </c>
      <c r="D13" s="146">
        <v>0</v>
      </c>
      <c r="E13" s="146">
        <v>0</v>
      </c>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784">
        <v>0</v>
      </c>
      <c r="AI13" s="784">
        <v>8.4000000000000012E-3</v>
      </c>
      <c r="AJ13" s="784">
        <v>0.13589999999999999</v>
      </c>
      <c r="AK13" s="735">
        <v>1.6914058901206892</v>
      </c>
    </row>
    <row r="14" spans="1:45">
      <c r="A14" s="736" t="s">
        <v>115</v>
      </c>
      <c r="B14" s="738"/>
      <c r="C14" s="738"/>
      <c r="D14" s="738"/>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8"/>
      <c r="AC14" s="738"/>
      <c r="AD14" s="738"/>
      <c r="AE14" s="738"/>
      <c r="AF14" s="738"/>
      <c r="AG14" s="738"/>
      <c r="AH14" s="738"/>
      <c r="AI14" s="738">
        <f>2.6/1000</f>
        <v>2.5999999999999999E-3</v>
      </c>
      <c r="AJ14" s="738">
        <f>0/1000</f>
        <v>0</v>
      </c>
      <c r="AK14" s="261">
        <f>AJ14/AJ13*AK13</f>
        <v>0</v>
      </c>
    </row>
    <row r="15" spans="1:45">
      <c r="A15" s="6" t="s">
        <v>9</v>
      </c>
      <c r="B15" s="124">
        <f>SUM(B6,B8,B10:B11,B13)</f>
        <v>216.60000000000002</v>
      </c>
      <c r="C15" s="124">
        <f t="shared" ref="C15:AI15" si="0">SUM(C6,C8,C10:C11,C13)</f>
        <v>221.81650000000002</v>
      </c>
      <c r="D15" s="124">
        <f t="shared" si="0"/>
        <v>226.25399999999999</v>
      </c>
      <c r="E15" s="124">
        <f t="shared" si="0"/>
        <v>222.80199999999999</v>
      </c>
      <c r="F15" s="124">
        <f t="shared" si="0"/>
        <v>231.81270000000001</v>
      </c>
      <c r="G15" s="124">
        <f t="shared" si="0"/>
        <v>241.48829999999998</v>
      </c>
      <c r="H15" s="124">
        <f t="shared" si="0"/>
        <v>244.43169999999998</v>
      </c>
      <c r="I15" s="124">
        <f t="shared" si="0"/>
        <v>251.46980000000002</v>
      </c>
      <c r="J15" s="124">
        <f t="shared" si="0"/>
        <v>259.79399999999998</v>
      </c>
      <c r="K15" s="124">
        <f t="shared" si="0"/>
        <v>265.6592</v>
      </c>
      <c r="L15" s="124">
        <f t="shared" si="0"/>
        <v>276.64209999999997</v>
      </c>
      <c r="M15" s="124">
        <f t="shared" si="0"/>
        <v>279.0086</v>
      </c>
      <c r="N15" s="124">
        <f t="shared" si="0"/>
        <v>285.27680000000004</v>
      </c>
      <c r="O15" s="124">
        <f t="shared" si="0"/>
        <v>293.88389999999998</v>
      </c>
      <c r="P15" s="124">
        <f t="shared" si="0"/>
        <v>303.34819999999996</v>
      </c>
      <c r="Q15" s="124">
        <f t="shared" si="0"/>
        <v>303.6979</v>
      </c>
      <c r="R15" s="124">
        <f t="shared" si="0"/>
        <v>314.12290000000002</v>
      </c>
      <c r="S15" s="124">
        <f t="shared" si="0"/>
        <v>313.88800000000003</v>
      </c>
      <c r="T15" s="124">
        <f t="shared" si="0"/>
        <v>319.12960000000004</v>
      </c>
      <c r="U15" s="124">
        <f t="shared" si="0"/>
        <v>292.64260000000002</v>
      </c>
      <c r="V15" s="124">
        <f t="shared" si="0"/>
        <v>302.06208000000004</v>
      </c>
      <c r="W15" s="124">
        <f t="shared" si="0"/>
        <v>302.58045999999996</v>
      </c>
      <c r="X15" s="124">
        <f t="shared" si="0"/>
        <v>299.27619999999996</v>
      </c>
      <c r="Y15" s="124">
        <f t="shared" si="0"/>
        <v>289.8039</v>
      </c>
      <c r="Z15" s="124">
        <f t="shared" si="0"/>
        <v>279.82820000000004</v>
      </c>
      <c r="AA15" s="124">
        <f t="shared" si="0"/>
        <v>282.99400000000003</v>
      </c>
      <c r="AB15" s="124">
        <f t="shared" si="0"/>
        <v>289.76819999999998</v>
      </c>
      <c r="AC15" s="124">
        <f t="shared" si="0"/>
        <v>295.829993172</v>
      </c>
      <c r="AD15" s="124">
        <f t="shared" si="0"/>
        <v>289.70845972702</v>
      </c>
      <c r="AE15" s="124">
        <f t="shared" si="0"/>
        <v>293.85318719753997</v>
      </c>
      <c r="AF15" s="124">
        <f t="shared" si="0"/>
        <v>280.53101400000003</v>
      </c>
      <c r="AG15" s="124">
        <f t="shared" si="0"/>
        <v>289.06950605540004</v>
      </c>
      <c r="AH15" s="124">
        <f t="shared" si="0"/>
        <v>283.95313216483004</v>
      </c>
      <c r="AI15" s="124">
        <f t="shared" si="0"/>
        <v>264.70822462643901</v>
      </c>
      <c r="AJ15" s="124">
        <f>SUM(AJ6,AJ8,AJ10:AJ11,AJ13)</f>
        <v>270.9631241096119</v>
      </c>
      <c r="AK15" s="148">
        <f>SUM(AK6,AK8,AK10:AK11,AK13)</f>
        <v>277.66688938778816</v>
      </c>
    </row>
    <row r="16" spans="1:45">
      <c r="A16" s="2" t="s">
        <v>617</v>
      </c>
      <c r="AL16" s="492"/>
      <c r="AM16" s="492"/>
      <c r="AN16" s="492"/>
      <c r="AO16" s="492"/>
      <c r="AP16" s="492"/>
      <c r="AQ16" s="492"/>
      <c r="AR16" s="492"/>
      <c r="AS16" s="492"/>
    </row>
    <row r="17" spans="1:45">
      <c r="A17" s="2" t="s">
        <v>618</v>
      </c>
      <c r="V17" s="118"/>
      <c r="W17" s="118"/>
      <c r="X17" s="118"/>
      <c r="Y17" s="118"/>
      <c r="Z17" s="118"/>
      <c r="AA17" s="118"/>
      <c r="AB17" s="118"/>
      <c r="AE17" s="118"/>
      <c r="AF17" s="118"/>
      <c r="AG17" s="118"/>
      <c r="AH17" s="118"/>
      <c r="AI17" s="118"/>
      <c r="AJ17" s="676"/>
      <c r="AK17" s="118"/>
      <c r="AL17" s="492"/>
      <c r="AM17" s="492"/>
      <c r="AN17" s="492"/>
      <c r="AO17" s="492"/>
      <c r="AP17" s="492"/>
      <c r="AQ17" s="492"/>
      <c r="AR17" s="492"/>
      <c r="AS17" s="492"/>
    </row>
    <row r="19" spans="1:45">
      <c r="A19" s="410"/>
      <c r="B19" s="493"/>
      <c r="C19" s="413"/>
      <c r="D19" s="413"/>
      <c r="E19" s="413"/>
      <c r="F19" s="413"/>
      <c r="G19" s="493"/>
      <c r="H19" s="413"/>
      <c r="I19" s="413"/>
      <c r="J19" s="413"/>
      <c r="K19" s="413"/>
      <c r="L19" s="493"/>
      <c r="M19" s="413"/>
      <c r="N19" s="413"/>
      <c r="O19" s="413"/>
      <c r="P19" s="413"/>
      <c r="Q19" s="118"/>
      <c r="R19" s="118"/>
      <c r="S19" s="118"/>
      <c r="T19" s="118"/>
      <c r="U19" s="118"/>
      <c r="V19" s="676"/>
      <c r="W19" s="676"/>
      <c r="X19" s="676"/>
      <c r="Y19" s="718"/>
      <c r="Z19" s="718"/>
      <c r="AA19" s="718"/>
      <c r="AB19" s="718"/>
      <c r="AC19" s="718"/>
      <c r="AD19" s="718"/>
      <c r="AE19" s="718"/>
      <c r="AF19" s="718"/>
      <c r="AG19" s="718"/>
      <c r="AH19" s="718"/>
      <c r="AI19" s="718"/>
      <c r="AJ19" s="410"/>
      <c r="AK19" s="410"/>
    </row>
    <row r="20" spans="1:45">
      <c r="A20" s="410"/>
      <c r="B20" s="412"/>
      <c r="C20" s="412"/>
      <c r="D20" s="412"/>
      <c r="E20" s="412"/>
      <c r="F20" s="412"/>
      <c r="G20" s="412"/>
      <c r="H20" s="412"/>
      <c r="I20" s="412"/>
      <c r="J20" s="412"/>
      <c r="K20" s="412"/>
      <c r="L20" s="412"/>
      <c r="M20" s="412"/>
      <c r="N20" s="412"/>
      <c r="O20" s="410"/>
      <c r="P20" s="410"/>
      <c r="Q20" s="410"/>
      <c r="R20" s="410"/>
      <c r="S20" s="410"/>
      <c r="T20" s="410"/>
      <c r="U20" s="410"/>
      <c r="V20" s="410"/>
      <c r="W20" s="410"/>
      <c r="X20" s="410"/>
      <c r="Y20" s="413"/>
      <c r="Z20" s="414"/>
      <c r="AA20" s="414"/>
      <c r="AB20" s="414"/>
      <c r="AC20" s="414"/>
      <c r="AD20" s="414"/>
      <c r="AE20" s="414"/>
      <c r="AF20" s="414"/>
      <c r="AG20" s="414"/>
      <c r="AH20" s="414"/>
      <c r="AI20" s="414"/>
      <c r="AJ20" s="414"/>
      <c r="AK20" s="414"/>
    </row>
    <row r="21" spans="1:45">
      <c r="A21" s="410"/>
      <c r="B21" s="3">
        <v>1990</v>
      </c>
      <c r="C21" s="4">
        <v>1991</v>
      </c>
      <c r="D21" s="4">
        <v>1992</v>
      </c>
      <c r="E21" s="3">
        <v>1993</v>
      </c>
      <c r="F21" s="3">
        <v>1994</v>
      </c>
      <c r="G21" s="3">
        <v>1995</v>
      </c>
      <c r="H21" s="3">
        <v>1996</v>
      </c>
      <c r="I21" s="3">
        <v>1997</v>
      </c>
      <c r="J21" s="3">
        <v>1998</v>
      </c>
      <c r="K21" s="3">
        <v>1999</v>
      </c>
      <c r="L21" s="3">
        <v>2000</v>
      </c>
      <c r="M21" s="3">
        <v>2001</v>
      </c>
      <c r="N21" s="3">
        <v>2002</v>
      </c>
      <c r="O21" s="3">
        <v>2003</v>
      </c>
      <c r="P21" s="3">
        <v>2004</v>
      </c>
      <c r="Q21" s="3">
        <v>2005</v>
      </c>
      <c r="R21" s="3">
        <v>2006</v>
      </c>
      <c r="S21" s="3">
        <v>2007</v>
      </c>
      <c r="T21" s="3">
        <v>2008</v>
      </c>
      <c r="U21" s="3">
        <v>2009</v>
      </c>
      <c r="V21" s="3">
        <v>2010</v>
      </c>
      <c r="W21" s="3">
        <v>2011</v>
      </c>
      <c r="X21" s="3">
        <v>2012</v>
      </c>
      <c r="Y21" s="3">
        <v>2013</v>
      </c>
      <c r="Z21" s="3">
        <v>2014</v>
      </c>
      <c r="AA21" s="3">
        <v>2015</v>
      </c>
      <c r="AB21" s="3">
        <v>2016</v>
      </c>
      <c r="AC21" s="3">
        <v>2017</v>
      </c>
      <c r="AD21" s="3">
        <v>2018</v>
      </c>
      <c r="AE21" s="3">
        <v>2019</v>
      </c>
      <c r="AF21" s="3">
        <v>2020</v>
      </c>
      <c r="AG21" s="3">
        <v>2021</v>
      </c>
      <c r="AH21" s="3">
        <v>2022</v>
      </c>
      <c r="AI21" s="3">
        <f>+AH21+1</f>
        <v>2023</v>
      </c>
      <c r="AJ21" s="3">
        <f>+AI21+1</f>
        <v>2024</v>
      </c>
      <c r="AK21" s="799">
        <v>2025</v>
      </c>
    </row>
    <row r="22" spans="1:45">
      <c r="A22" s="514" t="s">
        <v>356</v>
      </c>
      <c r="B22" s="515"/>
      <c r="C22" s="515"/>
      <c r="D22" s="515"/>
      <c r="E22" s="515"/>
      <c r="F22" s="515"/>
      <c r="G22" s="515"/>
      <c r="H22" s="515"/>
      <c r="I22" s="515"/>
      <c r="J22" s="515"/>
      <c r="K22" s="515"/>
      <c r="L22" s="515"/>
      <c r="M22" s="515"/>
      <c r="N22" s="515"/>
      <c r="O22" s="515"/>
      <c r="P22" s="515"/>
      <c r="Q22" s="515">
        <f>Q15+'1'!Q15</f>
        <v>352.85289999999998</v>
      </c>
      <c r="R22" s="515">
        <f>R15+'1'!R15</f>
        <v>359.10790000000003</v>
      </c>
      <c r="S22" s="515">
        <f>S15+'1'!S15</f>
        <v>360.17100000000005</v>
      </c>
      <c r="T22" s="515">
        <f>T15+'1'!T15</f>
        <v>359.16460000000006</v>
      </c>
      <c r="U22" s="515">
        <f>U15+'1'!U15</f>
        <v>337.60160000000002</v>
      </c>
      <c r="V22" s="515">
        <f>V15+'1'!V15</f>
        <v>346.22208000000001</v>
      </c>
      <c r="W22" s="515">
        <f>W15+'1'!W15</f>
        <v>348.31245999999999</v>
      </c>
      <c r="X22" s="515">
        <f>X15+'1'!X15</f>
        <v>342.37919999999997</v>
      </c>
      <c r="Y22" s="515">
        <f>Y15+'1'!Y15</f>
        <v>331.94189999999998</v>
      </c>
      <c r="Z22" s="515">
        <f>Z15+'1'!Z15</f>
        <v>323.54420000000005</v>
      </c>
      <c r="AA22" s="515">
        <f>AA15+'1'!AA15</f>
        <v>329.37200000000001</v>
      </c>
      <c r="AB22" s="515">
        <f>AB15+'1'!AB15</f>
        <v>326.79519999999997</v>
      </c>
      <c r="AC22" s="515">
        <f>AC15+'1'!AC15</f>
        <v>333.590643172</v>
      </c>
      <c r="AD22" s="515">
        <f>AD15+'1'!AD15</f>
        <v>333.60724872701996</v>
      </c>
      <c r="AE22" s="515">
        <f>AE15+'1'!AE15</f>
        <v>331.99438719753999</v>
      </c>
      <c r="AF22" s="515">
        <f>AF15+'1'!AF15</f>
        <v>312.73141400000003</v>
      </c>
      <c r="AG22" s="515">
        <f>AG15+'1'!AG15</f>
        <v>331.85930605540005</v>
      </c>
      <c r="AH22" s="515">
        <f>AH15+'1'!AH15</f>
        <v>326.93993216483005</v>
      </c>
      <c r="AI22" s="515">
        <f>AI15+'1'!AI15</f>
        <v>315.95972462643903</v>
      </c>
      <c r="AJ22" s="515">
        <f>AJ15+'1'!AJ15</f>
        <v>321.96272410961188</v>
      </c>
      <c r="AK22" s="656">
        <f>AK15+'1'!AK15</f>
        <v>324.55588938778817</v>
      </c>
    </row>
    <row r="23" spans="1:45">
      <c r="A23" s="410"/>
      <c r="B23" s="415"/>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516"/>
    </row>
    <row r="24" spans="1:45">
      <c r="A24" s="653" t="s">
        <v>704</v>
      </c>
      <c r="B24" s="3">
        <v>1990</v>
      </c>
      <c r="C24" s="4">
        <v>1991</v>
      </c>
      <c r="D24" s="4">
        <v>1992</v>
      </c>
      <c r="E24" s="3">
        <v>1993</v>
      </c>
      <c r="F24" s="3">
        <v>1994</v>
      </c>
      <c r="G24" s="3">
        <v>1995</v>
      </c>
      <c r="H24" s="3">
        <v>1996</v>
      </c>
      <c r="I24" s="3">
        <v>1997</v>
      </c>
      <c r="J24" s="3">
        <v>1998</v>
      </c>
      <c r="K24" s="3">
        <v>1999</v>
      </c>
      <c r="L24" s="3">
        <v>2000</v>
      </c>
      <c r="M24" s="3">
        <v>2001</v>
      </c>
      <c r="N24" s="3">
        <v>2002</v>
      </c>
      <c r="O24" s="3">
        <v>2003</v>
      </c>
      <c r="P24" s="3">
        <v>2004</v>
      </c>
      <c r="Q24" s="3">
        <v>2005</v>
      </c>
      <c r="R24" s="3">
        <v>2006</v>
      </c>
      <c r="S24" s="3">
        <v>2007</v>
      </c>
      <c r="T24" s="3">
        <v>2008</v>
      </c>
      <c r="U24" s="3">
        <v>2009</v>
      </c>
      <c r="V24" s="3">
        <v>2010</v>
      </c>
      <c r="W24" s="3">
        <v>2011</v>
      </c>
      <c r="X24" s="3">
        <v>2012</v>
      </c>
      <c r="Y24" s="3">
        <v>2013</v>
      </c>
      <c r="Z24" s="3">
        <v>2014</v>
      </c>
      <c r="AA24" s="3">
        <v>2015</v>
      </c>
      <c r="AB24" s="3">
        <v>2016</v>
      </c>
      <c r="AC24" s="3">
        <v>2017</v>
      </c>
      <c r="AD24" s="3">
        <v>2018</v>
      </c>
      <c r="AE24" s="3">
        <v>2019</v>
      </c>
      <c r="AF24" s="3">
        <v>2020</v>
      </c>
      <c r="AG24" s="3">
        <v>2021</v>
      </c>
      <c r="AH24" s="3">
        <v>2022</v>
      </c>
      <c r="AI24" s="3">
        <f>+AH24+1</f>
        <v>2023</v>
      </c>
      <c r="AJ24" s="3">
        <f>+AI24+1</f>
        <v>2024</v>
      </c>
      <c r="AK24" s="799">
        <v>2025</v>
      </c>
    </row>
    <row r="25" spans="1:45">
      <c r="A25" s="514" t="s">
        <v>80</v>
      </c>
      <c r="B25" s="517"/>
      <c r="C25" s="517"/>
      <c r="D25" s="517"/>
      <c r="E25" s="517"/>
      <c r="F25" s="517"/>
      <c r="G25" s="517"/>
      <c r="H25" s="517"/>
      <c r="I25" s="517"/>
      <c r="J25" s="517"/>
      <c r="K25" s="517"/>
      <c r="L25" s="517"/>
      <c r="M25" s="517"/>
      <c r="N25" s="517"/>
      <c r="O25" s="517"/>
      <c r="P25" s="517"/>
      <c r="Q25" s="517">
        <f>Q6*1</f>
        <v>42.926699999999997</v>
      </c>
      <c r="R25" s="517">
        <f t="shared" ref="R25:AK25" si="1">R6*1</f>
        <v>43.425400000000003</v>
      </c>
      <c r="S25" s="517">
        <f t="shared" si="1"/>
        <v>38.481199999999994</v>
      </c>
      <c r="T25" s="517">
        <f t="shared" si="1"/>
        <v>47.226999999999997</v>
      </c>
      <c r="U25" s="517">
        <f t="shared" si="1"/>
        <v>53.442500000000003</v>
      </c>
      <c r="V25" s="517">
        <f t="shared" si="1"/>
        <v>54.406779999999998</v>
      </c>
      <c r="W25" s="517">
        <f t="shared" si="1"/>
        <v>47.756660000000004</v>
      </c>
      <c r="X25" s="517">
        <f t="shared" si="1"/>
        <v>43.853899999999996</v>
      </c>
      <c r="Y25" s="517">
        <f t="shared" si="1"/>
        <v>54.671399999999998</v>
      </c>
      <c r="Z25" s="517">
        <f t="shared" si="1"/>
        <v>60.256399999999999</v>
      </c>
      <c r="AA25" s="517">
        <f t="shared" si="1"/>
        <v>46.9694</v>
      </c>
      <c r="AB25" s="517">
        <f t="shared" si="1"/>
        <v>44.256999999999998</v>
      </c>
      <c r="AC25" s="517">
        <f t="shared" si="1"/>
        <v>38.024699999999996</v>
      </c>
      <c r="AD25" s="517">
        <f t="shared" si="1"/>
        <v>50.502839999999999</v>
      </c>
      <c r="AE25" s="517">
        <f t="shared" si="1"/>
        <v>48.153500000000001</v>
      </c>
      <c r="AF25" s="517">
        <f t="shared" si="1"/>
        <v>49.495255327720052</v>
      </c>
      <c r="AG25" s="517">
        <f t="shared" si="1"/>
        <v>47.478300000000004</v>
      </c>
      <c r="AH25" s="517">
        <f t="shared" si="1"/>
        <v>30.290800000000001</v>
      </c>
      <c r="AI25" s="517">
        <f t="shared" si="1"/>
        <v>42.068300000000001</v>
      </c>
      <c r="AJ25" s="517">
        <f>AJ6*1</f>
        <v>54.756999999999998</v>
      </c>
      <c r="AK25" s="657">
        <f t="shared" si="1"/>
        <v>43.776831983881131</v>
      </c>
      <c r="AM25" s="410"/>
    </row>
    <row r="26" spans="1:45">
      <c r="A26" s="706" t="s">
        <v>795</v>
      </c>
      <c r="B26" s="517"/>
      <c r="C26" s="517"/>
      <c r="D26" s="517"/>
      <c r="E26" s="517"/>
      <c r="F26" s="517"/>
      <c r="G26" s="517"/>
      <c r="H26" s="517"/>
      <c r="I26" s="517"/>
      <c r="J26" s="517"/>
      <c r="K26" s="517"/>
      <c r="L26" s="517"/>
      <c r="M26" s="517"/>
      <c r="N26" s="517"/>
      <c r="O26" s="517"/>
      <c r="P26" s="517"/>
      <c r="Q26" s="517">
        <f>Q8/'23'!B18</f>
        <v>621.7665955171417</v>
      </c>
      <c r="R26" s="517">
        <f>R8/'23'!C18</f>
        <v>638.69415565340012</v>
      </c>
      <c r="S26" s="517">
        <f>S8/'23'!D18</f>
        <v>640.44546634600113</v>
      </c>
      <c r="T26" s="517">
        <f>T8/'23'!E18</f>
        <v>622.22670786020001</v>
      </c>
      <c r="U26" s="517">
        <f>U8/'23'!F18</f>
        <v>543.76471620761242</v>
      </c>
      <c r="V26" s="517">
        <f>V8/'23'!G18</f>
        <v>555.48272965951128</v>
      </c>
      <c r="W26" s="517">
        <f>W8/'23'!H18</f>
        <v>554.41033022223382</v>
      </c>
      <c r="X26" s="517">
        <f>X8/'23'!I18</f>
        <v>531.09291969444575</v>
      </c>
      <c r="Y26" s="517">
        <f>Y8/'23'!J18</f>
        <v>477.97718645639998</v>
      </c>
      <c r="Z26" s="517">
        <f>Z8/'23'!K18</f>
        <v>445.43530917537834</v>
      </c>
      <c r="AA26" s="517">
        <f>AA8/'23'!L18</f>
        <v>469.19043259541672</v>
      </c>
      <c r="AB26" s="517">
        <f>AB8/'23'!M18</f>
        <v>475.50675821333323</v>
      </c>
      <c r="AC26" s="517">
        <f>AC8/'23'!N18</f>
        <v>488.96802350805558</v>
      </c>
      <c r="AD26" s="517">
        <f>AD8/'23'!O18</f>
        <v>454.82970325277779</v>
      </c>
      <c r="AE26" s="517">
        <f>AE8/'23'!P18</f>
        <v>454.69212292866672</v>
      </c>
      <c r="AF26" s="517">
        <f>AF8/'23'!Q18</f>
        <v>424.01698110000007</v>
      </c>
      <c r="AG26" s="517">
        <f>AG8/'23'!R18</f>
        <v>437.81071316666674</v>
      </c>
      <c r="AH26" s="517">
        <f>AH8/'23'!S18</f>
        <v>457.24111748888879</v>
      </c>
      <c r="AI26" s="517">
        <f>AI8/'23'!T18</f>
        <v>374.9483240583333</v>
      </c>
      <c r="AJ26" s="517">
        <f>AJ8/'23'!U18</f>
        <v>346.79033198194458</v>
      </c>
      <c r="AK26" s="657">
        <f>AK8/'23'!V18</f>
        <v>356.25196525412514</v>
      </c>
      <c r="AM26" s="410"/>
    </row>
    <row r="27" spans="1:45">
      <c r="A27" s="514" t="s">
        <v>2</v>
      </c>
      <c r="B27" s="517"/>
      <c r="C27" s="517"/>
      <c r="D27" s="517"/>
      <c r="E27" s="517"/>
      <c r="F27" s="517"/>
      <c r="G27" s="517"/>
      <c r="H27" s="517"/>
      <c r="I27" s="517"/>
      <c r="J27" s="517"/>
      <c r="K27" s="517"/>
      <c r="L27" s="517"/>
      <c r="M27" s="517"/>
      <c r="N27" s="517"/>
      <c r="O27" s="517"/>
      <c r="P27" s="517"/>
      <c r="Q27" s="517">
        <f>Q10*10.3</f>
        <v>54.842349999999996</v>
      </c>
      <c r="R27" s="517">
        <f t="shared" ref="R27:AI27" si="2">R10*10.3</f>
        <v>56.932219999999994</v>
      </c>
      <c r="S27" s="517">
        <f t="shared" si="2"/>
        <v>57.361730000000009</v>
      </c>
      <c r="T27" s="517">
        <f t="shared" si="2"/>
        <v>56.859090000000002</v>
      </c>
      <c r="U27" s="517">
        <f t="shared" si="2"/>
        <v>55.020540000000004</v>
      </c>
      <c r="V27" s="517">
        <f t="shared" si="2"/>
        <v>55.371769999999998</v>
      </c>
      <c r="W27" s="517">
        <f t="shared" si="2"/>
        <v>58.239290000000004</v>
      </c>
      <c r="X27" s="517">
        <f t="shared" si="2"/>
        <v>57.59451</v>
      </c>
      <c r="Y27" s="517">
        <f t="shared" si="2"/>
        <v>58.289760000000008</v>
      </c>
      <c r="Z27" s="517">
        <f t="shared" si="2"/>
        <v>60.93789000000001</v>
      </c>
      <c r="AA27" s="517">
        <f t="shared" si="2"/>
        <v>63.705500000000001</v>
      </c>
      <c r="AB27" s="517">
        <f t="shared" si="2"/>
        <v>64.772580000000005</v>
      </c>
      <c r="AC27" s="517">
        <f t="shared" si="2"/>
        <v>63.872360000000008</v>
      </c>
      <c r="AD27" s="517">
        <f t="shared" si="2"/>
        <v>62.885619999999996</v>
      </c>
      <c r="AE27" s="517">
        <f t="shared" si="2"/>
        <v>62.571469999999998</v>
      </c>
      <c r="AF27" s="517">
        <f t="shared" si="2"/>
        <v>62.068953600000007</v>
      </c>
      <c r="AG27" s="517">
        <f t="shared" si="2"/>
        <v>60.912140000000008</v>
      </c>
      <c r="AH27" s="517">
        <f t="shared" si="2"/>
        <v>60.120070000000005</v>
      </c>
      <c r="AI27" s="517">
        <f t="shared" si="2"/>
        <v>58.629660000000001</v>
      </c>
      <c r="AJ27" s="517">
        <f>AJ10*10.3</f>
        <v>58.452500000000001</v>
      </c>
      <c r="AK27" s="657">
        <f>AK10*10.3</f>
        <v>58.290682311874725</v>
      </c>
      <c r="AM27" s="410"/>
    </row>
    <row r="28" spans="1:45">
      <c r="A28" s="514" t="s">
        <v>3</v>
      </c>
      <c r="B28" s="517"/>
      <c r="C28" s="517"/>
      <c r="D28" s="517"/>
      <c r="E28" s="517"/>
      <c r="F28" s="517"/>
      <c r="G28" s="517"/>
      <c r="H28" s="517"/>
      <c r="I28" s="517"/>
      <c r="J28" s="517"/>
      <c r="K28" s="517"/>
      <c r="L28" s="517"/>
      <c r="M28" s="517"/>
      <c r="N28" s="517"/>
      <c r="O28" s="517"/>
      <c r="P28" s="517"/>
      <c r="Q28" s="517">
        <f>Q11*1</f>
        <v>2.3744000000000001</v>
      </c>
      <c r="R28" s="517">
        <f t="shared" ref="R28:AK28" si="3">R11*1</f>
        <v>3.0057</v>
      </c>
      <c r="S28" s="517">
        <f t="shared" si="3"/>
        <v>4.0734000000000004</v>
      </c>
      <c r="T28" s="517">
        <f t="shared" si="3"/>
        <v>5.0543000000000005</v>
      </c>
      <c r="U28" s="517">
        <f t="shared" si="3"/>
        <v>7.2193999999999994</v>
      </c>
      <c r="V28" s="517">
        <f t="shared" si="3"/>
        <v>11.031600000000001</v>
      </c>
      <c r="W28" s="517">
        <f t="shared" si="3"/>
        <v>20.652099999999997</v>
      </c>
      <c r="X28" s="517">
        <f t="shared" si="3"/>
        <v>32.268800000000006</v>
      </c>
      <c r="Y28" s="517">
        <f t="shared" si="3"/>
        <v>36.485599999999998</v>
      </c>
      <c r="Z28" s="517">
        <f t="shared" si="3"/>
        <v>37.484699999999997</v>
      </c>
      <c r="AA28" s="517">
        <f t="shared" si="3"/>
        <v>37.786099999999998</v>
      </c>
      <c r="AB28" s="517">
        <f t="shared" si="3"/>
        <v>39.792999999999999</v>
      </c>
      <c r="AC28" s="517">
        <f t="shared" si="3"/>
        <v>42.119600000000005</v>
      </c>
      <c r="AD28" s="517">
        <f t="shared" si="3"/>
        <v>40.370199999999997</v>
      </c>
      <c r="AE28" s="517">
        <f t="shared" si="3"/>
        <v>43.890900000000002</v>
      </c>
      <c r="AF28" s="517">
        <f t="shared" si="3"/>
        <v>43.703060999999998</v>
      </c>
      <c r="AG28" s="517">
        <f t="shared" si="3"/>
        <v>45.966300000000004</v>
      </c>
      <c r="AH28" s="517">
        <f t="shared" si="3"/>
        <v>48.615699999999997</v>
      </c>
      <c r="AI28" s="517">
        <f t="shared" si="3"/>
        <v>54.351599999999998</v>
      </c>
      <c r="AJ28" s="517">
        <f>AJ11*1</f>
        <v>58.314999999999998</v>
      </c>
      <c r="AK28" s="657">
        <f t="shared" si="3"/>
        <v>66.590421379950442</v>
      </c>
      <c r="AM28" s="410"/>
    </row>
    <row r="29" spans="1:45">
      <c r="A29" s="517" t="s">
        <v>112</v>
      </c>
      <c r="B29" s="517"/>
      <c r="C29" s="517"/>
      <c r="D29" s="517"/>
      <c r="E29" s="517"/>
      <c r="F29" s="517"/>
      <c r="G29" s="517"/>
      <c r="H29" s="517"/>
      <c r="I29" s="517"/>
      <c r="J29" s="517"/>
      <c r="K29" s="517"/>
      <c r="L29" s="517"/>
      <c r="M29" s="517"/>
      <c r="N29" s="517"/>
      <c r="O29" s="517"/>
      <c r="P29" s="517"/>
      <c r="Q29" s="517">
        <f>'1'!Q15</f>
        <v>49.155000000000001</v>
      </c>
      <c r="R29" s="517">
        <f>'1'!R15</f>
        <v>44.984999999999999</v>
      </c>
      <c r="S29" s="517">
        <f>'1'!S15</f>
        <v>46.283000000000001</v>
      </c>
      <c r="T29" s="517">
        <f>'1'!T15</f>
        <v>40.034999999999997</v>
      </c>
      <c r="U29" s="517">
        <f>'1'!U15</f>
        <v>44.959000000000003</v>
      </c>
      <c r="V29" s="517">
        <f>'1'!V15</f>
        <v>44.16</v>
      </c>
      <c r="W29" s="517">
        <f>'1'!W15</f>
        <v>45.731999999999999</v>
      </c>
      <c r="X29" s="517">
        <f>'1'!X15</f>
        <v>43.103000000000002</v>
      </c>
      <c r="Y29" s="517">
        <f>'1'!Y15</f>
        <v>42.137999999999998</v>
      </c>
      <c r="Z29" s="517">
        <f>'1'!Z15</f>
        <v>43.716000000000001</v>
      </c>
      <c r="AA29" s="517">
        <f>'1'!AA15</f>
        <v>46.378</v>
      </c>
      <c r="AB29" s="517">
        <f>'1'!AB15</f>
        <v>37.027000000000001</v>
      </c>
      <c r="AC29" s="517">
        <f>'1'!AC15</f>
        <v>37.760649999999998</v>
      </c>
      <c r="AD29" s="517">
        <f>'1'!AD15</f>
        <v>43.898788999999994</v>
      </c>
      <c r="AE29" s="517">
        <f>'1'!AE15</f>
        <v>38.141200000000005</v>
      </c>
      <c r="AF29" s="517">
        <f>'1'!AF15</f>
        <v>32.200400000000002</v>
      </c>
      <c r="AG29" s="517">
        <f>'1'!AG15</f>
        <v>42.7898</v>
      </c>
      <c r="AH29" s="517">
        <f>'1'!AH15</f>
        <v>42.986800000000002</v>
      </c>
      <c r="AI29" s="517">
        <f>'1'!AI15</f>
        <v>51.2515</v>
      </c>
      <c r="AJ29" s="517">
        <f>'1'!AJ15</f>
        <v>50.999600000000001</v>
      </c>
      <c r="AK29" s="657">
        <f>'1'!AK15</f>
        <v>46.889000000000003</v>
      </c>
      <c r="AM29" s="410"/>
    </row>
    <row r="30" spans="1:45">
      <c r="A30" s="514" t="s">
        <v>354</v>
      </c>
      <c r="B30" s="517"/>
      <c r="C30" s="517"/>
      <c r="D30" s="517"/>
      <c r="E30" s="517"/>
      <c r="F30" s="517"/>
      <c r="G30" s="517"/>
      <c r="H30" s="517"/>
      <c r="I30" s="517"/>
      <c r="J30" s="517"/>
      <c r="K30" s="517"/>
      <c r="L30" s="517"/>
      <c r="M30" s="517"/>
      <c r="N30" s="517"/>
      <c r="O30" s="517"/>
      <c r="P30" s="517"/>
      <c r="Q30" s="517">
        <f>SUM(Q25:Q29)</f>
        <v>771.0650455171417</v>
      </c>
      <c r="R30" s="517">
        <f t="shared" ref="R30:AK30" si="4">SUM(R25:R29)</f>
        <v>787.04247565340017</v>
      </c>
      <c r="S30" s="517">
        <f t="shared" si="4"/>
        <v>786.64479634600104</v>
      </c>
      <c r="T30" s="517">
        <f t="shared" si="4"/>
        <v>771.4020978602</v>
      </c>
      <c r="U30" s="517">
        <f t="shared" si="4"/>
        <v>704.40615620761241</v>
      </c>
      <c r="V30" s="517">
        <f t="shared" si="4"/>
        <v>720.45287965951127</v>
      </c>
      <c r="W30" s="517">
        <f t="shared" si="4"/>
        <v>726.79038022223381</v>
      </c>
      <c r="X30" s="517">
        <f t="shared" si="4"/>
        <v>707.91312969444573</v>
      </c>
      <c r="Y30" s="517">
        <f t="shared" si="4"/>
        <v>669.56194645639994</v>
      </c>
      <c r="Z30" s="517">
        <f t="shared" si="4"/>
        <v>647.83029917537829</v>
      </c>
      <c r="AA30" s="517">
        <f t="shared" si="4"/>
        <v>664.02943259541678</v>
      </c>
      <c r="AB30" s="517">
        <f t="shared" si="4"/>
        <v>661.35633821333329</v>
      </c>
      <c r="AC30" s="517">
        <f t="shared" si="4"/>
        <v>670.74533350805564</v>
      </c>
      <c r="AD30" s="517">
        <f t="shared" si="4"/>
        <v>652.48715225277772</v>
      </c>
      <c r="AE30" s="517">
        <f t="shared" si="4"/>
        <v>647.44919292866678</v>
      </c>
      <c r="AF30" s="517">
        <f t="shared" si="4"/>
        <v>611.48465102772025</v>
      </c>
      <c r="AG30" s="517">
        <f t="shared" si="4"/>
        <v>634.95725316666676</v>
      </c>
      <c r="AH30" s="517">
        <f t="shared" si="4"/>
        <v>639.2544874888888</v>
      </c>
      <c r="AI30" s="517">
        <f t="shared" si="4"/>
        <v>581.24938405833325</v>
      </c>
      <c r="AJ30" s="517">
        <f>SUM(AJ25:AJ29)</f>
        <v>569.31443198194449</v>
      </c>
      <c r="AK30" s="657">
        <f t="shared" si="4"/>
        <v>571.79890092983146</v>
      </c>
      <c r="AM30" s="410"/>
    </row>
    <row r="31" spans="1:45">
      <c r="A31" s="653" t="s">
        <v>503</v>
      </c>
      <c r="B31" s="517"/>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657"/>
    </row>
    <row r="32" spans="1:45">
      <c r="A32" s="514" t="s">
        <v>357</v>
      </c>
      <c r="B32" s="518"/>
      <c r="C32" s="518"/>
      <c r="D32" s="518"/>
      <c r="E32" s="518"/>
      <c r="F32" s="518"/>
      <c r="G32" s="518"/>
      <c r="H32" s="518"/>
      <c r="I32" s="518"/>
      <c r="J32" s="518"/>
      <c r="K32" s="518"/>
      <c r="L32" s="518"/>
      <c r="M32" s="518"/>
      <c r="N32" s="518"/>
      <c r="O32" s="518"/>
      <c r="P32" s="518"/>
      <c r="Q32" s="518">
        <f>Q22/Q30</f>
        <v>0.45761755386453401</v>
      </c>
      <c r="R32" s="518">
        <f t="shared" ref="R32:AK32" si="5">R22/R30</f>
        <v>0.45627511996969389</v>
      </c>
      <c r="S32" s="518">
        <f t="shared" si="5"/>
        <v>0.45785722053080358</v>
      </c>
      <c r="T32" s="518">
        <f t="shared" si="5"/>
        <v>0.46559971900036357</v>
      </c>
      <c r="U32" s="518">
        <f t="shared" si="5"/>
        <v>0.47927122303641162</v>
      </c>
      <c r="V32" s="518">
        <f t="shared" si="5"/>
        <v>0.48056172690103738</v>
      </c>
      <c r="W32" s="518">
        <f t="shared" si="5"/>
        <v>0.47924748246323101</v>
      </c>
      <c r="X32" s="518">
        <f t="shared" si="5"/>
        <v>0.4836457831313003</v>
      </c>
      <c r="Y32" s="518">
        <f t="shared" si="5"/>
        <v>0.4957598049841011</v>
      </c>
      <c r="Z32" s="518">
        <f t="shared" si="5"/>
        <v>0.49942739697701499</v>
      </c>
      <c r="AA32" s="518">
        <f t="shared" si="5"/>
        <v>0.49602018198594139</v>
      </c>
      <c r="AB32" s="518">
        <f t="shared" si="5"/>
        <v>0.49412877917348369</v>
      </c>
      <c r="AC32" s="518">
        <f t="shared" si="5"/>
        <v>0.49734321881494475</v>
      </c>
      <c r="AD32" s="518">
        <f t="shared" si="5"/>
        <v>0.5112855442060541</v>
      </c>
      <c r="AE32" s="518">
        <f t="shared" si="5"/>
        <v>0.51277287982366482</v>
      </c>
      <c r="AF32" s="518">
        <f t="shared" si="5"/>
        <v>0.51142970387628428</v>
      </c>
      <c r="AG32" s="518">
        <f t="shared" si="5"/>
        <v>0.52264826395847463</v>
      </c>
      <c r="AH32" s="518">
        <f t="shared" si="5"/>
        <v>0.51143940099523</v>
      </c>
      <c r="AI32" s="518">
        <f t="shared" si="5"/>
        <v>0.54358719904420549</v>
      </c>
      <c r="AJ32" s="518">
        <f>AJ22/AJ30</f>
        <v>0.56552707260339174</v>
      </c>
      <c r="AK32" s="658">
        <f t="shared" si="5"/>
        <v>0.56760495492385732</v>
      </c>
    </row>
    <row r="33" spans="1:37">
      <c r="A33" s="706" t="s">
        <v>626</v>
      </c>
      <c r="B33" s="518"/>
      <c r="C33" s="518"/>
      <c r="D33" s="518"/>
      <c r="E33" s="518"/>
      <c r="F33" s="518"/>
      <c r="G33" s="518"/>
      <c r="H33" s="518"/>
      <c r="I33" s="518"/>
      <c r="J33" s="518"/>
      <c r="K33" s="518"/>
      <c r="L33" s="518"/>
      <c r="M33" s="518"/>
      <c r="N33" s="518"/>
      <c r="O33" s="518"/>
      <c r="P33" s="518"/>
      <c r="Q33" s="518">
        <f>Q15/SUM(Q25:Q28)</f>
        <v>0.42068662416582026</v>
      </c>
      <c r="R33" s="518">
        <f>R15/SUM(R25:R28)</f>
        <v>0.42331343636610758</v>
      </c>
      <c r="S33" s="518">
        <f t="shared" ref="S33:AK33" si="6">S15/SUM(S25:S28)</f>
        <v>0.4239656902195254</v>
      </c>
      <c r="T33" s="518">
        <f t="shared" si="6"/>
        <v>0.43634667314635106</v>
      </c>
      <c r="U33" s="518">
        <f t="shared" si="6"/>
        <v>0.44376959889090484</v>
      </c>
      <c r="V33" s="518">
        <f t="shared" si="6"/>
        <v>0.4466438862288144</v>
      </c>
      <c r="W33" s="518">
        <f t="shared" si="6"/>
        <v>0.44427976923397661</v>
      </c>
      <c r="X33" s="518">
        <f t="shared" si="6"/>
        <v>0.45016793010893302</v>
      </c>
      <c r="Y33" s="518">
        <f t="shared" si="6"/>
        <v>0.46189486652011086</v>
      </c>
      <c r="Z33" s="518">
        <f t="shared" si="6"/>
        <v>0.46320406648537898</v>
      </c>
      <c r="AA33" s="518">
        <f t="shared" si="6"/>
        <v>0.4581775173917082</v>
      </c>
      <c r="AB33" s="518">
        <f t="shared" si="6"/>
        <v>0.46412715575603181</v>
      </c>
      <c r="AC33" s="518">
        <f t="shared" si="6"/>
        <v>0.46735726926674548</v>
      </c>
      <c r="AD33" s="518">
        <f t="shared" si="6"/>
        <v>0.47603351825294321</v>
      </c>
      <c r="AE33" s="518">
        <f t="shared" si="6"/>
        <v>0.48227364585375154</v>
      </c>
      <c r="AF33" s="518">
        <f t="shared" si="6"/>
        <v>0.48427177763300855</v>
      </c>
      <c r="AG33" s="518">
        <f t="shared" si="6"/>
        <v>0.48815500498984843</v>
      </c>
      <c r="AH33" s="518">
        <f t="shared" si="6"/>
        <v>0.47621754142114464</v>
      </c>
      <c r="AI33" s="518">
        <f t="shared" si="6"/>
        <v>0.49945147440872495</v>
      </c>
      <c r="AJ33" s="518">
        <f>AJ15/SUM(AJ25:AJ28)</f>
        <v>0.52277709876349998</v>
      </c>
      <c r="AK33" s="658">
        <f t="shared" si="6"/>
        <v>0.52898009524287093</v>
      </c>
    </row>
    <row r="34" spans="1:37">
      <c r="A34" s="514" t="s">
        <v>355</v>
      </c>
      <c r="B34" s="518"/>
      <c r="C34" s="518"/>
      <c r="D34" s="518"/>
      <c r="E34" s="518"/>
      <c r="F34" s="518"/>
      <c r="G34" s="518"/>
      <c r="H34" s="518"/>
      <c r="I34" s="518"/>
      <c r="J34" s="518"/>
      <c r="K34" s="518"/>
      <c r="L34" s="518"/>
      <c r="M34" s="518"/>
      <c r="N34" s="518"/>
      <c r="O34" s="518"/>
      <c r="P34" s="518"/>
      <c r="Q34" s="518">
        <f>'23'!B16</f>
        <v>0.4199199116734747</v>
      </c>
      <c r="R34" s="518">
        <f>'23'!C16</f>
        <v>0.4241959683566775</v>
      </c>
      <c r="S34" s="518">
        <f>'23'!D16</f>
        <v>0.43100011421503026</v>
      </c>
      <c r="T34" s="518">
        <f>'23'!E16</f>
        <v>0.43624821301825734</v>
      </c>
      <c r="U34" s="518">
        <f>'23'!F16</f>
        <v>0.42714616386437421</v>
      </c>
      <c r="V34" s="518">
        <f>'23'!G16</f>
        <v>0.4305831284485328</v>
      </c>
      <c r="W34" s="518">
        <f>'23'!H16</f>
        <v>0.43143262812794042</v>
      </c>
      <c r="X34" s="518">
        <f>'23'!I16</f>
        <v>0.42398679874703415</v>
      </c>
      <c r="Y34" s="518">
        <f>'23'!J16</f>
        <v>0.41239579273812249</v>
      </c>
      <c r="Z34" s="518">
        <f>'23'!K16</f>
        <v>0.40349377187188434</v>
      </c>
      <c r="AA34" s="518">
        <f>'23'!L16</f>
        <v>0.41743171657777883</v>
      </c>
      <c r="AB34" s="518">
        <f>'23'!M16</f>
        <v>0.42972554861628376</v>
      </c>
      <c r="AC34" s="518">
        <f>'23'!N16</f>
        <v>0.44384798946107612</v>
      </c>
      <c r="AD34" s="518">
        <f>'23'!O16</f>
        <v>0.44023234484867019</v>
      </c>
      <c r="AE34" s="518">
        <f>'23'!P16</f>
        <v>0.45488426291248996</v>
      </c>
      <c r="AF34" s="518">
        <f>'23'!Q16</f>
        <v>0.45676586081983572</v>
      </c>
      <c r="AG34" s="518">
        <f>'23'!R16</f>
        <v>0.45832051361522497</v>
      </c>
      <c r="AH34" s="518">
        <f>'23'!S16</f>
        <v>0.45144513695740618</v>
      </c>
      <c r="AI34" s="518">
        <f>'23'!T16</f>
        <v>0.4537322732105411</v>
      </c>
      <c r="AJ34" s="518">
        <f>'23'!U16</f>
        <v>0.48101586125549195</v>
      </c>
      <c r="AK34" s="658">
        <f>'23'!V16</f>
        <v>0.48101586125549195</v>
      </c>
    </row>
    <row r="35" spans="1:37">
      <c r="A35" s="2" t="s">
        <v>796</v>
      </c>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6"/>
      <c r="AA35" s="416"/>
      <c r="AB35" s="416"/>
      <c r="AC35" s="416"/>
      <c r="AD35" s="416"/>
      <c r="AE35" s="411"/>
      <c r="AF35" s="411"/>
      <c r="AG35" s="411"/>
      <c r="AH35" s="411"/>
      <c r="AI35" s="411"/>
      <c r="AJ35" s="410"/>
      <c r="AK35" s="410"/>
    </row>
    <row r="36" spans="1:37">
      <c r="A36" s="410"/>
      <c r="B36" s="410"/>
      <c r="C36" s="410"/>
      <c r="D36" s="410"/>
      <c r="E36" s="410"/>
      <c r="F36" s="410"/>
      <c r="G36" s="410"/>
      <c r="H36" s="410"/>
      <c r="I36" s="410"/>
      <c r="J36" s="410"/>
      <c r="K36" s="410"/>
      <c r="L36" s="410"/>
      <c r="M36" s="410"/>
      <c r="N36" s="410"/>
      <c r="O36" s="410"/>
      <c r="P36" s="410"/>
      <c r="Q36" s="410"/>
      <c r="R36" s="410"/>
      <c r="S36" s="410"/>
      <c r="T36" s="410"/>
      <c r="U36" s="410"/>
      <c r="V36" s="410"/>
      <c r="W36" s="547"/>
      <c r="X36" s="547"/>
      <c r="Y36" s="547"/>
      <c r="Z36" s="547"/>
      <c r="AA36" s="547"/>
      <c r="AB36" s="547"/>
      <c r="AC36" s="547"/>
      <c r="AD36" s="547"/>
      <c r="AE36" s="547"/>
      <c r="AF36" s="547"/>
      <c r="AG36" s="95"/>
      <c r="AH36" s="95"/>
      <c r="AI36" s="95"/>
      <c r="AJ36" s="95"/>
      <c r="AK36" s="95"/>
    </row>
    <row r="37" spans="1:37">
      <c r="A37" s="410"/>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6"/>
      <c r="AA37" s="416"/>
      <c r="AB37" s="416"/>
      <c r="AC37" s="416"/>
      <c r="AD37" s="416"/>
      <c r="AE37" s="411"/>
      <c r="AF37" s="411"/>
      <c r="AG37" s="410"/>
      <c r="AH37" s="410"/>
      <c r="AI37" s="410"/>
      <c r="AJ37" s="410"/>
      <c r="AK37" s="410"/>
    </row>
    <row r="38" spans="1:37">
      <c r="A38" s="410"/>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6"/>
      <c r="AA38" s="416"/>
      <c r="AB38" s="416"/>
      <c r="AC38" s="416"/>
      <c r="AD38" s="416"/>
      <c r="AE38" s="411"/>
      <c r="AF38" s="411"/>
      <c r="AG38" s="411"/>
      <c r="AH38" s="411"/>
      <c r="AI38" s="411"/>
      <c r="AJ38" s="411"/>
      <c r="AK38" s="410"/>
    </row>
    <row r="39" spans="1:37">
      <c r="AE39" s="411"/>
      <c r="AF39" s="411"/>
      <c r="AG39" s="1034"/>
      <c r="AH39" s="1034"/>
      <c r="AI39" s="1034"/>
      <c r="AJ39" s="1034"/>
      <c r="AK39" s="1034"/>
    </row>
    <row r="41" spans="1:37">
      <c r="AJ41" s="117"/>
      <c r="AK41" s="117"/>
    </row>
    <row r="42" spans="1:37">
      <c r="AJ42" s="117"/>
      <c r="AK42" s="117"/>
    </row>
  </sheetData>
  <sheetProtection algorithmName="SHA-512" hashValue="9pLH0jED2CqsAdG8SmRNJd5P33RQ3PkQbIFR6VmisZUHXLaFhXAYmP9RRFehFvQWoKZUtlTgwi0oGbTAHW281A==" saltValue="KKdyoU4Aw6eLRHG6O3+Kaw==" spinCount="100000" sheet="1" objects="1" scenarios="1"/>
  <mergeCells count="1">
    <mergeCell ref="A4:A5"/>
  </mergeCells>
  <hyperlinks>
    <hyperlink ref="A1" location="Indice!A1" display="Torna indietro" xr:uid="{D231F9A0-60ED-467C-A204-7E75366D502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dimension ref="A1:BG89"/>
  <sheetViews>
    <sheetView showGridLines="0" zoomScale="85" zoomScaleNormal="85" workbookViewId="0">
      <pane xSplit="1" topLeftCell="B1" activePane="topRight" state="frozen"/>
      <selection activeCell="P19" sqref="P19"/>
      <selection pane="topRight"/>
    </sheetView>
  </sheetViews>
  <sheetFormatPr defaultColWidth="9.1796875" defaultRowHeight="15.5"/>
  <cols>
    <col min="1" max="1" width="53.453125" style="2" customWidth="1"/>
    <col min="2" max="2" width="11.36328125" style="2" bestFit="1" customWidth="1"/>
    <col min="3" max="6" width="8.984375E-2" style="2" customWidth="1"/>
    <col min="7" max="7" width="9.1796875" style="2" bestFit="1" customWidth="1"/>
    <col min="8" max="11" width="8.984375E-2" style="2" customWidth="1"/>
    <col min="12" max="12" width="9.1796875" style="2" bestFit="1" customWidth="1"/>
    <col min="13" max="16" width="8.984375E-2" style="2" customWidth="1"/>
    <col min="17" max="17" width="9.1796875" style="2" bestFit="1" customWidth="1"/>
    <col min="18" max="21" width="8.984375E-2" style="2" customWidth="1"/>
    <col min="22" max="22" width="9.1796875" style="2" bestFit="1" customWidth="1"/>
    <col min="23" max="26" width="8.984375E-2" style="2" customWidth="1"/>
    <col min="27" max="27" width="9.1796875" style="2" bestFit="1" customWidth="1"/>
    <col min="28" max="31" width="8.984375E-2" style="2" customWidth="1"/>
    <col min="32" max="35" width="9.1796875" style="2" bestFit="1" customWidth="1"/>
    <col min="36" max="36" width="8.453125" style="2" bestFit="1" customWidth="1"/>
    <col min="37" max="37" width="10.6328125" style="2" bestFit="1" customWidth="1"/>
    <col min="38" max="38" width="9.1796875" style="2"/>
    <col min="39" max="39" width="10.36328125" style="2" hidden="1" customWidth="1"/>
    <col min="40" max="40" width="17.90625" style="2" hidden="1" customWidth="1"/>
    <col min="41" max="41" width="10.81640625" style="2" hidden="1" customWidth="1"/>
    <col min="42" max="42" width="11.1796875" style="2" hidden="1" customWidth="1"/>
    <col min="43" max="44" width="9.1796875" style="2" hidden="1" customWidth="1"/>
    <col min="45" max="46" width="0" style="2" hidden="1" customWidth="1"/>
    <col min="47" max="47" width="12.90625" style="2" hidden="1" customWidth="1"/>
    <col min="48" max="48" width="11.1796875" style="2" hidden="1" customWidth="1"/>
    <col min="49" max="49" width="18" style="2" hidden="1" customWidth="1"/>
    <col min="50" max="50" width="10.36328125" style="2" hidden="1" customWidth="1"/>
    <col min="51" max="51" width="0" style="2" hidden="1" customWidth="1"/>
    <col min="52" max="52" width="10.54296875" style="2" hidden="1" customWidth="1"/>
    <col min="53" max="53" width="11.36328125" style="2" hidden="1" customWidth="1"/>
    <col min="54" max="54" width="13.453125" style="2" hidden="1" customWidth="1"/>
    <col min="55" max="55" width="11.08984375" style="2" hidden="1" customWidth="1"/>
    <col min="56" max="56" width="9.1796875" style="2" hidden="1" customWidth="1"/>
    <col min="57" max="57" width="13.90625" style="2" hidden="1" customWidth="1"/>
    <col min="58" max="58" width="10.81640625" style="2" hidden="1" customWidth="1"/>
    <col min="59" max="59" width="14.1796875" style="2" hidden="1" customWidth="1"/>
    <col min="60" max="60" width="9.1796875" style="2"/>
    <col min="61" max="61" width="14.1796875" style="2" bestFit="1" customWidth="1"/>
    <col min="62" max="16384" width="9.1796875" style="2"/>
  </cols>
  <sheetData>
    <row r="1" spans="1:37">
      <c r="A1" s="108" t="s">
        <v>694</v>
      </c>
      <c r="B1" s="546"/>
    </row>
    <row r="2" spans="1:37">
      <c r="A2" s="546"/>
      <c r="B2" s="546"/>
    </row>
    <row r="3" spans="1:37">
      <c r="A3" s="1" t="s">
        <v>786</v>
      </c>
    </row>
    <row r="4" spans="1:37">
      <c r="A4" s="1069" t="s">
        <v>0</v>
      </c>
      <c r="B4" s="125">
        <v>1990</v>
      </c>
      <c r="C4" s="126">
        <v>1991</v>
      </c>
      <c r="D4" s="126">
        <v>1992</v>
      </c>
      <c r="E4" s="125">
        <v>1993</v>
      </c>
      <c r="F4" s="125">
        <v>1994</v>
      </c>
      <c r="G4" s="125">
        <v>1995</v>
      </c>
      <c r="H4" s="125">
        <v>1996</v>
      </c>
      <c r="I4" s="125">
        <v>1997</v>
      </c>
      <c r="J4" s="125">
        <v>1998</v>
      </c>
      <c r="K4" s="125">
        <v>1999</v>
      </c>
      <c r="L4" s="125">
        <v>2000</v>
      </c>
      <c r="M4" s="125">
        <v>2001</v>
      </c>
      <c r="N4" s="125">
        <v>2002</v>
      </c>
      <c r="O4" s="125">
        <v>2003</v>
      </c>
      <c r="P4" s="125">
        <v>2004</v>
      </c>
      <c r="Q4" s="125">
        <v>2005</v>
      </c>
      <c r="R4" s="125">
        <v>2006</v>
      </c>
      <c r="S4" s="125">
        <v>2007</v>
      </c>
      <c r="T4" s="125">
        <v>2008</v>
      </c>
      <c r="U4" s="125">
        <v>2009</v>
      </c>
      <c r="V4" s="125">
        <v>2010</v>
      </c>
      <c r="W4" s="125">
        <v>2011</v>
      </c>
      <c r="X4" s="125">
        <v>2012</v>
      </c>
      <c r="Y4" s="125">
        <v>2013</v>
      </c>
      <c r="Z4" s="125">
        <v>2014</v>
      </c>
      <c r="AA4" s="125">
        <v>2015</v>
      </c>
      <c r="AB4" s="257">
        <v>2016</v>
      </c>
      <c r="AC4" s="257">
        <v>2017</v>
      </c>
      <c r="AD4" s="257">
        <v>2018</v>
      </c>
      <c r="AE4" s="257">
        <v>2019</v>
      </c>
      <c r="AF4" s="257">
        <v>2020</v>
      </c>
      <c r="AG4" s="257">
        <v>2021</v>
      </c>
      <c r="AH4" s="257">
        <v>2022</v>
      </c>
      <c r="AI4" s="257">
        <f>+AH4+1</f>
        <v>2023</v>
      </c>
      <c r="AJ4" s="257">
        <f>+AI4+1</f>
        <v>2024</v>
      </c>
      <c r="AK4" s="799">
        <v>2025</v>
      </c>
    </row>
    <row r="5" spans="1:37">
      <c r="A5" s="1070"/>
      <c r="B5" s="63" t="s">
        <v>116</v>
      </c>
      <c r="C5" s="64"/>
      <c r="D5" s="64"/>
      <c r="E5" s="64"/>
      <c r="F5" s="64"/>
      <c r="G5" s="64"/>
      <c r="H5" s="64"/>
      <c r="I5" s="64"/>
      <c r="J5" s="64"/>
      <c r="K5" s="64"/>
      <c r="L5" s="64"/>
      <c r="M5" s="64"/>
      <c r="N5" s="64"/>
      <c r="O5" s="64"/>
      <c r="P5" s="64"/>
      <c r="Q5" s="64"/>
      <c r="R5" s="64"/>
      <c r="S5" s="64"/>
      <c r="T5" s="64"/>
      <c r="U5" s="64"/>
      <c r="V5" s="64"/>
      <c r="W5" s="64"/>
      <c r="X5" s="64"/>
      <c r="Y5" s="64"/>
      <c r="Z5" s="64"/>
      <c r="AA5" s="64"/>
      <c r="AB5" s="258"/>
      <c r="AC5" s="258"/>
      <c r="AD5" s="258"/>
      <c r="AE5" s="258"/>
      <c r="AF5" s="258"/>
      <c r="AG5" s="258"/>
      <c r="AH5" s="258"/>
      <c r="AI5" s="258"/>
      <c r="AJ5" s="258"/>
      <c r="AK5" s="258"/>
    </row>
    <row r="6" spans="1:37">
      <c r="A6" s="5" t="s">
        <v>5</v>
      </c>
      <c r="B6" s="853">
        <v>32.046999999999997</v>
      </c>
      <c r="C6" s="853">
        <v>28.507000000000001</v>
      </c>
      <c r="D6" s="853">
        <v>21.353999999999999</v>
      </c>
      <c r="E6" s="853">
        <v>16.658999999999999</v>
      </c>
      <c r="F6" s="853">
        <v>19.856000000000002</v>
      </c>
      <c r="G6" s="853">
        <v>24.122</v>
      </c>
      <c r="H6" s="853">
        <v>22.08</v>
      </c>
      <c r="I6" s="853">
        <v>20.518000000000001</v>
      </c>
      <c r="J6" s="853">
        <v>23.311</v>
      </c>
      <c r="K6" s="853">
        <v>23.812000000000001</v>
      </c>
      <c r="L6" s="853">
        <v>26.271999999999998</v>
      </c>
      <c r="M6" s="853">
        <v>31.73</v>
      </c>
      <c r="N6" s="853">
        <v>35.447000000000003</v>
      </c>
      <c r="O6" s="853">
        <v>38.813000000000002</v>
      </c>
      <c r="P6" s="853">
        <v>45.518000000000001</v>
      </c>
      <c r="Q6" s="853">
        <v>43.606300000000005</v>
      </c>
      <c r="R6" s="853">
        <v>44.2074</v>
      </c>
      <c r="S6" s="853">
        <v>44.112200000000001</v>
      </c>
      <c r="T6" s="853">
        <v>43.073800000000006</v>
      </c>
      <c r="U6" s="853">
        <v>39.745200000000004</v>
      </c>
      <c r="V6" s="853">
        <v>39.734000000000009</v>
      </c>
      <c r="W6" s="853">
        <v>44.725999999999999</v>
      </c>
      <c r="X6" s="853">
        <v>49.141400000000004</v>
      </c>
      <c r="Y6" s="853">
        <v>45.104399999999998</v>
      </c>
      <c r="Z6" s="853">
        <v>43.454700000000003</v>
      </c>
      <c r="AA6" s="853">
        <v>43.201300000000003</v>
      </c>
      <c r="AB6" s="854">
        <v>35.607699999999994</v>
      </c>
      <c r="AC6" s="854">
        <v>32.627426142120001</v>
      </c>
      <c r="AD6" s="854">
        <v>28.4698677001</v>
      </c>
      <c r="AE6" s="854">
        <v>18.839448967460001</v>
      </c>
      <c r="AF6" s="854">
        <v>13.379486891380001</v>
      </c>
      <c r="AG6" s="854">
        <v>14.02191874551</v>
      </c>
      <c r="AH6" s="854">
        <v>22.606652264280001</v>
      </c>
      <c r="AI6" s="854">
        <v>13.2198851156488</v>
      </c>
      <c r="AJ6" s="854">
        <v>3.94843350335521</v>
      </c>
      <c r="AK6" s="855">
        <v>3.3574695387743803</v>
      </c>
    </row>
    <row r="7" spans="1:37">
      <c r="A7" s="5" t="s">
        <v>6</v>
      </c>
      <c r="B7" s="853">
        <v>39.709000000000003</v>
      </c>
      <c r="C7" s="853">
        <v>36.341999999999999</v>
      </c>
      <c r="D7" s="853">
        <v>35.475999999999999</v>
      </c>
      <c r="E7" s="853">
        <v>39.963000000000001</v>
      </c>
      <c r="F7" s="853">
        <v>40.804000000000002</v>
      </c>
      <c r="G7" s="853">
        <v>46.997999999999998</v>
      </c>
      <c r="H7" s="853">
        <v>50.191000000000003</v>
      </c>
      <c r="I7" s="853">
        <v>61.292999999999999</v>
      </c>
      <c r="J7" s="853">
        <v>70.882999999999996</v>
      </c>
      <c r="K7" s="853">
        <v>86.983000000000004</v>
      </c>
      <c r="L7" s="853">
        <v>101.36</v>
      </c>
      <c r="M7" s="853">
        <v>104.1875</v>
      </c>
      <c r="N7" s="853">
        <v>99.413800000000009</v>
      </c>
      <c r="O7" s="853">
        <v>117.301</v>
      </c>
      <c r="P7" s="853">
        <v>129.77209999999999</v>
      </c>
      <c r="Q7" s="853">
        <v>149.2586</v>
      </c>
      <c r="R7" s="853">
        <v>158.0788</v>
      </c>
      <c r="S7" s="853">
        <v>172.64589999999998</v>
      </c>
      <c r="T7" s="853">
        <v>172.69720000000001</v>
      </c>
      <c r="U7" s="853">
        <v>147.27010000000001</v>
      </c>
      <c r="V7" s="853">
        <v>152.73689999999999</v>
      </c>
      <c r="W7" s="853">
        <v>144.548</v>
      </c>
      <c r="X7" s="853">
        <v>129.0581</v>
      </c>
      <c r="Y7" s="853">
        <v>108.87560000000001</v>
      </c>
      <c r="Z7" s="853">
        <v>93.637299999999996</v>
      </c>
      <c r="AA7" s="853">
        <v>110.8601</v>
      </c>
      <c r="AB7" s="854">
        <v>126.1481</v>
      </c>
      <c r="AC7" s="854">
        <v>140.33288427196001</v>
      </c>
      <c r="AD7" s="854">
        <v>128.48755475789</v>
      </c>
      <c r="AE7" s="854">
        <v>141.68700212828</v>
      </c>
      <c r="AF7" s="854">
        <v>133.68278357062999</v>
      </c>
      <c r="AG7" s="854">
        <v>143.99795016602999</v>
      </c>
      <c r="AH7" s="854">
        <v>141.44531220990001</v>
      </c>
      <c r="AI7" s="854">
        <v>118.986516222533</v>
      </c>
      <c r="AJ7" s="854">
        <v>118.55374569214599</v>
      </c>
      <c r="AK7" s="855">
        <v>126.86000000000003</v>
      </c>
    </row>
    <row r="8" spans="1:37">
      <c r="A8" s="5" t="s">
        <v>7</v>
      </c>
      <c r="B8" s="853">
        <v>3.7149999999999999</v>
      </c>
      <c r="C8" s="853">
        <v>3.6659999999999999</v>
      </c>
      <c r="D8" s="853">
        <v>3.6509999999999998</v>
      </c>
      <c r="E8" s="853">
        <v>3.536</v>
      </c>
      <c r="F8" s="853">
        <v>3.0880000000000001</v>
      </c>
      <c r="G8" s="853">
        <v>3.4460000000000002</v>
      </c>
      <c r="H8" s="853">
        <v>3.2429999999999999</v>
      </c>
      <c r="I8" s="853">
        <v>4.2510000000000003</v>
      </c>
      <c r="J8" s="853">
        <v>4.516</v>
      </c>
      <c r="K8" s="853">
        <v>4.4130000000000003</v>
      </c>
      <c r="L8" s="853">
        <v>4.2519999999999998</v>
      </c>
      <c r="M8" s="853">
        <v>5.0449999999999999</v>
      </c>
      <c r="N8" s="853">
        <v>5.0209999999999999</v>
      </c>
      <c r="O8" s="853">
        <v>5.3040000000000003</v>
      </c>
      <c r="P8" s="853">
        <v>5.359</v>
      </c>
      <c r="Q8" s="853">
        <v>5.8132000000000001</v>
      </c>
      <c r="R8" s="853">
        <v>6.2291000000000007</v>
      </c>
      <c r="S8" s="853">
        <v>5.6231</v>
      </c>
      <c r="T8" s="853">
        <v>5.5167000000000002</v>
      </c>
      <c r="U8" s="853">
        <v>3.6706999999999996</v>
      </c>
      <c r="V8" s="853">
        <v>4.6993999999999998</v>
      </c>
      <c r="W8" s="853">
        <v>5.4133999999999993</v>
      </c>
      <c r="X8" s="853">
        <v>4.9697999999999993</v>
      </c>
      <c r="Y8" s="853">
        <v>3.39</v>
      </c>
      <c r="Z8" s="853">
        <v>3.0696000000000003</v>
      </c>
      <c r="AA8" s="853">
        <v>2.1873</v>
      </c>
      <c r="AB8" s="854">
        <v>2.7968000000000002</v>
      </c>
      <c r="AC8" s="854">
        <v>2.4687542050499998</v>
      </c>
      <c r="AD8" s="854">
        <v>2.4857946653799998</v>
      </c>
      <c r="AE8" s="854">
        <v>2.4133499243599998</v>
      </c>
      <c r="AF8" s="854">
        <v>1.6634841760800001</v>
      </c>
      <c r="AG8" s="854">
        <v>1.91408728844</v>
      </c>
      <c r="AH8" s="854">
        <v>1.58938302915</v>
      </c>
      <c r="AI8" s="854">
        <v>1.1565384328231649</v>
      </c>
      <c r="AJ8" s="854">
        <v>0.81610896529428756</v>
      </c>
      <c r="AK8" s="855">
        <v>0.72892219159759153</v>
      </c>
    </row>
    <row r="9" spans="1:37">
      <c r="A9" s="5" t="s">
        <v>8</v>
      </c>
      <c r="B9" s="853">
        <v>102.71899999999999</v>
      </c>
      <c r="C9" s="853">
        <v>104.28700000000001</v>
      </c>
      <c r="D9" s="853">
        <v>116.02</v>
      </c>
      <c r="E9" s="853">
        <v>113.919</v>
      </c>
      <c r="F9" s="853">
        <v>116.312</v>
      </c>
      <c r="G9" s="853">
        <v>120.8</v>
      </c>
      <c r="H9" s="853">
        <v>117.08799999999999</v>
      </c>
      <c r="I9" s="853">
        <v>113.312</v>
      </c>
      <c r="J9" s="853">
        <v>107.30500000000001</v>
      </c>
      <c r="K9" s="853">
        <v>91.379000000000005</v>
      </c>
      <c r="L9" s="853">
        <v>85.878</v>
      </c>
      <c r="M9" s="853">
        <v>75.008200000000016</v>
      </c>
      <c r="N9" s="853">
        <v>87.765600000000006</v>
      </c>
      <c r="O9" s="853">
        <v>75.986000000000004</v>
      </c>
      <c r="P9" s="853">
        <v>58.891100000000002</v>
      </c>
      <c r="Q9" s="853">
        <v>47.1233</v>
      </c>
      <c r="R9" s="853">
        <v>45.877499999999998</v>
      </c>
      <c r="S9" s="853">
        <v>35.408199999999994</v>
      </c>
      <c r="T9" s="853">
        <v>31.458600000000001</v>
      </c>
      <c r="U9" s="853">
        <v>26.020799999999998</v>
      </c>
      <c r="V9" s="853">
        <v>21.715699999999998</v>
      </c>
      <c r="W9" s="853">
        <v>19.885099999999998</v>
      </c>
      <c r="X9" s="853">
        <v>18.888600000000004</v>
      </c>
      <c r="Y9" s="853">
        <v>15.481699999999996</v>
      </c>
      <c r="Z9" s="853">
        <v>14.164200000000001</v>
      </c>
      <c r="AA9" s="853">
        <v>13.385800000000001</v>
      </c>
      <c r="AB9" s="854">
        <v>12.129700000000001</v>
      </c>
      <c r="AC9" s="854">
        <v>11.526694451159997</v>
      </c>
      <c r="AD9" s="854">
        <v>11.02912954766</v>
      </c>
      <c r="AE9" s="854">
        <v>10.15311537819</v>
      </c>
      <c r="AF9" s="854">
        <v>10.043258547610002</v>
      </c>
      <c r="AG9" s="854">
        <v>7.7480854822399996</v>
      </c>
      <c r="AH9" s="854">
        <v>12.861937289709998</v>
      </c>
      <c r="AI9" s="854">
        <v>10.191484636876364</v>
      </c>
      <c r="AJ9" s="854">
        <v>8.5759283182527213</v>
      </c>
      <c r="AK9" s="855">
        <v>7.7594930996175373</v>
      </c>
    </row>
    <row r="10" spans="1:37">
      <c r="A10" s="5" t="s">
        <v>749</v>
      </c>
      <c r="B10" s="853">
        <v>0.10299999999999999</v>
      </c>
      <c r="C10" s="853">
        <v>0.218</v>
      </c>
      <c r="D10" s="853">
        <v>0.184</v>
      </c>
      <c r="E10" s="853">
        <v>0.20799999999999999</v>
      </c>
      <c r="F10" s="853">
        <v>0.28299999999999997</v>
      </c>
      <c r="G10" s="853">
        <v>0.38900000000000001</v>
      </c>
      <c r="H10" s="853">
        <v>0.60499999999999998</v>
      </c>
      <c r="I10" s="853">
        <v>0.82199999999999995</v>
      </c>
      <c r="J10" s="853">
        <v>1.232</v>
      </c>
      <c r="K10" s="853">
        <v>1.823</v>
      </c>
      <c r="L10" s="853">
        <v>1.9079999999999999</v>
      </c>
      <c r="M10" s="853">
        <v>2.5873000000000004</v>
      </c>
      <c r="N10" s="853">
        <v>3.5105999999999997</v>
      </c>
      <c r="O10" s="853">
        <v>4.4930000000000003</v>
      </c>
      <c r="P10" s="853">
        <v>5.6373999999999995</v>
      </c>
      <c r="Q10" s="853">
        <v>6.1548999999999996</v>
      </c>
      <c r="R10" s="853">
        <v>6.7446000000000002</v>
      </c>
      <c r="S10" s="853">
        <v>6.9537000000000004</v>
      </c>
      <c r="T10" s="853">
        <v>7.6657000000000002</v>
      </c>
      <c r="U10" s="853">
        <v>9.3291000000000004</v>
      </c>
      <c r="V10" s="853">
        <v>11.5848</v>
      </c>
      <c r="W10" s="853">
        <v>13.136900000000001</v>
      </c>
      <c r="X10" s="853">
        <v>14.752900000000002</v>
      </c>
      <c r="Y10" s="853">
        <v>19.382999999999999</v>
      </c>
      <c r="Z10" s="853">
        <v>21.184000000000005</v>
      </c>
      <c r="AA10" s="853">
        <v>21.823699999999999</v>
      </c>
      <c r="AB10" s="854">
        <v>22.011700000000001</v>
      </c>
      <c r="AC10" s="854">
        <v>21.867740929710013</v>
      </c>
      <c r="AD10" s="854">
        <v>21.656477513290003</v>
      </c>
      <c r="AE10" s="854">
        <v>21.991113588080001</v>
      </c>
      <c r="AF10" s="854">
        <v>22.036088195649999</v>
      </c>
      <c r="AG10" s="854">
        <v>21.450214678099996</v>
      </c>
      <c r="AH10" s="854">
        <v>20.011855936789999</v>
      </c>
      <c r="AI10" s="854">
        <v>18.419883550723426</v>
      </c>
      <c r="AJ10" s="854">
        <v>19.55504141583868</v>
      </c>
      <c r="AK10" s="855">
        <v>20.579442996834878</v>
      </c>
    </row>
    <row r="11" spans="1:37">
      <c r="A11" s="727" t="s">
        <v>619</v>
      </c>
      <c r="B11" s="853">
        <v>5.1499999999999997E-2</v>
      </c>
      <c r="C11" s="853">
        <v>0.10180000000000002</v>
      </c>
      <c r="D11" s="853">
        <v>9.1999999999999998E-2</v>
      </c>
      <c r="E11" s="853">
        <v>0.104</v>
      </c>
      <c r="F11" s="853">
        <v>0.19034999999999999</v>
      </c>
      <c r="G11" s="853">
        <v>0.3029</v>
      </c>
      <c r="H11" s="853">
        <v>0.48410000000000003</v>
      </c>
      <c r="I11" s="853">
        <v>0.69415000000000004</v>
      </c>
      <c r="J11" s="853">
        <v>0.99650000000000005</v>
      </c>
      <c r="K11" s="853">
        <v>1.4958</v>
      </c>
      <c r="L11" s="853">
        <v>1.5045500000000001</v>
      </c>
      <c r="M11" s="853">
        <v>1.9579500000000001</v>
      </c>
      <c r="N11" s="853">
        <v>2.7085500000000002</v>
      </c>
      <c r="O11" s="853">
        <v>3.5870500000000001</v>
      </c>
      <c r="P11" s="853">
        <v>4.4988999999999999</v>
      </c>
      <c r="Q11" s="853">
        <v>4.8450499999999996</v>
      </c>
      <c r="R11" s="853">
        <v>5.2863000000000007</v>
      </c>
      <c r="S11" s="853">
        <v>5.4412500000000001</v>
      </c>
      <c r="T11" s="853">
        <v>5.9663500000000003</v>
      </c>
      <c r="U11" s="853">
        <v>7.5567199999999994</v>
      </c>
      <c r="V11" s="853">
        <v>9.4400899999999996</v>
      </c>
      <c r="W11" s="853">
        <v>10.8324</v>
      </c>
      <c r="X11" s="853">
        <v>12.487</v>
      </c>
      <c r="Y11" s="853">
        <v>17.090199999999999</v>
      </c>
      <c r="Z11" s="853">
        <v>18.732599999999998</v>
      </c>
      <c r="AA11" s="853">
        <v>19.395700000000001</v>
      </c>
      <c r="AB11" s="853">
        <v>19.508599999999998</v>
      </c>
      <c r="AC11" s="853">
        <v>19.394600000000001</v>
      </c>
      <c r="AD11" s="853">
        <v>19.202599999999997</v>
      </c>
      <c r="AE11" s="853">
        <v>19.562699999999996</v>
      </c>
      <c r="AF11" s="853">
        <v>19.633800000000004</v>
      </c>
      <c r="AG11" s="853">
        <v>19.070779999999999</v>
      </c>
      <c r="AH11" s="853">
        <v>17.6158</v>
      </c>
      <c r="AI11" s="853">
        <v>16.017499999999998</v>
      </c>
      <c r="AJ11" s="853">
        <v>17.236709999999999</v>
      </c>
      <c r="AK11" s="855">
        <v>18.117104498137053</v>
      </c>
    </row>
    <row r="12" spans="1:37">
      <c r="A12" s="786" t="s">
        <v>377</v>
      </c>
      <c r="B12" s="856">
        <v>0</v>
      </c>
      <c r="C12" s="856">
        <v>0</v>
      </c>
      <c r="D12" s="856">
        <v>0</v>
      </c>
      <c r="E12" s="856">
        <v>0</v>
      </c>
      <c r="F12" s="856">
        <v>0</v>
      </c>
      <c r="G12" s="856">
        <v>0</v>
      </c>
      <c r="H12" s="856">
        <v>0</v>
      </c>
      <c r="I12" s="856">
        <v>0</v>
      </c>
      <c r="J12" s="856">
        <v>0</v>
      </c>
      <c r="K12" s="856">
        <v>0</v>
      </c>
      <c r="L12" s="856">
        <v>0</v>
      </c>
      <c r="M12" s="856">
        <v>0</v>
      </c>
      <c r="N12" s="856">
        <v>0</v>
      </c>
      <c r="O12" s="856">
        <v>0</v>
      </c>
      <c r="P12" s="856">
        <v>0</v>
      </c>
      <c r="Q12" s="856">
        <v>0</v>
      </c>
      <c r="R12" s="856">
        <v>0</v>
      </c>
      <c r="S12" s="856">
        <v>0</v>
      </c>
      <c r="T12" s="856">
        <v>0</v>
      </c>
      <c r="U12" s="856">
        <v>0</v>
      </c>
      <c r="V12" s="856">
        <v>0</v>
      </c>
      <c r="W12" s="856">
        <v>0</v>
      </c>
      <c r="X12" s="856">
        <v>0</v>
      </c>
      <c r="Y12" s="856">
        <v>0</v>
      </c>
      <c r="Z12" s="856">
        <v>0</v>
      </c>
      <c r="AA12" s="856">
        <v>0</v>
      </c>
      <c r="AB12" s="856">
        <v>0</v>
      </c>
      <c r="AC12" s="856">
        <v>1.6399999999999998E-2</v>
      </c>
      <c r="AD12" s="856">
        <v>0.05</v>
      </c>
      <c r="AE12" s="856">
        <v>0</v>
      </c>
      <c r="AF12" s="856">
        <v>0</v>
      </c>
      <c r="AG12" s="856">
        <v>0</v>
      </c>
      <c r="AH12" s="856">
        <v>0</v>
      </c>
      <c r="AI12" s="856">
        <v>0</v>
      </c>
      <c r="AJ12" s="856">
        <v>0</v>
      </c>
      <c r="AK12" s="855">
        <v>0</v>
      </c>
    </row>
    <row r="13" spans="1:37">
      <c r="A13" s="5" t="s">
        <v>719</v>
      </c>
      <c r="B13" s="976">
        <v>0</v>
      </c>
      <c r="C13" s="976">
        <v>0</v>
      </c>
      <c r="D13" s="976">
        <v>0.313</v>
      </c>
      <c r="E13" s="976">
        <v>0.35299999999999998</v>
      </c>
      <c r="F13" s="976">
        <v>0.30399999999999999</v>
      </c>
      <c r="G13" s="976">
        <v>0.36899999999999999</v>
      </c>
      <c r="H13" s="976">
        <v>0.34499999999999997</v>
      </c>
      <c r="I13" s="976">
        <v>0.68700000000000006</v>
      </c>
      <c r="J13" s="976">
        <v>0.72699999999999998</v>
      </c>
      <c r="K13" s="976">
        <v>0.65700000000000003</v>
      </c>
      <c r="L13" s="976">
        <v>0.78579999999999994</v>
      </c>
      <c r="M13" s="976">
        <v>0.82099999999999995</v>
      </c>
      <c r="N13" s="976">
        <v>0.76900000000000002</v>
      </c>
      <c r="O13" s="976">
        <v>0.88800000000000001</v>
      </c>
      <c r="P13" s="976">
        <v>0.95</v>
      </c>
      <c r="Q13" s="976">
        <v>1.1160000000000001</v>
      </c>
      <c r="R13" s="976">
        <v>1.0269999999999999</v>
      </c>
      <c r="S13" s="976">
        <v>1.0212000000000001</v>
      </c>
      <c r="T13" s="976">
        <v>0.91600000000000004</v>
      </c>
      <c r="U13" s="976">
        <v>0.60299999999999998</v>
      </c>
      <c r="V13" s="976">
        <v>0.77700000000000002</v>
      </c>
      <c r="W13" s="976">
        <v>0.80800000000000005</v>
      </c>
      <c r="X13" s="976">
        <v>0.751</v>
      </c>
      <c r="Y13" s="976">
        <v>0.753</v>
      </c>
      <c r="Z13" s="976">
        <v>0.66100000000000003</v>
      </c>
      <c r="AA13" s="976">
        <v>0.59530000000000005</v>
      </c>
      <c r="AB13" s="976">
        <v>0.73560000000000003</v>
      </c>
      <c r="AC13" s="976">
        <v>0.66099317199999996</v>
      </c>
      <c r="AD13" s="976">
        <v>0.60119554270000009</v>
      </c>
      <c r="AE13" s="976">
        <v>0.64985721117000006</v>
      </c>
      <c r="AF13" s="976">
        <v>0.50148429093000002</v>
      </c>
      <c r="AG13" s="976">
        <v>0.57884969507999995</v>
      </c>
      <c r="AH13" s="976">
        <v>0.69459143500000009</v>
      </c>
      <c r="AI13" s="976">
        <v>0.61341666783424709</v>
      </c>
      <c r="AJ13" s="976">
        <v>0.63096621472500003</v>
      </c>
      <c r="AK13" s="977">
        <v>0.66361276216933662</v>
      </c>
    </row>
    <row r="14" spans="1:37">
      <c r="A14" s="6" t="s">
        <v>4</v>
      </c>
      <c r="B14" s="164">
        <f t="shared" ref="B14:AK14" si="0">SUM(B6:B10)</f>
        <v>178.29300000000001</v>
      </c>
      <c r="C14" s="164">
        <f t="shared" si="0"/>
        <v>173.02</v>
      </c>
      <c r="D14" s="164">
        <f t="shared" si="0"/>
        <v>176.68499999999997</v>
      </c>
      <c r="E14" s="164">
        <f t="shared" si="0"/>
        <v>174.285</v>
      </c>
      <c r="F14" s="164">
        <f t="shared" si="0"/>
        <v>180.34299999999999</v>
      </c>
      <c r="G14" s="164">
        <f t="shared" si="0"/>
        <v>195.755</v>
      </c>
      <c r="H14" s="164">
        <f t="shared" si="0"/>
        <v>193.20699999999997</v>
      </c>
      <c r="I14" s="164">
        <f t="shared" si="0"/>
        <v>200.19600000000003</v>
      </c>
      <c r="J14" s="164">
        <f t="shared" si="0"/>
        <v>207.24699999999999</v>
      </c>
      <c r="K14" s="164">
        <f t="shared" si="0"/>
        <v>208.41</v>
      </c>
      <c r="L14" s="164">
        <f t="shared" si="0"/>
        <v>219.67</v>
      </c>
      <c r="M14" s="164">
        <f t="shared" si="0"/>
        <v>218.55799999999999</v>
      </c>
      <c r="N14" s="164">
        <f t="shared" si="0"/>
        <v>231.15800000000002</v>
      </c>
      <c r="O14" s="164">
        <f t="shared" si="0"/>
        <v>241.89699999999999</v>
      </c>
      <c r="P14" s="164">
        <f t="shared" si="0"/>
        <v>245.17759999999998</v>
      </c>
      <c r="Q14" s="164">
        <f t="shared" si="0"/>
        <v>251.9563</v>
      </c>
      <c r="R14" s="164">
        <f t="shared" si="0"/>
        <v>261.13740000000001</v>
      </c>
      <c r="S14" s="164">
        <f t="shared" si="0"/>
        <v>264.74310000000003</v>
      </c>
      <c r="T14" s="164">
        <f t="shared" si="0"/>
        <v>260.41200000000003</v>
      </c>
      <c r="U14" s="164">
        <f t="shared" si="0"/>
        <v>226.03590000000005</v>
      </c>
      <c r="V14" s="164">
        <f t="shared" si="0"/>
        <v>230.4708</v>
      </c>
      <c r="W14" s="164">
        <f t="shared" si="0"/>
        <v>227.70939999999999</v>
      </c>
      <c r="X14" s="164">
        <f t="shared" si="0"/>
        <v>216.8108</v>
      </c>
      <c r="Y14" s="164">
        <f t="shared" si="0"/>
        <v>192.2347</v>
      </c>
      <c r="Z14" s="164">
        <f t="shared" si="0"/>
        <v>175.50979999999998</v>
      </c>
      <c r="AA14" s="164">
        <f t="shared" si="0"/>
        <v>191.45819999999998</v>
      </c>
      <c r="AB14" s="857">
        <f t="shared" si="0"/>
        <v>198.69399999999999</v>
      </c>
      <c r="AC14" s="857">
        <f t="shared" si="0"/>
        <v>208.82350000000002</v>
      </c>
      <c r="AD14" s="857">
        <f t="shared" si="0"/>
        <v>192.12882418432002</v>
      </c>
      <c r="AE14" s="857">
        <f t="shared" si="0"/>
        <v>195.08402998637001</v>
      </c>
      <c r="AF14" s="857">
        <f t="shared" si="0"/>
        <v>180.80510138135</v>
      </c>
      <c r="AG14" s="857">
        <f t="shared" si="0"/>
        <v>189.13225636031996</v>
      </c>
      <c r="AH14" s="857">
        <f t="shared" si="0"/>
        <v>198.51514072983002</v>
      </c>
      <c r="AI14" s="857">
        <f t="shared" si="0"/>
        <v>161.97430795860475</v>
      </c>
      <c r="AJ14" s="857">
        <f t="shared" si="0"/>
        <v>151.4492578948869</v>
      </c>
      <c r="AK14" s="851">
        <f t="shared" si="0"/>
        <v>159.28532782682441</v>
      </c>
    </row>
    <row r="15" spans="1:37">
      <c r="A15" s="79" t="s">
        <v>841</v>
      </c>
      <c r="B15" s="974">
        <v>102.71899999999999</v>
      </c>
      <c r="C15" s="974">
        <v>104.28700000000001</v>
      </c>
      <c r="D15" s="974">
        <v>116.02</v>
      </c>
      <c r="E15" s="974">
        <v>113.919</v>
      </c>
      <c r="F15" s="974">
        <v>116.312</v>
      </c>
      <c r="G15" s="974">
        <v>120.8</v>
      </c>
      <c r="H15" s="974">
        <v>117.08799999999999</v>
      </c>
      <c r="I15" s="974">
        <v>113.312</v>
      </c>
      <c r="J15" s="974">
        <v>107.30500000000001</v>
      </c>
      <c r="K15" s="974">
        <v>91.379000000000005</v>
      </c>
      <c r="L15" s="974">
        <v>81.962000000000003</v>
      </c>
      <c r="M15" s="974">
        <v>66.728599999999986</v>
      </c>
      <c r="N15" s="974">
        <v>77.744599999999991</v>
      </c>
      <c r="O15" s="974">
        <v>65.751999999999995</v>
      </c>
      <c r="P15" s="974">
        <v>47.252600000000001</v>
      </c>
      <c r="Q15" s="974">
        <v>35.846299999999992</v>
      </c>
      <c r="R15" s="974">
        <v>33.830400000000004</v>
      </c>
      <c r="S15" s="974">
        <v>22.865399999999998</v>
      </c>
      <c r="T15" s="974">
        <v>19.194900000000001</v>
      </c>
      <c r="U15" s="974">
        <v>15.8782</v>
      </c>
      <c r="V15" s="974">
        <v>9.9077999999999999</v>
      </c>
      <c r="W15" s="974">
        <v>8.4736000000000011</v>
      </c>
      <c r="X15" s="974">
        <v>7.022800000000001</v>
      </c>
      <c r="Y15" s="974">
        <v>5.4178999999999995</v>
      </c>
      <c r="Z15" s="974">
        <v>4.7642000000000007</v>
      </c>
      <c r="AA15" s="974">
        <v>5.620400000000001</v>
      </c>
      <c r="AB15" s="974">
        <v>4.1265000000000001</v>
      </c>
      <c r="AC15" s="974">
        <v>4.09889051671</v>
      </c>
      <c r="AD15" s="974">
        <v>3.3387815341000002</v>
      </c>
      <c r="AE15" s="974">
        <v>3.4531651303699999</v>
      </c>
      <c r="AF15" s="974">
        <v>3.1748348764500003</v>
      </c>
      <c r="AG15" s="974">
        <v>3.8512389143499997</v>
      </c>
      <c r="AH15" s="974">
        <v>4.9532112439599993</v>
      </c>
      <c r="AI15" s="974">
        <v>3.6225269058969065</v>
      </c>
      <c r="AJ15" s="974">
        <v>2.5270299559479286</v>
      </c>
      <c r="AK15" s="975">
        <v>2.2864275438471475</v>
      </c>
    </row>
    <row r="16" spans="1:37" ht="18.5">
      <c r="A16" s="79" t="s">
        <v>831</v>
      </c>
      <c r="B16" s="974">
        <v>7.2195</v>
      </c>
      <c r="C16" s="974">
        <v>7.1491999999999996</v>
      </c>
      <c r="D16" s="974">
        <v>7.6420000000000003</v>
      </c>
      <c r="E16" s="974">
        <v>7.05</v>
      </c>
      <c r="F16" s="974">
        <v>6.5576499999999998</v>
      </c>
      <c r="G16" s="974">
        <v>8.0260999999999996</v>
      </c>
      <c r="H16" s="974">
        <v>8.7439</v>
      </c>
      <c r="I16" s="974">
        <v>10.014850000000001</v>
      </c>
      <c r="J16" s="974">
        <v>11.6235</v>
      </c>
      <c r="K16" s="974">
        <v>11.809200000000001</v>
      </c>
      <c r="L16" s="974">
        <v>16.05725</v>
      </c>
      <c r="M16" s="974">
        <v>21.891249999999999</v>
      </c>
      <c r="N16" s="974">
        <v>24.35585</v>
      </c>
      <c r="O16" s="974">
        <v>24.939349999999997</v>
      </c>
      <c r="P16" s="974">
        <v>26.6556</v>
      </c>
      <c r="Q16" s="974">
        <v>26.376049999999999</v>
      </c>
      <c r="R16" s="974">
        <v>27.192499999999999</v>
      </c>
      <c r="S16" s="974">
        <v>26.36553</v>
      </c>
      <c r="T16" s="974">
        <v>25.999749999999999</v>
      </c>
      <c r="U16" s="974">
        <v>20.493680000000001</v>
      </c>
      <c r="V16" s="974">
        <v>22.719009999999997</v>
      </c>
      <c r="W16" s="974">
        <v>21.871399999999998</v>
      </c>
      <c r="X16" s="974">
        <v>21.831499999999998</v>
      </c>
      <c r="Y16" s="974">
        <v>18.397599999999997</v>
      </c>
      <c r="Z16" s="974">
        <v>17.293000000000003</v>
      </c>
      <c r="AA16" s="974">
        <v>14.408099999999996</v>
      </c>
      <c r="AB16" s="974">
        <v>15.863900000000001</v>
      </c>
      <c r="AC16" s="974">
        <v>14.856694089455001</v>
      </c>
      <c r="AD16" s="974">
        <v>14.947517108380001</v>
      </c>
      <c r="AE16" s="974">
        <v>14.026568218460003</v>
      </c>
      <c r="AF16" s="974">
        <v>13.379151816569999</v>
      </c>
      <c r="AG16" s="974">
        <v>10.859423158344995</v>
      </c>
      <c r="AH16" s="974">
        <v>14.481952432074998</v>
      </c>
      <c r="AI16" s="974">
        <v>12.292299313617685</v>
      </c>
      <c r="AJ16" s="974">
        <v>11.440504388513643</v>
      </c>
      <c r="AK16" s="975">
        <v>11.145127723678437</v>
      </c>
    </row>
    <row r="17" spans="1:37" ht="18.5">
      <c r="A17" s="1044" t="s">
        <v>834</v>
      </c>
    </row>
    <row r="18" spans="1:37">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7">
      <c r="AA19" s="942"/>
      <c r="AC19" s="978"/>
      <c r="AD19" s="978"/>
      <c r="AF19" s="492"/>
      <c r="AI19" s="942"/>
    </row>
    <row r="20" spans="1:37">
      <c r="A20" s="707" t="s">
        <v>620</v>
      </c>
      <c r="AC20" s="978"/>
      <c r="AD20" s="978"/>
    </row>
    <row r="21" spans="1:37">
      <c r="A21" s="791" t="s">
        <v>0</v>
      </c>
      <c r="B21" s="662">
        <f t="shared" ref="B21:AJ21" si="1">B4</f>
        <v>1990</v>
      </c>
      <c r="C21" s="662">
        <f t="shared" si="1"/>
        <v>1991</v>
      </c>
      <c r="D21" s="662">
        <f t="shared" si="1"/>
        <v>1992</v>
      </c>
      <c r="E21" s="662">
        <f t="shared" si="1"/>
        <v>1993</v>
      </c>
      <c r="F21" s="662">
        <f t="shared" si="1"/>
        <v>1994</v>
      </c>
      <c r="G21" s="662">
        <f t="shared" si="1"/>
        <v>1995</v>
      </c>
      <c r="H21" s="662">
        <f t="shared" si="1"/>
        <v>1996</v>
      </c>
      <c r="I21" s="662">
        <f t="shared" si="1"/>
        <v>1997</v>
      </c>
      <c r="J21" s="662">
        <f t="shared" si="1"/>
        <v>1998</v>
      </c>
      <c r="K21" s="662">
        <f t="shared" si="1"/>
        <v>1999</v>
      </c>
      <c r="L21" s="662">
        <f t="shared" si="1"/>
        <v>2000</v>
      </c>
      <c r="M21" s="662">
        <f t="shared" si="1"/>
        <v>2001</v>
      </c>
      <c r="N21" s="662">
        <f t="shared" si="1"/>
        <v>2002</v>
      </c>
      <c r="O21" s="662">
        <f t="shared" si="1"/>
        <v>2003</v>
      </c>
      <c r="P21" s="662">
        <f t="shared" si="1"/>
        <v>2004</v>
      </c>
      <c r="Q21" s="662">
        <f t="shared" si="1"/>
        <v>2005</v>
      </c>
      <c r="R21" s="662">
        <f t="shared" si="1"/>
        <v>2006</v>
      </c>
      <c r="S21" s="662">
        <f t="shared" si="1"/>
        <v>2007</v>
      </c>
      <c r="T21" s="662">
        <f t="shared" si="1"/>
        <v>2008</v>
      </c>
      <c r="U21" s="662">
        <f t="shared" si="1"/>
        <v>2009</v>
      </c>
      <c r="V21" s="662">
        <f t="shared" si="1"/>
        <v>2010</v>
      </c>
      <c r="W21" s="662">
        <f t="shared" si="1"/>
        <v>2011</v>
      </c>
      <c r="X21" s="662">
        <f t="shared" si="1"/>
        <v>2012</v>
      </c>
      <c r="Y21" s="662">
        <f t="shared" si="1"/>
        <v>2013</v>
      </c>
      <c r="Z21" s="662">
        <f t="shared" si="1"/>
        <v>2014</v>
      </c>
      <c r="AA21" s="662">
        <f t="shared" si="1"/>
        <v>2015</v>
      </c>
      <c r="AB21" s="662">
        <f t="shared" si="1"/>
        <v>2016</v>
      </c>
      <c r="AC21" s="662">
        <f t="shared" si="1"/>
        <v>2017</v>
      </c>
      <c r="AD21" s="662">
        <f t="shared" si="1"/>
        <v>2018</v>
      </c>
      <c r="AE21" s="662">
        <f t="shared" si="1"/>
        <v>2019</v>
      </c>
      <c r="AF21" s="662">
        <f t="shared" si="1"/>
        <v>2020</v>
      </c>
      <c r="AG21" s="662">
        <f t="shared" si="1"/>
        <v>2021</v>
      </c>
      <c r="AH21" s="662">
        <f t="shared" si="1"/>
        <v>2022</v>
      </c>
      <c r="AI21" s="662">
        <f t="shared" si="1"/>
        <v>2023</v>
      </c>
      <c r="AJ21" s="662">
        <f t="shared" si="1"/>
        <v>2024</v>
      </c>
      <c r="AK21" s="799">
        <f>AK4</f>
        <v>2025</v>
      </c>
    </row>
    <row r="22" spans="1:37">
      <c r="A22" s="5" t="str">
        <f t="shared" ref="A22:AK22" si="2">A6</f>
        <v>Solidi</v>
      </c>
      <c r="B22" s="847">
        <f t="shared" si="2"/>
        <v>32.046999999999997</v>
      </c>
      <c r="C22" s="847">
        <f t="shared" si="2"/>
        <v>28.507000000000001</v>
      </c>
      <c r="D22" s="847">
        <f t="shared" si="2"/>
        <v>21.353999999999999</v>
      </c>
      <c r="E22" s="847">
        <f t="shared" si="2"/>
        <v>16.658999999999999</v>
      </c>
      <c r="F22" s="847">
        <f t="shared" si="2"/>
        <v>19.856000000000002</v>
      </c>
      <c r="G22" s="847">
        <f t="shared" si="2"/>
        <v>24.122</v>
      </c>
      <c r="H22" s="847">
        <f t="shared" si="2"/>
        <v>22.08</v>
      </c>
      <c r="I22" s="847">
        <f t="shared" si="2"/>
        <v>20.518000000000001</v>
      </c>
      <c r="J22" s="847">
        <f t="shared" si="2"/>
        <v>23.311</v>
      </c>
      <c r="K22" s="847">
        <f t="shared" si="2"/>
        <v>23.812000000000001</v>
      </c>
      <c r="L22" s="847">
        <f t="shared" si="2"/>
        <v>26.271999999999998</v>
      </c>
      <c r="M22" s="847">
        <f t="shared" si="2"/>
        <v>31.73</v>
      </c>
      <c r="N22" s="847">
        <f t="shared" si="2"/>
        <v>35.447000000000003</v>
      </c>
      <c r="O22" s="847">
        <f t="shared" si="2"/>
        <v>38.813000000000002</v>
      </c>
      <c r="P22" s="847">
        <f t="shared" si="2"/>
        <v>45.518000000000001</v>
      </c>
      <c r="Q22" s="847">
        <f t="shared" si="2"/>
        <v>43.606300000000005</v>
      </c>
      <c r="R22" s="847">
        <f t="shared" si="2"/>
        <v>44.2074</v>
      </c>
      <c r="S22" s="847">
        <f t="shared" si="2"/>
        <v>44.112200000000001</v>
      </c>
      <c r="T22" s="847">
        <f t="shared" si="2"/>
        <v>43.073800000000006</v>
      </c>
      <c r="U22" s="847">
        <f t="shared" si="2"/>
        <v>39.745200000000004</v>
      </c>
      <c r="V22" s="847">
        <f t="shared" si="2"/>
        <v>39.734000000000009</v>
      </c>
      <c r="W22" s="847">
        <f t="shared" si="2"/>
        <v>44.725999999999999</v>
      </c>
      <c r="X22" s="847">
        <f t="shared" si="2"/>
        <v>49.141400000000004</v>
      </c>
      <c r="Y22" s="847">
        <f t="shared" si="2"/>
        <v>45.104399999999998</v>
      </c>
      <c r="Z22" s="847">
        <f t="shared" si="2"/>
        <v>43.454700000000003</v>
      </c>
      <c r="AA22" s="847">
        <f t="shared" si="2"/>
        <v>43.201300000000003</v>
      </c>
      <c r="AB22" s="847">
        <f t="shared" si="2"/>
        <v>35.607699999999994</v>
      </c>
      <c r="AC22" s="847">
        <f t="shared" si="2"/>
        <v>32.627426142120001</v>
      </c>
      <c r="AD22" s="847">
        <f t="shared" si="2"/>
        <v>28.4698677001</v>
      </c>
      <c r="AE22" s="847">
        <f t="shared" si="2"/>
        <v>18.839448967460001</v>
      </c>
      <c r="AF22" s="847">
        <f t="shared" si="2"/>
        <v>13.379486891380001</v>
      </c>
      <c r="AG22" s="847">
        <f t="shared" si="2"/>
        <v>14.02191874551</v>
      </c>
      <c r="AH22" s="847">
        <f t="shared" si="2"/>
        <v>22.606652264280001</v>
      </c>
      <c r="AI22" s="847">
        <f t="shared" si="2"/>
        <v>13.2198851156488</v>
      </c>
      <c r="AJ22" s="847">
        <f t="shared" si="2"/>
        <v>3.94843350335521</v>
      </c>
      <c r="AK22" s="848">
        <f t="shared" si="2"/>
        <v>3.3574695387743803</v>
      </c>
    </row>
    <row r="23" spans="1:37">
      <c r="A23" s="819" t="s">
        <v>640</v>
      </c>
      <c r="B23" s="849">
        <v>1.1719999999999999</v>
      </c>
      <c r="C23" s="849">
        <v>1.0029999999999999</v>
      </c>
      <c r="D23" s="849">
        <v>0.88800000000000001</v>
      </c>
      <c r="E23" s="849">
        <v>0.71699999999999997</v>
      </c>
      <c r="F23" s="849">
        <v>0.27900000000000003</v>
      </c>
      <c r="G23" s="849">
        <v>0.152</v>
      </c>
      <c r="H23" s="849">
        <v>0.114</v>
      </c>
      <c r="I23" s="849">
        <v>0.13400000000000001</v>
      </c>
      <c r="J23" s="849">
        <v>0.32400000000000001</v>
      </c>
      <c r="K23" s="849">
        <v>0.26100000000000001</v>
      </c>
      <c r="L23" s="849">
        <v>6.0000000000000001E-3</v>
      </c>
      <c r="M23" s="849">
        <v>3.0000000000000001E-3</v>
      </c>
      <c r="N23" s="849">
        <v>0</v>
      </c>
      <c r="O23" s="849">
        <v>0</v>
      </c>
      <c r="P23" s="849">
        <v>0</v>
      </c>
      <c r="Q23" s="849">
        <v>0</v>
      </c>
      <c r="R23" s="849">
        <v>0</v>
      </c>
      <c r="S23" s="849">
        <v>0</v>
      </c>
      <c r="T23" s="849">
        <v>0</v>
      </c>
      <c r="U23" s="849">
        <v>0</v>
      </c>
      <c r="V23" s="849">
        <v>0</v>
      </c>
      <c r="W23" s="849">
        <v>0</v>
      </c>
      <c r="X23" s="849">
        <v>0</v>
      </c>
      <c r="Y23" s="849">
        <v>0</v>
      </c>
      <c r="Z23" s="849">
        <v>0</v>
      </c>
      <c r="AA23" s="849">
        <v>0</v>
      </c>
      <c r="AB23" s="849">
        <v>0</v>
      </c>
      <c r="AC23" s="849">
        <v>0</v>
      </c>
      <c r="AD23" s="849">
        <v>0</v>
      </c>
      <c r="AE23" s="849">
        <v>0</v>
      </c>
      <c r="AF23" s="849">
        <v>0</v>
      </c>
      <c r="AG23" s="849">
        <v>0</v>
      </c>
      <c r="AH23" s="849">
        <v>0</v>
      </c>
      <c r="AI23" s="849">
        <v>0</v>
      </c>
      <c r="AJ23" s="849">
        <v>0</v>
      </c>
      <c r="AK23" s="848">
        <v>0</v>
      </c>
    </row>
    <row r="24" spans="1:37">
      <c r="A24" s="5" t="str">
        <f t="shared" ref="A24:AK24" si="3">A7</f>
        <v>Gas naturale</v>
      </c>
      <c r="B24" s="847">
        <f t="shared" si="3"/>
        <v>39.709000000000003</v>
      </c>
      <c r="C24" s="847">
        <f t="shared" si="3"/>
        <v>36.341999999999999</v>
      </c>
      <c r="D24" s="847">
        <f t="shared" si="3"/>
        <v>35.475999999999999</v>
      </c>
      <c r="E24" s="847">
        <f t="shared" si="3"/>
        <v>39.963000000000001</v>
      </c>
      <c r="F24" s="847">
        <f t="shared" si="3"/>
        <v>40.804000000000002</v>
      </c>
      <c r="G24" s="847">
        <f t="shared" si="3"/>
        <v>46.997999999999998</v>
      </c>
      <c r="H24" s="847">
        <f t="shared" si="3"/>
        <v>50.191000000000003</v>
      </c>
      <c r="I24" s="847">
        <f t="shared" si="3"/>
        <v>61.292999999999999</v>
      </c>
      <c r="J24" s="847">
        <f t="shared" si="3"/>
        <v>70.882999999999996</v>
      </c>
      <c r="K24" s="847">
        <f t="shared" si="3"/>
        <v>86.983000000000004</v>
      </c>
      <c r="L24" s="847">
        <f t="shared" si="3"/>
        <v>101.36</v>
      </c>
      <c r="M24" s="847">
        <f t="shared" si="3"/>
        <v>104.1875</v>
      </c>
      <c r="N24" s="847">
        <f t="shared" si="3"/>
        <v>99.413800000000009</v>
      </c>
      <c r="O24" s="847">
        <f t="shared" si="3"/>
        <v>117.301</v>
      </c>
      <c r="P24" s="847">
        <f t="shared" si="3"/>
        <v>129.77209999999999</v>
      </c>
      <c r="Q24" s="847">
        <f t="shared" si="3"/>
        <v>149.2586</v>
      </c>
      <c r="R24" s="847">
        <f t="shared" si="3"/>
        <v>158.0788</v>
      </c>
      <c r="S24" s="847">
        <f t="shared" si="3"/>
        <v>172.64589999999998</v>
      </c>
      <c r="T24" s="847">
        <f t="shared" si="3"/>
        <v>172.69720000000001</v>
      </c>
      <c r="U24" s="847">
        <f t="shared" si="3"/>
        <v>147.27010000000001</v>
      </c>
      <c r="V24" s="847">
        <f t="shared" si="3"/>
        <v>152.73689999999999</v>
      </c>
      <c r="W24" s="847">
        <f t="shared" si="3"/>
        <v>144.548</v>
      </c>
      <c r="X24" s="847">
        <f t="shared" si="3"/>
        <v>129.0581</v>
      </c>
      <c r="Y24" s="847">
        <f t="shared" si="3"/>
        <v>108.87560000000001</v>
      </c>
      <c r="Z24" s="847">
        <f t="shared" si="3"/>
        <v>93.637299999999996</v>
      </c>
      <c r="AA24" s="847">
        <f t="shared" si="3"/>
        <v>110.8601</v>
      </c>
      <c r="AB24" s="847">
        <f t="shared" si="3"/>
        <v>126.1481</v>
      </c>
      <c r="AC24" s="847">
        <f t="shared" si="3"/>
        <v>140.33288427196001</v>
      </c>
      <c r="AD24" s="847">
        <f t="shared" si="3"/>
        <v>128.48755475789</v>
      </c>
      <c r="AE24" s="847">
        <f t="shared" si="3"/>
        <v>141.68700212828</v>
      </c>
      <c r="AF24" s="847">
        <f t="shared" si="3"/>
        <v>133.68278357062999</v>
      </c>
      <c r="AG24" s="847">
        <f t="shared" si="3"/>
        <v>143.99795016602999</v>
      </c>
      <c r="AH24" s="847">
        <f t="shared" si="3"/>
        <v>141.44531220990001</v>
      </c>
      <c r="AI24" s="847">
        <f t="shared" si="3"/>
        <v>118.986516222533</v>
      </c>
      <c r="AJ24" s="847">
        <f t="shared" si="3"/>
        <v>118.55374569214599</v>
      </c>
      <c r="AK24" s="848">
        <f t="shared" si="3"/>
        <v>126.86000000000003</v>
      </c>
    </row>
    <row r="25" spans="1:37">
      <c r="A25" s="5" t="str">
        <f t="shared" ref="A25:AK25" si="4">A8</f>
        <v>Gas derivati</v>
      </c>
      <c r="B25" s="847">
        <f t="shared" si="4"/>
        <v>3.7149999999999999</v>
      </c>
      <c r="C25" s="847">
        <f t="shared" si="4"/>
        <v>3.6659999999999999</v>
      </c>
      <c r="D25" s="847">
        <f t="shared" si="4"/>
        <v>3.6509999999999998</v>
      </c>
      <c r="E25" s="847">
        <f t="shared" si="4"/>
        <v>3.536</v>
      </c>
      <c r="F25" s="847">
        <f t="shared" si="4"/>
        <v>3.0880000000000001</v>
      </c>
      <c r="G25" s="847">
        <f t="shared" si="4"/>
        <v>3.4460000000000002</v>
      </c>
      <c r="H25" s="847">
        <f t="shared" si="4"/>
        <v>3.2429999999999999</v>
      </c>
      <c r="I25" s="847">
        <f t="shared" si="4"/>
        <v>4.2510000000000003</v>
      </c>
      <c r="J25" s="847">
        <f t="shared" si="4"/>
        <v>4.516</v>
      </c>
      <c r="K25" s="847">
        <f t="shared" si="4"/>
        <v>4.4130000000000003</v>
      </c>
      <c r="L25" s="847">
        <f t="shared" si="4"/>
        <v>4.2519999999999998</v>
      </c>
      <c r="M25" s="847">
        <f t="shared" si="4"/>
        <v>5.0449999999999999</v>
      </c>
      <c r="N25" s="847">
        <f t="shared" si="4"/>
        <v>5.0209999999999999</v>
      </c>
      <c r="O25" s="847">
        <f t="shared" si="4"/>
        <v>5.3040000000000003</v>
      </c>
      <c r="P25" s="847">
        <f t="shared" si="4"/>
        <v>5.359</v>
      </c>
      <c r="Q25" s="847">
        <f t="shared" si="4"/>
        <v>5.8132000000000001</v>
      </c>
      <c r="R25" s="847">
        <f t="shared" si="4"/>
        <v>6.2291000000000007</v>
      </c>
      <c r="S25" s="847">
        <f t="shared" si="4"/>
        <v>5.6231</v>
      </c>
      <c r="T25" s="847">
        <f t="shared" si="4"/>
        <v>5.5167000000000002</v>
      </c>
      <c r="U25" s="847">
        <f t="shared" si="4"/>
        <v>3.6706999999999996</v>
      </c>
      <c r="V25" s="847">
        <f t="shared" si="4"/>
        <v>4.6993999999999998</v>
      </c>
      <c r="W25" s="847">
        <f t="shared" si="4"/>
        <v>5.4133999999999993</v>
      </c>
      <c r="X25" s="847">
        <f t="shared" si="4"/>
        <v>4.9697999999999993</v>
      </c>
      <c r="Y25" s="847">
        <f t="shared" si="4"/>
        <v>3.39</v>
      </c>
      <c r="Z25" s="847">
        <f t="shared" si="4"/>
        <v>3.0696000000000003</v>
      </c>
      <c r="AA25" s="847">
        <f t="shared" si="4"/>
        <v>2.1873</v>
      </c>
      <c r="AB25" s="847">
        <f t="shared" si="4"/>
        <v>2.7968000000000002</v>
      </c>
      <c r="AC25" s="847">
        <f t="shared" si="4"/>
        <v>2.4687542050499998</v>
      </c>
      <c r="AD25" s="966">
        <f t="shared" si="4"/>
        <v>2.4857946653799998</v>
      </c>
      <c r="AE25" s="847">
        <f t="shared" si="4"/>
        <v>2.4133499243599998</v>
      </c>
      <c r="AF25" s="847">
        <f t="shared" si="4"/>
        <v>1.6634841760800001</v>
      </c>
      <c r="AG25" s="847">
        <f t="shared" si="4"/>
        <v>1.91408728844</v>
      </c>
      <c r="AH25" s="847">
        <f t="shared" si="4"/>
        <v>1.58938302915</v>
      </c>
      <c r="AI25" s="847">
        <f t="shared" si="4"/>
        <v>1.1565384328231649</v>
      </c>
      <c r="AJ25" s="847">
        <f t="shared" si="4"/>
        <v>0.81610896529428756</v>
      </c>
      <c r="AK25" s="848">
        <f t="shared" si="4"/>
        <v>0.72892219159759153</v>
      </c>
    </row>
    <row r="26" spans="1:37">
      <c r="A26" s="5" t="str">
        <f t="shared" ref="A26:AK26" si="5">A9</f>
        <v>Prodotti petroliferi</v>
      </c>
      <c r="B26" s="847">
        <f t="shared" si="5"/>
        <v>102.71899999999999</v>
      </c>
      <c r="C26" s="847">
        <f t="shared" si="5"/>
        <v>104.28700000000001</v>
      </c>
      <c r="D26" s="847">
        <f t="shared" si="5"/>
        <v>116.02</v>
      </c>
      <c r="E26" s="847">
        <f t="shared" si="5"/>
        <v>113.919</v>
      </c>
      <c r="F26" s="847">
        <f t="shared" si="5"/>
        <v>116.312</v>
      </c>
      <c r="G26" s="847">
        <f t="shared" si="5"/>
        <v>120.8</v>
      </c>
      <c r="H26" s="847">
        <f t="shared" si="5"/>
        <v>117.08799999999999</v>
      </c>
      <c r="I26" s="847">
        <f t="shared" si="5"/>
        <v>113.312</v>
      </c>
      <c r="J26" s="847">
        <f t="shared" si="5"/>
        <v>107.30500000000001</v>
      </c>
      <c r="K26" s="847">
        <f t="shared" si="5"/>
        <v>91.379000000000005</v>
      </c>
      <c r="L26" s="847">
        <f t="shared" si="5"/>
        <v>85.878</v>
      </c>
      <c r="M26" s="847">
        <f t="shared" si="5"/>
        <v>75.008200000000016</v>
      </c>
      <c r="N26" s="847">
        <f t="shared" si="5"/>
        <v>87.765600000000006</v>
      </c>
      <c r="O26" s="847">
        <f t="shared" si="5"/>
        <v>75.986000000000004</v>
      </c>
      <c r="P26" s="847">
        <f t="shared" si="5"/>
        <v>58.891100000000002</v>
      </c>
      <c r="Q26" s="847">
        <f t="shared" si="5"/>
        <v>47.1233</v>
      </c>
      <c r="R26" s="847">
        <f t="shared" si="5"/>
        <v>45.877499999999998</v>
      </c>
      <c r="S26" s="847">
        <f t="shared" si="5"/>
        <v>35.408199999999994</v>
      </c>
      <c r="T26" s="847">
        <f t="shared" si="5"/>
        <v>31.458600000000001</v>
      </c>
      <c r="U26" s="847">
        <f t="shared" si="5"/>
        <v>26.020799999999998</v>
      </c>
      <c r="V26" s="847">
        <f t="shared" si="5"/>
        <v>21.715699999999998</v>
      </c>
      <c r="W26" s="847">
        <f t="shared" si="5"/>
        <v>19.885099999999998</v>
      </c>
      <c r="X26" s="847">
        <f t="shared" si="5"/>
        <v>18.888600000000004</v>
      </c>
      <c r="Y26" s="847">
        <f t="shared" si="5"/>
        <v>15.481699999999996</v>
      </c>
      <c r="Z26" s="847">
        <f t="shared" si="5"/>
        <v>14.164200000000001</v>
      </c>
      <c r="AA26" s="847">
        <f t="shared" si="5"/>
        <v>13.385800000000001</v>
      </c>
      <c r="AB26" s="847">
        <f t="shared" si="5"/>
        <v>12.129700000000001</v>
      </c>
      <c r="AC26" s="847">
        <f t="shared" si="5"/>
        <v>11.526694451159997</v>
      </c>
      <c r="AD26" s="966">
        <f t="shared" si="5"/>
        <v>11.02912954766</v>
      </c>
      <c r="AE26" s="847">
        <f t="shared" si="5"/>
        <v>10.15311537819</v>
      </c>
      <c r="AF26" s="847">
        <f t="shared" si="5"/>
        <v>10.043258547610002</v>
      </c>
      <c r="AG26" s="847">
        <f t="shared" si="5"/>
        <v>7.7480854822399996</v>
      </c>
      <c r="AH26" s="847">
        <f t="shared" si="5"/>
        <v>12.861937289709998</v>
      </c>
      <c r="AI26" s="847">
        <f t="shared" si="5"/>
        <v>10.191484636876364</v>
      </c>
      <c r="AJ26" s="847">
        <f t="shared" si="5"/>
        <v>8.5759283182527213</v>
      </c>
      <c r="AK26" s="848">
        <f t="shared" si="5"/>
        <v>7.7594930996175373</v>
      </c>
    </row>
    <row r="27" spans="1:37">
      <c r="A27" s="5" t="s">
        <v>719</v>
      </c>
      <c r="B27" s="847">
        <f>'2'!B8-'3'!B14</f>
        <v>0</v>
      </c>
      <c r="C27" s="847">
        <f>'2'!C8-'3'!C14</f>
        <v>0</v>
      </c>
      <c r="D27" s="847">
        <f>'2'!D8-'3'!D14</f>
        <v>0.3130000000000166</v>
      </c>
      <c r="E27" s="847">
        <f>'2'!E8-'3'!E14</f>
        <v>0.35300000000000864</v>
      </c>
      <c r="F27" s="847">
        <f>'2'!F8-'3'!F14</f>
        <v>0.30400000000000205</v>
      </c>
      <c r="G27" s="847">
        <f>'2'!G8-'3'!G14</f>
        <v>0.36899999999999977</v>
      </c>
      <c r="H27" s="847">
        <f>'2'!H8-'3'!H14</f>
        <v>0.34500000000002728</v>
      </c>
      <c r="I27" s="847">
        <f>'2'!I8-'3'!I14</f>
        <v>0.6869999999999834</v>
      </c>
      <c r="J27" s="847">
        <f>'2'!J8-'3'!J14</f>
        <v>0.72700000000000387</v>
      </c>
      <c r="K27" s="847">
        <f>'2'!K8-'3'!K14</f>
        <v>0.65700000000001069</v>
      </c>
      <c r="L27" s="847">
        <f>'2'!L8-'3'!L14</f>
        <v>0.78579999999999472</v>
      </c>
      <c r="M27" s="847">
        <f>'2'!M8-'3'!M14</f>
        <v>0.82099999999999795</v>
      </c>
      <c r="N27" s="847">
        <f>'2'!N8-'3'!N14</f>
        <v>0.76899999999997704</v>
      </c>
      <c r="O27" s="847">
        <f>'2'!O8-'3'!O14</f>
        <v>0.88800000000000523</v>
      </c>
      <c r="P27" s="847">
        <f>'2'!P8-'3'!P14</f>
        <v>0.94999999999998863</v>
      </c>
      <c r="Q27" s="847">
        <f>'2'!Q8-'3'!Q14</f>
        <v>1.1160000000000139</v>
      </c>
      <c r="R27" s="847">
        <f>'2'!R8-'3'!R14</f>
        <v>1.0269999999999868</v>
      </c>
      <c r="S27" s="847">
        <f>'2'!S8-'3'!S14</f>
        <v>1.0212000000000216</v>
      </c>
      <c r="T27" s="847">
        <f>'2'!T8-'3'!T14</f>
        <v>0.91599999999999682</v>
      </c>
      <c r="U27" s="847">
        <f>'2'!U8-'3'!U14</f>
        <v>0.60299999999998022</v>
      </c>
      <c r="V27" s="847">
        <f>'2'!V8-'3'!V14</f>
        <v>0.77699999999998681</v>
      </c>
      <c r="W27" s="847">
        <f>'2'!W8-'3'!W14</f>
        <v>0.80799999999999272</v>
      </c>
      <c r="X27" s="847">
        <f>'2'!X8-'3'!X14</f>
        <v>0.75099999999997635</v>
      </c>
      <c r="Y27" s="847">
        <f>'2'!Y8-'3'!Y14</f>
        <v>0.75300000000001432</v>
      </c>
      <c r="Z27" s="847">
        <f>'2'!Z8-'3'!Z14</f>
        <v>0.66100000000002979</v>
      </c>
      <c r="AA27" s="858">
        <f>'2'!AA8-'3'!AA14</f>
        <v>0.59530000000003724</v>
      </c>
      <c r="AB27" s="847">
        <f>'2'!AB8-'3'!AB14</f>
        <v>0.73560000000000514</v>
      </c>
      <c r="AC27" s="858">
        <f>'2'!AC8-'3'!AC14</f>
        <v>0.66099317199999064</v>
      </c>
      <c r="AD27" s="966">
        <f>'2'!AD8-'3'!AD14</f>
        <v>0.60119554269999753</v>
      </c>
      <c r="AE27" s="847">
        <f>'2'!AE8-'3'!AE14</f>
        <v>0.64985721116997297</v>
      </c>
      <c r="AF27" s="847">
        <f>'2'!AF8-'3'!AF14</f>
        <v>0.50148429092996594</v>
      </c>
      <c r="AG27" s="847">
        <f>'2'!AG8-'3'!AG14</f>
        <v>0.57884969508003792</v>
      </c>
      <c r="AH27" s="847">
        <f>'2'!AH8-'3'!AH14</f>
        <v>0.69459143500000664</v>
      </c>
      <c r="AI27" s="847">
        <f>'2'!AI8-'3'!AI14</f>
        <v>0.61341666783425808</v>
      </c>
      <c r="AJ27" s="847">
        <f>'2'!AJ8-'3'!AJ14</f>
        <v>0.63096621472499237</v>
      </c>
      <c r="AK27" s="848">
        <f>'2'!AK8-'3'!AK14</f>
        <v>0.66361276216932197</v>
      </c>
    </row>
    <row r="28" spans="1:37">
      <c r="A28" s="5" t="s">
        <v>751</v>
      </c>
      <c r="B28" s="847">
        <f t="shared" ref="B28:AK28" si="6">B10-B34</f>
        <v>5.1499999999999997E-2</v>
      </c>
      <c r="C28" s="847">
        <f t="shared" si="6"/>
        <v>0.11619999999999998</v>
      </c>
      <c r="D28" s="847">
        <f t="shared" si="6"/>
        <v>9.1999999999999998E-2</v>
      </c>
      <c r="E28" s="847">
        <f t="shared" si="6"/>
        <v>0.104</v>
      </c>
      <c r="F28" s="847">
        <f t="shared" si="6"/>
        <v>9.2649999999999982E-2</v>
      </c>
      <c r="G28" s="847">
        <f t="shared" si="6"/>
        <v>8.610000000000001E-2</v>
      </c>
      <c r="H28" s="847">
        <f t="shared" si="6"/>
        <v>0.12089999999999995</v>
      </c>
      <c r="I28" s="847">
        <f t="shared" si="6"/>
        <v>0.12784999999999991</v>
      </c>
      <c r="J28" s="847">
        <f t="shared" si="6"/>
        <v>0.23549999999999993</v>
      </c>
      <c r="K28" s="847">
        <f t="shared" si="6"/>
        <v>0.32719999999999994</v>
      </c>
      <c r="L28" s="847">
        <f t="shared" si="6"/>
        <v>0.40344999999999986</v>
      </c>
      <c r="M28" s="847">
        <f t="shared" si="6"/>
        <v>0.6293500000000003</v>
      </c>
      <c r="N28" s="847">
        <f t="shared" si="6"/>
        <v>0.80204999999999949</v>
      </c>
      <c r="O28" s="847">
        <f t="shared" si="6"/>
        <v>0.90595000000000026</v>
      </c>
      <c r="P28" s="847">
        <f t="shared" si="6"/>
        <v>1.1384999999999996</v>
      </c>
      <c r="Q28" s="847">
        <f t="shared" si="6"/>
        <v>1.30985</v>
      </c>
      <c r="R28" s="847">
        <f t="shared" si="6"/>
        <v>1.4582999999999995</v>
      </c>
      <c r="S28" s="847">
        <f t="shared" si="6"/>
        <v>1.5124500000000003</v>
      </c>
      <c r="T28" s="847">
        <f t="shared" si="6"/>
        <v>1.6993499999999999</v>
      </c>
      <c r="U28" s="847">
        <f t="shared" si="6"/>
        <v>1.772380000000001</v>
      </c>
      <c r="V28" s="847">
        <f t="shared" si="6"/>
        <v>2.1447099999999999</v>
      </c>
      <c r="W28" s="847">
        <f t="shared" si="6"/>
        <v>2.3045000000000009</v>
      </c>
      <c r="X28" s="847">
        <f t="shared" si="6"/>
        <v>2.265900000000002</v>
      </c>
      <c r="Y28" s="847">
        <f t="shared" si="6"/>
        <v>2.2927999999999997</v>
      </c>
      <c r="Z28" s="847">
        <f t="shared" si="6"/>
        <v>2.4514000000000067</v>
      </c>
      <c r="AA28" s="847">
        <f t="shared" si="6"/>
        <v>2.4279999999999973</v>
      </c>
      <c r="AB28" s="847">
        <f t="shared" si="6"/>
        <v>2.5031000000000034</v>
      </c>
      <c r="AC28" s="847">
        <f t="shared" si="6"/>
        <v>2.4731409297100129</v>
      </c>
      <c r="AD28" s="847">
        <f t="shared" si="6"/>
        <v>2.4538775132900028</v>
      </c>
      <c r="AE28" s="847">
        <f t="shared" si="6"/>
        <v>2.4284135880800051</v>
      </c>
      <c r="AF28" s="847">
        <f t="shared" si="6"/>
        <v>2.402288195649998</v>
      </c>
      <c r="AG28" s="847">
        <f t="shared" si="6"/>
        <v>2.3794346780999973</v>
      </c>
      <c r="AH28" s="847">
        <f t="shared" si="6"/>
        <v>2.396055936789999</v>
      </c>
      <c r="AI28" s="847">
        <f t="shared" si="6"/>
        <v>2.4023835507234281</v>
      </c>
      <c r="AJ28" s="847">
        <f t="shared" si="6"/>
        <v>2.3183314158386814</v>
      </c>
      <c r="AK28" s="848">
        <f t="shared" si="6"/>
        <v>2.4623384986978252</v>
      </c>
    </row>
    <row r="29" spans="1:37">
      <c r="A29" s="5" t="str">
        <f>'4'!A6</f>
        <v>Idroelettrica</v>
      </c>
      <c r="B29" s="847">
        <f>'4'!B6</f>
        <v>31.626000000000001</v>
      </c>
      <c r="C29" s="847">
        <f>'4'!C6</f>
        <v>42.2395</v>
      </c>
      <c r="D29" s="847">
        <f>'4'!D6</f>
        <v>42.2</v>
      </c>
      <c r="E29" s="847">
        <f>'4'!E6</f>
        <v>41.424999999999997</v>
      </c>
      <c r="F29" s="847">
        <f>'4'!F6</f>
        <v>44.658099999999997</v>
      </c>
      <c r="G29" s="847">
        <f>'4'!G6</f>
        <v>37.780800000000006</v>
      </c>
      <c r="H29" s="847">
        <f>'4'!H6</f>
        <v>42.035599999999995</v>
      </c>
      <c r="I29" s="847">
        <f>'4'!I6</f>
        <v>41.599800000000002</v>
      </c>
      <c r="J29" s="847">
        <f>'4'!J6</f>
        <v>41.213600000000007</v>
      </c>
      <c r="K29" s="847">
        <f>'4'!K6</f>
        <v>45.357999999999997</v>
      </c>
      <c r="L29" s="847">
        <f>'4'!L6</f>
        <v>44.2</v>
      </c>
      <c r="M29" s="847">
        <f>'4'!M6</f>
        <v>46.810400000000001</v>
      </c>
      <c r="N29" s="847">
        <f>'4'!N6</f>
        <v>39.519300000000001</v>
      </c>
      <c r="O29" s="847">
        <f>'4'!O6</f>
        <v>36.668999999999997</v>
      </c>
      <c r="P29" s="847">
        <f>'4'!P6</f>
        <v>42.337799999999994</v>
      </c>
      <c r="Q29" s="847">
        <f>'4'!Q6</f>
        <v>36.066699999999997</v>
      </c>
      <c r="R29" s="847">
        <f>'4'!R6</f>
        <v>36.994399999999999</v>
      </c>
      <c r="S29" s="847">
        <f>'4'!S6</f>
        <v>32.815199999999997</v>
      </c>
      <c r="T29" s="847">
        <f>'4'!T6</f>
        <v>41.622999999999998</v>
      </c>
      <c r="U29" s="847">
        <f>'4'!U6</f>
        <v>49.137500000000003</v>
      </c>
      <c r="V29" s="847">
        <f>'4'!V6</f>
        <v>51.116779999999999</v>
      </c>
      <c r="W29" s="847">
        <f>'4'!W6</f>
        <v>45.822660000000006</v>
      </c>
      <c r="X29" s="847">
        <f>'4'!X6</f>
        <v>41.874899999999997</v>
      </c>
      <c r="Y29" s="847">
        <f>'4'!Y6</f>
        <v>52.773400000000002</v>
      </c>
      <c r="Z29" s="847">
        <f>'4'!Z6</f>
        <v>58.545400000000001</v>
      </c>
      <c r="AA29" s="847">
        <f>'4'!AA6</f>
        <v>45.537300000000002</v>
      </c>
      <c r="AB29" s="847">
        <f>'4'!AB6</f>
        <v>42.431800000000003</v>
      </c>
      <c r="AC29" s="847">
        <f>'4'!AC6</f>
        <v>36.198699999999995</v>
      </c>
      <c r="AD29" s="847">
        <f>'4'!AD6</f>
        <v>48.786539999999995</v>
      </c>
      <c r="AE29" s="847">
        <f>'4'!AE6</f>
        <v>46.3185</v>
      </c>
      <c r="AF29" s="847">
        <f>'4'!AF6</f>
        <v>47.55178432772005</v>
      </c>
      <c r="AG29" s="847">
        <f>'4'!AG6</f>
        <v>45.388100000000009</v>
      </c>
      <c r="AH29" s="847">
        <f>'4'!AH6</f>
        <v>28.397599999999997</v>
      </c>
      <c r="AI29" s="847">
        <f>'4'!AI6</f>
        <v>40.517300000000006</v>
      </c>
      <c r="AJ29" s="847">
        <f>'4'!AJ6</f>
        <v>53.130800000000001</v>
      </c>
      <c r="AK29" s="848">
        <f>'4'!AK6</f>
        <v>41.959642835529486</v>
      </c>
    </row>
    <row r="30" spans="1:37">
      <c r="A30" s="5" t="s">
        <v>546</v>
      </c>
      <c r="B30" s="847">
        <f>'2'!B6-'4'!B6</f>
        <v>3.4529999999999994</v>
      </c>
      <c r="C30" s="847">
        <f>'2'!C6-'4'!C6</f>
        <v>3.3669999999999973</v>
      </c>
      <c r="D30" s="847">
        <f>'2'!D6-'4'!D6</f>
        <v>3.5859999999999985</v>
      </c>
      <c r="E30" s="847">
        <f>'2'!E6-'4'!E6</f>
        <v>3.0570000000000022</v>
      </c>
      <c r="F30" s="847">
        <f>'2'!F6-'4'!F6</f>
        <v>3.0730000000000004</v>
      </c>
      <c r="G30" s="847">
        <f>'2'!G6-'4'!G6</f>
        <v>4.125</v>
      </c>
      <c r="H30" s="847">
        <f>'2'!H6-'4'!H6</f>
        <v>5.0350000000000037</v>
      </c>
      <c r="I30" s="847">
        <f>'2'!I6-'4'!I6</f>
        <v>4.9489999999999981</v>
      </c>
      <c r="J30" s="847">
        <f>'2'!J6-'4'!J6</f>
        <v>6.144999999999996</v>
      </c>
      <c r="K30" s="847">
        <f>'2'!K6-'4'!K6</f>
        <v>6.4120000000000061</v>
      </c>
      <c r="L30" s="847">
        <f>'2'!L6-'4'!L6</f>
        <v>6.6999999999999957</v>
      </c>
      <c r="M30" s="847">
        <f>'2'!M6-'4'!M6</f>
        <v>7.115000000000002</v>
      </c>
      <c r="N30" s="847">
        <f>'2'!N6-'4'!N6</f>
        <v>7.7430000000000021</v>
      </c>
      <c r="O30" s="847">
        <f>'2'!O6-'4'!O6</f>
        <v>7.6070000000000064</v>
      </c>
      <c r="P30" s="847">
        <f>'2'!P6-'4'!P6</f>
        <v>7.57</v>
      </c>
      <c r="Q30" s="847">
        <f>'2'!Q6-'4'!Q6</f>
        <v>6.8599999999999994</v>
      </c>
      <c r="R30" s="847">
        <f>'2'!R6-'4'!R6</f>
        <v>6.4310000000000045</v>
      </c>
      <c r="S30" s="847">
        <f>'2'!S6-'4'!S6</f>
        <v>5.6659999999999968</v>
      </c>
      <c r="T30" s="847">
        <f>'2'!T6-'4'!T6</f>
        <v>5.6039999999999992</v>
      </c>
      <c r="U30" s="847">
        <f>'2'!U6-'4'!U6</f>
        <v>4.3049999999999997</v>
      </c>
      <c r="V30" s="847">
        <f>'2'!V6-'4'!V6</f>
        <v>3.2899999999999991</v>
      </c>
      <c r="W30" s="847">
        <f>'2'!W6-'4'!W6</f>
        <v>1.9339999999999975</v>
      </c>
      <c r="X30" s="847">
        <f>'2'!X6-'4'!X6</f>
        <v>1.9789999999999992</v>
      </c>
      <c r="Y30" s="847">
        <f>'2'!Y6-'4'!Y6</f>
        <v>1.8979999999999961</v>
      </c>
      <c r="Z30" s="847">
        <f>'2'!Z6-'4'!Z6</f>
        <v>1.7109999999999985</v>
      </c>
      <c r="AA30" s="847">
        <f>'2'!AA6-'4'!AA6</f>
        <v>1.4320999999999984</v>
      </c>
      <c r="AB30" s="847">
        <f>'2'!AB6-'4'!AB6</f>
        <v>1.8251999999999953</v>
      </c>
      <c r="AC30" s="847">
        <f>'2'!AC6-'4'!AC6</f>
        <v>1.8260000000000005</v>
      </c>
      <c r="AD30" s="847">
        <f>'2'!AD6-'4'!AD6</f>
        <v>1.7163000000000039</v>
      </c>
      <c r="AE30" s="847">
        <f>'2'!AE6-'4'!AE6</f>
        <v>1.8350000000000009</v>
      </c>
      <c r="AF30" s="847">
        <f>'2'!AF6-'4'!AF6</f>
        <v>1.9434710000000024</v>
      </c>
      <c r="AG30" s="847">
        <f>'2'!AG6-'4'!AG6</f>
        <v>2.0901999999999958</v>
      </c>
      <c r="AH30" s="847">
        <f>'2'!AH6-'4'!AH6</f>
        <v>1.8932000000000038</v>
      </c>
      <c r="AI30" s="847">
        <f>'2'!AI6-'4'!AI6</f>
        <v>1.5509999999999948</v>
      </c>
      <c r="AJ30" s="847">
        <f>'2'!AJ6-'4'!AJ6</f>
        <v>1.6261999999999972</v>
      </c>
      <c r="AK30" s="848">
        <f>'2'!AK6-'4'!AK6</f>
        <v>1.8171891483516447</v>
      </c>
    </row>
    <row r="31" spans="1:37">
      <c r="A31" s="5" t="str">
        <f>'4'!A10</f>
        <v>Eolica</v>
      </c>
      <c r="B31" s="847">
        <f>'4'!B10</f>
        <v>2E-3</v>
      </c>
      <c r="C31" s="847">
        <f>'4'!C10</f>
        <v>3.0000000000000001E-3</v>
      </c>
      <c r="D31" s="847">
        <f>'4'!D10</f>
        <v>2E-3</v>
      </c>
      <c r="E31" s="847">
        <f>'4'!E10</f>
        <v>4.0000000000000001E-3</v>
      </c>
      <c r="F31" s="847">
        <f>'4'!F10</f>
        <v>6.3E-3</v>
      </c>
      <c r="G31" s="847">
        <f>'4'!G10</f>
        <v>9.9000000000000008E-3</v>
      </c>
      <c r="H31" s="847">
        <f>'4'!H10</f>
        <v>3.27E-2</v>
      </c>
      <c r="I31" s="847">
        <f>'4'!I10</f>
        <v>0.1178</v>
      </c>
      <c r="J31" s="847">
        <f>'4'!J10</f>
        <v>0.23169999999999999</v>
      </c>
      <c r="K31" s="847">
        <f>'4'!K10</f>
        <v>0.40250000000000002</v>
      </c>
      <c r="L31" s="847">
        <f>'4'!L10</f>
        <v>0.56310000000000004</v>
      </c>
      <c r="M31" s="847">
        <f>'4'!M10</f>
        <v>1.1785999999999999</v>
      </c>
      <c r="N31" s="847">
        <f>'4'!N10</f>
        <v>1.4042000000000001</v>
      </c>
      <c r="O31" s="847">
        <f>'4'!O10</f>
        <v>1.4584000000000001</v>
      </c>
      <c r="P31" s="847">
        <f>'4'!P10</f>
        <v>1.8465</v>
      </c>
      <c r="Q31" s="847">
        <f>'4'!Q10</f>
        <v>2.3433999999999999</v>
      </c>
      <c r="R31" s="847">
        <f>'4'!R10</f>
        <v>2.9706999999999999</v>
      </c>
      <c r="S31" s="847">
        <f>'4'!S10</f>
        <v>4.0343999999999998</v>
      </c>
      <c r="T31" s="847">
        <f>'4'!T10</f>
        <v>4.8613</v>
      </c>
      <c r="U31" s="847">
        <f>'4'!U10</f>
        <v>6.5428999999999995</v>
      </c>
      <c r="V31" s="847">
        <f>'4'!V10</f>
        <v>9.1258999999999997</v>
      </c>
      <c r="W31" s="847">
        <f>'4'!W10</f>
        <v>9.8563999999999989</v>
      </c>
      <c r="X31" s="847">
        <f>'4'!X10</f>
        <v>13.4071</v>
      </c>
      <c r="Y31" s="847">
        <f>'4'!Y10</f>
        <v>14.897</v>
      </c>
      <c r="Z31" s="847">
        <f>'4'!Z10</f>
        <v>15.1783</v>
      </c>
      <c r="AA31" s="847">
        <f>'4'!AA10</f>
        <v>14.8439</v>
      </c>
      <c r="AB31" s="847">
        <f>'4'!AB10</f>
        <v>17.688700000000001</v>
      </c>
      <c r="AC31" s="847">
        <f>'4'!AC10</f>
        <v>17.741900000000001</v>
      </c>
      <c r="AD31" s="847">
        <f>'4'!AD10</f>
        <v>17.7164</v>
      </c>
      <c r="AE31" s="847">
        <f>'4'!AE10</f>
        <v>20.202000000000002</v>
      </c>
      <c r="AF31" s="847">
        <f>'4'!AF10</f>
        <v>18.761557</v>
      </c>
      <c r="AG31" s="847">
        <f>'4'!AG10</f>
        <v>20.927299999999999</v>
      </c>
      <c r="AH31" s="847">
        <f>'4'!AH10</f>
        <v>20.494199999999999</v>
      </c>
      <c r="AI31" s="847">
        <f>'4'!AI10</f>
        <v>23.640499999999999</v>
      </c>
      <c r="AJ31" s="847">
        <f>'4'!AJ10</f>
        <v>22.321900000000003</v>
      </c>
      <c r="AK31" s="848">
        <f>'4'!AK10</f>
        <v>21.589421379950434</v>
      </c>
    </row>
    <row r="32" spans="1:37">
      <c r="A32" s="5" t="str">
        <f>'4'!A11</f>
        <v>Fotovoltaica</v>
      </c>
      <c r="B32" s="847">
        <f>'4'!B11</f>
        <v>4.0000000000000001E-3</v>
      </c>
      <c r="C32" s="847">
        <f>'4'!C11</f>
        <v>5.0000000000000001E-3</v>
      </c>
      <c r="D32" s="847">
        <f>'4'!D11</f>
        <v>8.9999999999999993E-3</v>
      </c>
      <c r="E32" s="847">
        <f>'4'!E11</f>
        <v>1.0999999999999999E-2</v>
      </c>
      <c r="F32" s="847">
        <f>'4'!F11</f>
        <v>1.0999999999999999E-2</v>
      </c>
      <c r="G32" s="847">
        <f>'4'!G11</f>
        <v>1.2999999999999999E-2</v>
      </c>
      <c r="H32" s="847">
        <f>'4'!H11</f>
        <v>1.4E-2</v>
      </c>
      <c r="I32" s="847">
        <f>'4'!I11</f>
        <v>1.4999999999999999E-2</v>
      </c>
      <c r="J32" s="847">
        <f>'4'!J11</f>
        <v>1.6E-2</v>
      </c>
      <c r="K32" s="847">
        <f>'4'!K11</f>
        <v>1.7000000000000001E-2</v>
      </c>
      <c r="L32" s="847">
        <f>'4'!L11</f>
        <v>1.7999999999999999E-2</v>
      </c>
      <c r="M32" s="847">
        <f>'4'!M11</f>
        <v>1.9E-2</v>
      </c>
      <c r="N32" s="847">
        <f>'4'!N11</f>
        <v>2.1000000000000001E-2</v>
      </c>
      <c r="O32" s="847">
        <f>'4'!O11</f>
        <v>2.4E-2</v>
      </c>
      <c r="P32" s="847">
        <f>'4'!P11</f>
        <v>2.9000000000000001E-2</v>
      </c>
      <c r="Q32" s="847">
        <f>'4'!Q11</f>
        <v>3.1E-2</v>
      </c>
      <c r="R32" s="847">
        <f>'4'!R11</f>
        <v>3.5000000000000003E-2</v>
      </c>
      <c r="S32" s="847">
        <f>'4'!S11</f>
        <v>3.9E-2</v>
      </c>
      <c r="T32" s="847">
        <f>'4'!T11</f>
        <v>0.193</v>
      </c>
      <c r="U32" s="847">
        <f>'4'!U11</f>
        <v>0.67649999999999999</v>
      </c>
      <c r="V32" s="847">
        <f>'4'!V11</f>
        <v>1.9056999999999999</v>
      </c>
      <c r="W32" s="847">
        <f>'4'!W11</f>
        <v>10.7957</v>
      </c>
      <c r="X32" s="847">
        <f>'4'!X11</f>
        <v>18.861699999999999</v>
      </c>
      <c r="Y32" s="847">
        <f>'4'!Y11</f>
        <v>21.5886</v>
      </c>
      <c r="Z32" s="847">
        <f>'4'!Z11</f>
        <v>22.3064</v>
      </c>
      <c r="AA32" s="847">
        <f>'4'!AA11</f>
        <v>22.9422</v>
      </c>
      <c r="AB32" s="847">
        <f>'4'!AB11</f>
        <v>22.104299999999999</v>
      </c>
      <c r="AC32" s="847">
        <f>'4'!AC11</f>
        <v>24.377700000000001</v>
      </c>
      <c r="AD32" s="847">
        <f>'4'!AD11</f>
        <v>22.6538</v>
      </c>
      <c r="AE32" s="847">
        <f>'4'!AE11</f>
        <v>23.6889</v>
      </c>
      <c r="AF32" s="847">
        <f>'4'!AF11</f>
        <v>24.941504000000002</v>
      </c>
      <c r="AG32" s="847">
        <f>'4'!AG11</f>
        <v>25.039000000000001</v>
      </c>
      <c r="AH32" s="847">
        <f>'4'!AH11</f>
        <v>28.121500000000001</v>
      </c>
      <c r="AI32" s="847">
        <f>'4'!AI11</f>
        <v>30.711099999999998</v>
      </c>
      <c r="AJ32" s="847">
        <f>'4'!AJ11</f>
        <v>35.993099999999998</v>
      </c>
      <c r="AK32" s="848">
        <f>'4'!AK11</f>
        <v>45.000999999999998</v>
      </c>
    </row>
    <row r="33" spans="1:58">
      <c r="A33" s="5" t="str">
        <f>'4'!A12</f>
        <v>Geotermica</v>
      </c>
      <c r="B33" s="847">
        <f>'4'!B12</f>
        <v>3.222</v>
      </c>
      <c r="C33" s="847">
        <f>'4'!C12</f>
        <v>3.1819999999999999</v>
      </c>
      <c r="D33" s="847">
        <f>'4'!D12</f>
        <v>3.4590000000000001</v>
      </c>
      <c r="E33" s="847">
        <f>'4'!E12</f>
        <v>3.6669999999999998</v>
      </c>
      <c r="F33" s="847">
        <f>'4'!F12</f>
        <v>3.4173</v>
      </c>
      <c r="G33" s="847">
        <f>'4'!G12</f>
        <v>3.4356</v>
      </c>
      <c r="H33" s="847">
        <f>'4'!H12</f>
        <v>3.7624</v>
      </c>
      <c r="I33" s="847">
        <f>'4'!I12</f>
        <v>3.9051999999999998</v>
      </c>
      <c r="J33" s="847">
        <f>'4'!J12</f>
        <v>4.2137000000000002</v>
      </c>
      <c r="K33" s="847">
        <f>'4'!K12</f>
        <v>4.4026999999999994</v>
      </c>
      <c r="L33" s="847">
        <f>'4'!L12</f>
        <v>4.7051999999999996</v>
      </c>
      <c r="M33" s="847">
        <f>'4'!M12</f>
        <v>4.5066000000000006</v>
      </c>
      <c r="N33" s="847">
        <f>'4'!N12</f>
        <v>4.6623000000000001</v>
      </c>
      <c r="O33" s="847">
        <f>'4'!O12</f>
        <v>5.3404999999999996</v>
      </c>
      <c r="P33" s="847">
        <f>'4'!P12</f>
        <v>5.4373000000000005</v>
      </c>
      <c r="Q33" s="847">
        <f>'4'!Q12</f>
        <v>5.3244999999999996</v>
      </c>
      <c r="R33" s="847">
        <f>'4'!R12</f>
        <v>5.5273999999999992</v>
      </c>
      <c r="S33" s="847">
        <f>'4'!S12</f>
        <v>5.5691000000000006</v>
      </c>
      <c r="T33" s="847">
        <f>'4'!T12</f>
        <v>5.5202999999999998</v>
      </c>
      <c r="U33" s="847">
        <f>'4'!U12</f>
        <v>5.3418000000000001</v>
      </c>
      <c r="V33" s="847">
        <f>'4'!V12</f>
        <v>5.3758999999999997</v>
      </c>
      <c r="W33" s="847">
        <f>'4'!W12</f>
        <v>5.6543000000000001</v>
      </c>
      <c r="X33" s="847">
        <f>'4'!X12</f>
        <v>5.5916999999999994</v>
      </c>
      <c r="Y33" s="847">
        <f>'4'!Y12</f>
        <v>5.6592000000000002</v>
      </c>
      <c r="Z33" s="847">
        <f>'4'!Z12</f>
        <v>5.9163000000000006</v>
      </c>
      <c r="AA33" s="847">
        <f>'4'!AA12</f>
        <v>6.1849999999999996</v>
      </c>
      <c r="AB33" s="847">
        <f>'4'!AB12</f>
        <v>6.2886000000000006</v>
      </c>
      <c r="AC33" s="847">
        <f>'4'!AC12</f>
        <v>6.2012</v>
      </c>
      <c r="AD33" s="847">
        <f>'4'!AD12</f>
        <v>6.1053999999999995</v>
      </c>
      <c r="AE33" s="847">
        <f>'4'!AE12</f>
        <v>6.0748999999999995</v>
      </c>
      <c r="AF33" s="847">
        <f>'4'!AF12</f>
        <v>6.0261120000000004</v>
      </c>
      <c r="AG33" s="847">
        <f>'4'!AG12</f>
        <v>5.9138000000000002</v>
      </c>
      <c r="AH33" s="847">
        <f>'4'!AH12</f>
        <v>5.8369</v>
      </c>
      <c r="AI33" s="847">
        <f>'4'!AI12</f>
        <v>5.6921999999999997</v>
      </c>
      <c r="AJ33" s="847">
        <f>'4'!AJ12</f>
        <v>5.6749999999999998</v>
      </c>
      <c r="AK33" s="848">
        <f>'4'!AK12</f>
        <v>5.6592895448422063</v>
      </c>
    </row>
    <row r="34" spans="1:58">
      <c r="A34" s="5" t="str">
        <f>'4'!A13</f>
        <v>Bioenergie</v>
      </c>
      <c r="B34" s="847">
        <f>'4'!B13</f>
        <v>5.1499999999999997E-2</v>
      </c>
      <c r="C34" s="847">
        <f>'4'!C13</f>
        <v>0.10180000000000002</v>
      </c>
      <c r="D34" s="847">
        <f>'4'!D13</f>
        <v>9.1999999999999998E-2</v>
      </c>
      <c r="E34" s="847">
        <f>'4'!E13</f>
        <v>0.104</v>
      </c>
      <c r="F34" s="847">
        <f>'4'!F13</f>
        <v>0.19034999999999999</v>
      </c>
      <c r="G34" s="847">
        <f>'4'!G13</f>
        <v>0.3029</v>
      </c>
      <c r="H34" s="847">
        <f>'4'!H13</f>
        <v>0.48410000000000003</v>
      </c>
      <c r="I34" s="847">
        <f>'4'!I13</f>
        <v>0.69415000000000004</v>
      </c>
      <c r="J34" s="847">
        <f>'4'!J13</f>
        <v>0.99650000000000005</v>
      </c>
      <c r="K34" s="847">
        <f>'4'!K13</f>
        <v>1.4958</v>
      </c>
      <c r="L34" s="847">
        <f>'4'!L13</f>
        <v>1.5045500000000001</v>
      </c>
      <c r="M34" s="847">
        <f>'4'!M13</f>
        <v>1.9579500000000001</v>
      </c>
      <c r="N34" s="847">
        <f>'4'!N13</f>
        <v>2.7085500000000002</v>
      </c>
      <c r="O34" s="847">
        <f>'4'!O13</f>
        <v>3.5870500000000001</v>
      </c>
      <c r="P34" s="847">
        <f>'4'!P13</f>
        <v>4.4988999999999999</v>
      </c>
      <c r="Q34" s="847">
        <f>'4'!Q13</f>
        <v>4.8450499999999996</v>
      </c>
      <c r="R34" s="847">
        <f>'4'!R13</f>
        <v>5.2863000000000007</v>
      </c>
      <c r="S34" s="847">
        <f>'4'!S13</f>
        <v>5.4412500000000001</v>
      </c>
      <c r="T34" s="847">
        <f>'4'!T13</f>
        <v>5.9663500000000003</v>
      </c>
      <c r="U34" s="847">
        <f>'4'!U13</f>
        <v>7.5567199999999994</v>
      </c>
      <c r="V34" s="847">
        <f>'4'!V13</f>
        <v>9.4400899999999996</v>
      </c>
      <c r="W34" s="847">
        <f>'4'!W13</f>
        <v>10.8324</v>
      </c>
      <c r="X34" s="847">
        <f>'4'!X13</f>
        <v>12.487</v>
      </c>
      <c r="Y34" s="847">
        <f>'4'!Y13</f>
        <v>17.090199999999999</v>
      </c>
      <c r="Z34" s="847">
        <f>'4'!Z13</f>
        <v>18.732599999999998</v>
      </c>
      <c r="AA34" s="847">
        <f>'4'!AA13</f>
        <v>19.395700000000001</v>
      </c>
      <c r="AB34" s="847">
        <f>'4'!AB13</f>
        <v>19.508599999999998</v>
      </c>
      <c r="AC34" s="966">
        <f>'4'!AC13+AC12</f>
        <v>19.394600000000001</v>
      </c>
      <c r="AD34" s="966">
        <f>'4'!AD13+AD12</f>
        <v>19.2026</v>
      </c>
      <c r="AE34" s="847">
        <f>'4'!AE13</f>
        <v>19.562699999999996</v>
      </c>
      <c r="AF34" s="847">
        <f>'4'!AF13</f>
        <v>19.633800000000001</v>
      </c>
      <c r="AG34" s="847">
        <f>'4'!AG13</f>
        <v>19.070779999999999</v>
      </c>
      <c r="AH34" s="847">
        <f>'4'!AH13</f>
        <v>17.6158</v>
      </c>
      <c r="AI34" s="847">
        <f>'4'!AI13</f>
        <v>16.017499999999998</v>
      </c>
      <c r="AJ34" s="847">
        <f>'4'!AJ13</f>
        <v>17.236709999999999</v>
      </c>
      <c r="AK34" s="848">
        <f>'4'!AK13</f>
        <v>18.117104498137053</v>
      </c>
    </row>
    <row r="35" spans="1:58">
      <c r="A35" s="5" t="s">
        <v>565</v>
      </c>
      <c r="B35" s="847">
        <f>'2'!B13</f>
        <v>0</v>
      </c>
      <c r="C35" s="847">
        <f>'2'!C13</f>
        <v>0</v>
      </c>
      <c r="D35" s="847">
        <f>'2'!D13</f>
        <v>0</v>
      </c>
      <c r="E35" s="847">
        <f>'2'!E13</f>
        <v>0</v>
      </c>
      <c r="F35" s="847">
        <f>'2'!F13</f>
        <v>0</v>
      </c>
      <c r="G35" s="847">
        <f>'2'!G13</f>
        <v>0</v>
      </c>
      <c r="H35" s="847">
        <f>'2'!H13</f>
        <v>0</v>
      </c>
      <c r="I35" s="847">
        <f>'2'!I13</f>
        <v>0</v>
      </c>
      <c r="J35" s="847">
        <f>'2'!J13</f>
        <v>0</v>
      </c>
      <c r="K35" s="847">
        <f>'2'!K13</f>
        <v>0</v>
      </c>
      <c r="L35" s="847">
        <f>'2'!L13</f>
        <v>0</v>
      </c>
      <c r="M35" s="847">
        <f>'2'!M13</f>
        <v>0</v>
      </c>
      <c r="N35" s="847">
        <f>'2'!N13</f>
        <v>0</v>
      </c>
      <c r="O35" s="847">
        <f>'2'!O13</f>
        <v>0</v>
      </c>
      <c r="P35" s="847">
        <f>'2'!P13</f>
        <v>0</v>
      </c>
      <c r="Q35" s="847">
        <f>'2'!Q13</f>
        <v>0</v>
      </c>
      <c r="R35" s="847">
        <f>'2'!R13</f>
        <v>0</v>
      </c>
      <c r="S35" s="847">
        <f>'2'!S13</f>
        <v>0</v>
      </c>
      <c r="T35" s="847">
        <f>'2'!T13</f>
        <v>0</v>
      </c>
      <c r="U35" s="847">
        <f>'2'!U13</f>
        <v>0</v>
      </c>
      <c r="V35" s="847">
        <f>'2'!V13</f>
        <v>0</v>
      </c>
      <c r="W35" s="847">
        <f>'2'!W13</f>
        <v>0</v>
      </c>
      <c r="X35" s="847">
        <f>'2'!X13</f>
        <v>0</v>
      </c>
      <c r="Y35" s="847">
        <f>'2'!Y13</f>
        <v>0</v>
      </c>
      <c r="Z35" s="847">
        <f>'2'!Z13</f>
        <v>0</v>
      </c>
      <c r="AA35" s="847">
        <f>'2'!AA13</f>
        <v>0</v>
      </c>
      <c r="AB35" s="847">
        <f>'2'!AB13</f>
        <v>0</v>
      </c>
      <c r="AC35" s="847">
        <f>'2'!AC13</f>
        <v>0</v>
      </c>
      <c r="AD35" s="847">
        <f>'2'!AD13</f>
        <v>0</v>
      </c>
      <c r="AE35" s="847">
        <f>'2'!AE13</f>
        <v>0</v>
      </c>
      <c r="AF35" s="847">
        <f>'2'!AF13</f>
        <v>0</v>
      </c>
      <c r="AG35" s="847">
        <f>'2'!AG13</f>
        <v>0</v>
      </c>
      <c r="AH35" s="966">
        <f>'2'!AH13</f>
        <v>0</v>
      </c>
      <c r="AI35" s="966">
        <f>'2'!AI13</f>
        <v>8.4000000000000012E-3</v>
      </c>
      <c r="AJ35" s="966">
        <f>'2'!AJ13</f>
        <v>0.13589999999999999</v>
      </c>
      <c r="AK35" s="848">
        <f>'2'!AK13</f>
        <v>1.6914058901206892</v>
      </c>
      <c r="AM35" s="97"/>
      <c r="AN35" s="787"/>
    </row>
    <row r="36" spans="1:58">
      <c r="A36" s="662" t="s">
        <v>670</v>
      </c>
      <c r="B36" s="850">
        <f>SUM(B22:B35)-B23</f>
        <v>216.60000000000002</v>
      </c>
      <c r="C36" s="850">
        <f t="shared" ref="C36:AJ36" si="7">SUM(C22:C35)-C23</f>
        <v>221.81649999999996</v>
      </c>
      <c r="D36" s="850">
        <f t="shared" si="7"/>
        <v>226.25400000000005</v>
      </c>
      <c r="E36" s="850">
        <f t="shared" si="7"/>
        <v>222.80199999999999</v>
      </c>
      <c r="F36" s="850">
        <f t="shared" si="7"/>
        <v>231.81270000000001</v>
      </c>
      <c r="G36" s="850">
        <f t="shared" si="7"/>
        <v>241.48829999999995</v>
      </c>
      <c r="H36" s="850">
        <f t="shared" si="7"/>
        <v>244.43170000000006</v>
      </c>
      <c r="I36" s="850">
        <f t="shared" si="7"/>
        <v>251.46979999999999</v>
      </c>
      <c r="J36" s="850">
        <f t="shared" si="7"/>
        <v>259.79399999999998</v>
      </c>
      <c r="K36" s="850">
        <f t="shared" si="7"/>
        <v>265.65919999999994</v>
      </c>
      <c r="L36" s="850">
        <f t="shared" si="7"/>
        <v>276.64210000000003</v>
      </c>
      <c r="M36" s="850">
        <f t="shared" si="7"/>
        <v>279.0086</v>
      </c>
      <c r="N36" s="850">
        <f t="shared" si="7"/>
        <v>285.27680000000004</v>
      </c>
      <c r="O36" s="850">
        <f t="shared" si="7"/>
        <v>293.88389999999998</v>
      </c>
      <c r="P36" s="850">
        <f t="shared" si="7"/>
        <v>303.34819999999996</v>
      </c>
      <c r="Q36" s="850">
        <f t="shared" si="7"/>
        <v>303.6979</v>
      </c>
      <c r="R36" s="850">
        <f t="shared" si="7"/>
        <v>314.12289999999996</v>
      </c>
      <c r="S36" s="850">
        <f t="shared" si="7"/>
        <v>313.88800000000003</v>
      </c>
      <c r="T36" s="850">
        <f t="shared" si="7"/>
        <v>319.12960000000004</v>
      </c>
      <c r="U36" s="850">
        <f t="shared" si="7"/>
        <v>292.64259999999996</v>
      </c>
      <c r="V36" s="850">
        <f t="shared" si="7"/>
        <v>302.06208000000004</v>
      </c>
      <c r="W36" s="850">
        <f t="shared" si="7"/>
        <v>302.58045999999996</v>
      </c>
      <c r="X36" s="850">
        <f t="shared" si="7"/>
        <v>299.27620000000002</v>
      </c>
      <c r="Y36" s="850">
        <f t="shared" si="7"/>
        <v>289.8039</v>
      </c>
      <c r="Z36" s="850">
        <f t="shared" si="7"/>
        <v>279.82820000000004</v>
      </c>
      <c r="AA36" s="850">
        <f t="shared" si="7"/>
        <v>282.99399999999997</v>
      </c>
      <c r="AB36" s="850">
        <f t="shared" si="7"/>
        <v>289.76819999999998</v>
      </c>
      <c r="AC36" s="850">
        <f t="shared" si="7"/>
        <v>295.829993172</v>
      </c>
      <c r="AD36" s="850">
        <f t="shared" si="7"/>
        <v>289.70845972702</v>
      </c>
      <c r="AE36" s="850">
        <f t="shared" si="7"/>
        <v>293.85318719754002</v>
      </c>
      <c r="AF36" s="850">
        <f t="shared" si="7"/>
        <v>280.53101400000003</v>
      </c>
      <c r="AG36" s="850">
        <f t="shared" si="7"/>
        <v>289.06950605539998</v>
      </c>
      <c r="AH36" s="850">
        <f t="shared" si="7"/>
        <v>283.95313216483004</v>
      </c>
      <c r="AI36" s="850">
        <f t="shared" si="7"/>
        <v>264.70822462643901</v>
      </c>
      <c r="AJ36" s="850">
        <f t="shared" si="7"/>
        <v>270.9631241096119</v>
      </c>
      <c r="AK36" s="851">
        <f>SUM(AK22:AK35)-AK23</f>
        <v>277.66688938778816</v>
      </c>
    </row>
    <row r="37" spans="1:58">
      <c r="A37" s="662" t="s">
        <v>616</v>
      </c>
      <c r="B37" s="850">
        <f>SUM(B22:B29,B31:B34)-B23</f>
        <v>213.14700000000002</v>
      </c>
      <c r="C37" s="850">
        <f t="shared" ref="C37:AI37" si="8">SUM(C22:C29,C31:C34)-C23</f>
        <v>218.44949999999997</v>
      </c>
      <c r="D37" s="850">
        <f t="shared" si="8"/>
        <v>222.66800000000003</v>
      </c>
      <c r="E37" s="850">
        <f t="shared" si="8"/>
        <v>219.74499999999998</v>
      </c>
      <c r="F37" s="850">
        <f t="shared" si="8"/>
        <v>228.7397</v>
      </c>
      <c r="G37" s="850">
        <f t="shared" si="8"/>
        <v>237.36329999999995</v>
      </c>
      <c r="H37" s="850">
        <f t="shared" si="8"/>
        <v>239.39670000000007</v>
      </c>
      <c r="I37" s="850">
        <f t="shared" si="8"/>
        <v>246.52079999999998</v>
      </c>
      <c r="J37" s="850">
        <f t="shared" si="8"/>
        <v>253.64899999999997</v>
      </c>
      <c r="K37" s="850">
        <f t="shared" si="8"/>
        <v>259.24719999999996</v>
      </c>
      <c r="L37" s="850">
        <f t="shared" si="8"/>
        <v>269.94210000000004</v>
      </c>
      <c r="M37" s="850">
        <f t="shared" si="8"/>
        <v>271.89359999999999</v>
      </c>
      <c r="N37" s="850">
        <f t="shared" si="8"/>
        <v>277.53380000000004</v>
      </c>
      <c r="O37" s="850">
        <f t="shared" si="8"/>
        <v>286.27689999999996</v>
      </c>
      <c r="P37" s="850">
        <f t="shared" si="8"/>
        <v>295.77819999999997</v>
      </c>
      <c r="Q37" s="850">
        <f t="shared" si="8"/>
        <v>296.83789999999999</v>
      </c>
      <c r="R37" s="850">
        <f t="shared" si="8"/>
        <v>307.69189999999998</v>
      </c>
      <c r="S37" s="850">
        <f t="shared" si="8"/>
        <v>308.22200000000004</v>
      </c>
      <c r="T37" s="850">
        <f t="shared" si="8"/>
        <v>313.5256</v>
      </c>
      <c r="U37" s="850">
        <f t="shared" si="8"/>
        <v>288.33759999999995</v>
      </c>
      <c r="V37" s="850">
        <f t="shared" si="8"/>
        <v>298.77208000000002</v>
      </c>
      <c r="W37" s="850">
        <f t="shared" si="8"/>
        <v>300.64645999999999</v>
      </c>
      <c r="X37" s="850">
        <f t="shared" si="8"/>
        <v>297.29719999999998</v>
      </c>
      <c r="Y37" s="850">
        <f t="shared" si="8"/>
        <v>287.90589999999997</v>
      </c>
      <c r="Z37" s="850">
        <f t="shared" si="8"/>
        <v>278.11720000000003</v>
      </c>
      <c r="AA37" s="850">
        <f t="shared" si="8"/>
        <v>281.56189999999998</v>
      </c>
      <c r="AB37" s="850">
        <f t="shared" si="8"/>
        <v>287.94299999999998</v>
      </c>
      <c r="AC37" s="850">
        <f t="shared" si="8"/>
        <v>294.00399317200009</v>
      </c>
      <c r="AD37" s="850">
        <f t="shared" si="8"/>
        <v>287.99215972702001</v>
      </c>
      <c r="AE37" s="850">
        <f t="shared" si="8"/>
        <v>292.01818719754004</v>
      </c>
      <c r="AF37" s="850">
        <f t="shared" si="8"/>
        <v>278.58754300000004</v>
      </c>
      <c r="AG37" s="850">
        <f t="shared" si="8"/>
        <v>286.9793060554</v>
      </c>
      <c r="AH37" s="850">
        <f t="shared" si="8"/>
        <v>282.05993216483</v>
      </c>
      <c r="AI37" s="850">
        <f t="shared" si="8"/>
        <v>263.14882462643902</v>
      </c>
      <c r="AJ37" s="850">
        <f>SUM(AJ22:AJ29,AJ31:AJ34)-AJ23</f>
        <v>269.20102410961192</v>
      </c>
      <c r="AK37" s="851">
        <f>SUM(AK22:AK29,AK31:AK34)-AK23</f>
        <v>274.15829434931584</v>
      </c>
    </row>
    <row r="38" spans="1:58">
      <c r="A38" s="79" t="s">
        <v>841</v>
      </c>
      <c r="B38" s="847">
        <v>102.71899999999999</v>
      </c>
      <c r="C38" s="847">
        <v>104.28700000000001</v>
      </c>
      <c r="D38" s="847">
        <v>116.02</v>
      </c>
      <c r="E38" s="847">
        <v>113.919</v>
      </c>
      <c r="F38" s="847">
        <v>116.312</v>
      </c>
      <c r="G38" s="847">
        <v>120.8</v>
      </c>
      <c r="H38" s="847">
        <v>117.08799999999999</v>
      </c>
      <c r="I38" s="847">
        <v>113.312</v>
      </c>
      <c r="J38" s="847">
        <v>107.30500000000001</v>
      </c>
      <c r="K38" s="847">
        <v>91.379000000000005</v>
      </c>
      <c r="L38" s="847">
        <v>81.962000000000003</v>
      </c>
      <c r="M38" s="847">
        <v>66.728599999999986</v>
      </c>
      <c r="N38" s="847">
        <v>77.744599999999991</v>
      </c>
      <c r="O38" s="847">
        <v>65.751999999999995</v>
      </c>
      <c r="P38" s="847">
        <v>47.252600000000001</v>
      </c>
      <c r="Q38" s="847">
        <v>35.846299999999992</v>
      </c>
      <c r="R38" s="847">
        <v>33.830400000000004</v>
      </c>
      <c r="S38" s="847">
        <v>22.865399999999998</v>
      </c>
      <c r="T38" s="847">
        <v>19.194900000000001</v>
      </c>
      <c r="U38" s="847">
        <v>15.8782</v>
      </c>
      <c r="V38" s="847">
        <v>9.9077999999999999</v>
      </c>
      <c r="W38" s="847">
        <v>8.4736000000000011</v>
      </c>
      <c r="X38" s="847">
        <v>7.022800000000001</v>
      </c>
      <c r="Y38" s="847">
        <v>5.4178999999999995</v>
      </c>
      <c r="Z38" s="847">
        <v>4.7642000000000007</v>
      </c>
      <c r="AA38" s="847">
        <v>5.620400000000001</v>
      </c>
      <c r="AB38" s="847">
        <v>4.1265000000000001</v>
      </c>
      <c r="AC38" s="847">
        <v>4.09889051671</v>
      </c>
      <c r="AD38" s="966">
        <v>3.3387815341000002</v>
      </c>
      <c r="AE38" s="847">
        <v>3.4531651303699999</v>
      </c>
      <c r="AF38" s="847">
        <v>3.1748348764500003</v>
      </c>
      <c r="AG38" s="847">
        <v>3.8512389143499997</v>
      </c>
      <c r="AH38" s="847">
        <v>4.9532112439599993</v>
      </c>
      <c r="AI38" s="847">
        <v>3.6225269058969065</v>
      </c>
      <c r="AJ38" s="847">
        <v>2.5270299559479286</v>
      </c>
      <c r="AK38" s="848">
        <v>2.2864275438471475</v>
      </c>
    </row>
    <row r="39" spans="1:58" ht="18.5">
      <c r="A39" s="79" t="s">
        <v>831</v>
      </c>
      <c r="B39" s="847">
        <v>7.2195</v>
      </c>
      <c r="C39" s="847">
        <v>7.1491999999999996</v>
      </c>
      <c r="D39" s="847">
        <v>7.6420000000000003</v>
      </c>
      <c r="E39" s="847">
        <v>7.05</v>
      </c>
      <c r="F39" s="847">
        <v>6.5576499999999998</v>
      </c>
      <c r="G39" s="847">
        <v>8.0260999999999996</v>
      </c>
      <c r="H39" s="847">
        <v>8.7439</v>
      </c>
      <c r="I39" s="847">
        <v>10.014850000000001</v>
      </c>
      <c r="J39" s="847">
        <v>11.6235</v>
      </c>
      <c r="K39" s="847">
        <v>11.809200000000001</v>
      </c>
      <c r="L39" s="847">
        <v>16.05725</v>
      </c>
      <c r="M39" s="847">
        <v>21.891249999999999</v>
      </c>
      <c r="N39" s="847">
        <v>24.35585</v>
      </c>
      <c r="O39" s="847">
        <v>24.939349999999997</v>
      </c>
      <c r="P39" s="847">
        <v>26.6556</v>
      </c>
      <c r="Q39" s="847">
        <v>26.376049999999999</v>
      </c>
      <c r="R39" s="847">
        <v>27.192499999999999</v>
      </c>
      <c r="S39" s="847">
        <v>26.36553</v>
      </c>
      <c r="T39" s="847">
        <v>25.999749999999999</v>
      </c>
      <c r="U39" s="847">
        <v>20.493680000000001</v>
      </c>
      <c r="V39" s="847">
        <v>22.719009999999997</v>
      </c>
      <c r="W39" s="847">
        <v>21.871399999999998</v>
      </c>
      <c r="X39" s="847">
        <v>21.831499999999998</v>
      </c>
      <c r="Y39" s="847">
        <v>18.397599999999997</v>
      </c>
      <c r="Z39" s="847">
        <v>17.293000000000003</v>
      </c>
      <c r="AA39" s="847">
        <v>14.408099999999996</v>
      </c>
      <c r="AB39" s="847">
        <v>15.863900000000001</v>
      </c>
      <c r="AC39" s="847">
        <v>14.856694089455001</v>
      </c>
      <c r="AD39" s="966">
        <v>14.947517108380001</v>
      </c>
      <c r="AE39" s="847">
        <v>14.026568218460003</v>
      </c>
      <c r="AF39" s="847">
        <v>13.379151816569999</v>
      </c>
      <c r="AG39" s="847">
        <v>10.859423158344995</v>
      </c>
      <c r="AH39" s="847">
        <v>14.481952432074998</v>
      </c>
      <c r="AI39" s="847">
        <v>12.292299313617685</v>
      </c>
      <c r="AJ39" s="847">
        <v>11.440504388513643</v>
      </c>
      <c r="AK39" s="848">
        <v>11.145127723678437</v>
      </c>
    </row>
    <row r="40" spans="1:58" ht="18.5">
      <c r="A40" s="1044" t="s">
        <v>834</v>
      </c>
    </row>
    <row r="41" spans="1:58">
      <c r="B41" s="979">
        <f>+B38+B39-B26-B27-B28-B25</f>
        <v>3.4529999999999967</v>
      </c>
      <c r="C41" s="979">
        <f t="shared" ref="C41:AK41" si="9">+C38+C39-C26-C27-C28-C25</f>
        <v>3.3669999999999933</v>
      </c>
      <c r="D41" s="979">
        <f t="shared" si="9"/>
        <v>3.5859999999999799</v>
      </c>
      <c r="E41" s="979">
        <f t="shared" si="9"/>
        <v>3.0569999999999884</v>
      </c>
      <c r="F41" s="979">
        <f t="shared" si="9"/>
        <v>3.0729999999999933</v>
      </c>
      <c r="G41" s="979">
        <f t="shared" si="9"/>
        <v>4.125</v>
      </c>
      <c r="H41" s="979">
        <f t="shared" si="9"/>
        <v>5.0349999999999682</v>
      </c>
      <c r="I41" s="979">
        <f t="shared" si="9"/>
        <v>4.9490000000000114</v>
      </c>
      <c r="J41" s="979">
        <f t="shared" si="9"/>
        <v>6.1450000000000031</v>
      </c>
      <c r="K41" s="979">
        <f t="shared" si="9"/>
        <v>6.4119999999999937</v>
      </c>
      <c r="L41" s="979">
        <f t="shared" si="9"/>
        <v>6.7000000000000055</v>
      </c>
      <c r="M41" s="979">
        <f t="shared" si="9"/>
        <v>7.1162999999999705</v>
      </c>
      <c r="N41" s="979">
        <f t="shared" si="9"/>
        <v>7.7428000000000123</v>
      </c>
      <c r="O41" s="979">
        <f t="shared" si="9"/>
        <v>7.6073999999999895</v>
      </c>
      <c r="P41" s="979">
        <f t="shared" si="9"/>
        <v>7.569600000000003</v>
      </c>
      <c r="Q41" s="979">
        <f t="shared" si="9"/>
        <v>6.8599999999999763</v>
      </c>
      <c r="R41" s="979">
        <f t="shared" si="9"/>
        <v>6.4310000000000223</v>
      </c>
      <c r="S41" s="979">
        <f t="shared" si="9"/>
        <v>5.6659799999999843</v>
      </c>
      <c r="T41" s="979">
        <f t="shared" si="9"/>
        <v>5.6039999999999992</v>
      </c>
      <c r="U41" s="979">
        <f t="shared" si="9"/>
        <v>4.3050000000000264</v>
      </c>
      <c r="V41" s="979">
        <f t="shared" si="9"/>
        <v>3.2900000000000142</v>
      </c>
      <c r="W41" s="979">
        <f t="shared" si="9"/>
        <v>1.9340000000000082</v>
      </c>
      <c r="X41" s="979">
        <f t="shared" si="9"/>
        <v>1.979000000000017</v>
      </c>
      <c r="Y41" s="979">
        <f t="shared" si="9"/>
        <v>1.8979999999999859</v>
      </c>
      <c r="Z41" s="979">
        <f t="shared" si="9"/>
        <v>1.7109999999999639</v>
      </c>
      <c r="AA41" s="979">
        <f t="shared" si="9"/>
        <v>1.4320999999999615</v>
      </c>
      <c r="AB41" s="979">
        <f t="shared" si="9"/>
        <v>1.8251999999999908</v>
      </c>
      <c r="AC41" s="979">
        <f t="shared" si="9"/>
        <v>1.8260018482450002</v>
      </c>
      <c r="AD41" s="979">
        <f t="shared" si="9"/>
        <v>1.7163013734500017</v>
      </c>
      <c r="AE41" s="979">
        <f t="shared" si="9"/>
        <v>1.8349972470300249</v>
      </c>
      <c r="AF41" s="979">
        <f t="shared" si="9"/>
        <v>1.943471482750035</v>
      </c>
      <c r="AG41" s="979">
        <f t="shared" si="9"/>
        <v>2.0902049288349591</v>
      </c>
      <c r="AH41" s="979">
        <f t="shared" si="9"/>
        <v>1.8931959853849931</v>
      </c>
      <c r="AI41" s="979">
        <f t="shared" si="9"/>
        <v>1.5510029312573759</v>
      </c>
      <c r="AJ41" s="979">
        <f t="shared" si="9"/>
        <v>1.6261994303508902</v>
      </c>
      <c r="AK41" s="979">
        <f t="shared" si="9"/>
        <v>1.8171887154433093</v>
      </c>
    </row>
    <row r="42" spans="1:58">
      <c r="B42" s="991">
        <f>B36-'1'!B6</f>
        <v>0</v>
      </c>
      <c r="C42" s="991">
        <f>C36-'1'!C6</f>
        <v>0</v>
      </c>
      <c r="D42" s="991">
        <f>D36-'1'!D6</f>
        <v>0</v>
      </c>
      <c r="E42" s="991">
        <f>E36-'1'!E6</f>
        <v>0</v>
      </c>
      <c r="F42" s="991">
        <f>F36-'1'!F6</f>
        <v>0</v>
      </c>
      <c r="G42" s="991">
        <f>G36-'1'!G6</f>
        <v>0</v>
      </c>
      <c r="H42" s="991">
        <f>H36-'1'!H6</f>
        <v>0</v>
      </c>
      <c r="I42" s="991">
        <f>I36-'1'!I6</f>
        <v>0</v>
      </c>
      <c r="J42" s="991">
        <f>J36-'1'!J6</f>
        <v>0</v>
      </c>
      <c r="K42" s="991">
        <f>K36-'1'!K6</f>
        <v>0</v>
      </c>
      <c r="L42" s="991">
        <f>L36-'1'!L6</f>
        <v>0</v>
      </c>
      <c r="M42" s="991">
        <f>M36-'1'!M6</f>
        <v>0</v>
      </c>
      <c r="N42" s="991">
        <f>N36-'1'!N6</f>
        <v>0</v>
      </c>
      <c r="O42" s="991">
        <f>O36-'1'!O6</f>
        <v>0</v>
      </c>
      <c r="P42" s="991">
        <f>P36-'1'!P6</f>
        <v>0</v>
      </c>
      <c r="Q42" s="991">
        <f>Q36-'1'!Q6</f>
        <v>0</v>
      </c>
      <c r="R42" s="991">
        <f>R36-'1'!R6</f>
        <v>0</v>
      </c>
      <c r="S42" s="991">
        <f>S36-'1'!S6</f>
        <v>0</v>
      </c>
      <c r="T42" s="991">
        <f>T36-'1'!T6</f>
        <v>0</v>
      </c>
      <c r="U42" s="991">
        <f>U36-'1'!U6</f>
        <v>0</v>
      </c>
      <c r="V42" s="991">
        <f>V36-'1'!V6</f>
        <v>0</v>
      </c>
      <c r="W42" s="991">
        <f>W36-'1'!W6</f>
        <v>0</v>
      </c>
      <c r="X42" s="991">
        <f>X36-'1'!X6</f>
        <v>0</v>
      </c>
      <c r="Y42" s="991">
        <f>Y36-'1'!Y6</f>
        <v>0</v>
      </c>
      <c r="Z42" s="991">
        <f>Z36-'1'!Z6</f>
        <v>0</v>
      </c>
      <c r="AA42" s="991">
        <f>AA36-'1'!AA6</f>
        <v>0</v>
      </c>
      <c r="AB42" s="991">
        <f>AB36-'1'!AB6</f>
        <v>0</v>
      </c>
      <c r="AC42" s="991">
        <f>AC36-'1'!AC6</f>
        <v>0</v>
      </c>
      <c r="AD42" s="991">
        <f>AD36-'1'!AD6</f>
        <v>0</v>
      </c>
      <c r="AE42" s="991">
        <f>AE36-'1'!AE6</f>
        <v>0</v>
      </c>
      <c r="AF42" s="991">
        <f>AF36-'1'!AF6</f>
        <v>0</v>
      </c>
      <c r="AG42" s="991">
        <f>AG36-'1'!AG6</f>
        <v>0</v>
      </c>
      <c r="AH42" s="991">
        <f>AH36-'1'!AH6</f>
        <v>0</v>
      </c>
      <c r="AI42" s="991">
        <f>AI36-'1'!AI6</f>
        <v>0</v>
      </c>
      <c r="AJ42" s="991">
        <f>AJ36-'1'!AJ6</f>
        <v>0</v>
      </c>
      <c r="AK42" s="991">
        <f>AK36-'1'!AK6</f>
        <v>0</v>
      </c>
    </row>
    <row r="43" spans="1:58">
      <c r="A43" s="792" t="s">
        <v>621</v>
      </c>
      <c r="B43" s="961"/>
      <c r="C43" s="961"/>
      <c r="D43" s="961"/>
      <c r="E43" s="961"/>
      <c r="F43" s="961"/>
      <c r="G43" s="961"/>
      <c r="H43" s="961"/>
      <c r="I43" s="961"/>
      <c r="J43" s="961"/>
      <c r="K43" s="961"/>
      <c r="L43" s="961"/>
      <c r="M43" s="961"/>
      <c r="N43" s="961"/>
      <c r="O43" s="961"/>
      <c r="P43" s="961"/>
      <c r="Q43" s="961"/>
      <c r="R43" s="963"/>
      <c r="S43" s="963"/>
      <c r="T43" s="963"/>
      <c r="U43" s="963"/>
      <c r="V43" s="963"/>
      <c r="W43" s="963"/>
      <c r="X43" s="963"/>
      <c r="Y43" s="963"/>
      <c r="Z43" s="963"/>
      <c r="AA43" s="963"/>
      <c r="AB43" s="963"/>
      <c r="AC43" s="963"/>
      <c r="AD43" s="963"/>
      <c r="AE43" s="963"/>
      <c r="AF43" s="963"/>
      <c r="AG43" s="963"/>
      <c r="AH43" s="963"/>
      <c r="AI43" s="963"/>
      <c r="AJ43" s="963"/>
      <c r="AK43" s="963"/>
      <c r="AN43" s="1004">
        <f>'7'!AQ4</f>
        <v>2025</v>
      </c>
      <c r="AW43" s="792" t="s">
        <v>768</v>
      </c>
      <c r="BC43" s="792" t="s">
        <v>769</v>
      </c>
    </row>
    <row r="44" spans="1:58">
      <c r="A44" s="791" t="s">
        <v>0</v>
      </c>
      <c r="B44" s="662">
        <f>B21</f>
        <v>1990</v>
      </c>
      <c r="C44" s="662">
        <f t="shared" ref="C44:AI44" si="10">C21</f>
        <v>1991</v>
      </c>
      <c r="D44" s="662">
        <f t="shared" si="10"/>
        <v>1992</v>
      </c>
      <c r="E44" s="662">
        <f t="shared" si="10"/>
        <v>1993</v>
      </c>
      <c r="F44" s="662">
        <f t="shared" si="10"/>
        <v>1994</v>
      </c>
      <c r="G44" s="662">
        <f t="shared" si="10"/>
        <v>1995</v>
      </c>
      <c r="H44" s="662">
        <f t="shared" si="10"/>
        <v>1996</v>
      </c>
      <c r="I44" s="662">
        <f t="shared" si="10"/>
        <v>1997</v>
      </c>
      <c r="J44" s="662">
        <f t="shared" si="10"/>
        <v>1998</v>
      </c>
      <c r="K44" s="662">
        <f t="shared" si="10"/>
        <v>1999</v>
      </c>
      <c r="L44" s="662">
        <f t="shared" si="10"/>
        <v>2000</v>
      </c>
      <c r="M44" s="662">
        <f t="shared" si="10"/>
        <v>2001</v>
      </c>
      <c r="N44" s="662">
        <f t="shared" si="10"/>
        <v>2002</v>
      </c>
      <c r="O44" s="662">
        <f t="shared" si="10"/>
        <v>2003</v>
      </c>
      <c r="P44" s="662">
        <f t="shared" si="10"/>
        <v>2004</v>
      </c>
      <c r="Q44" s="662">
        <f t="shared" si="10"/>
        <v>2005</v>
      </c>
      <c r="R44" s="662">
        <f t="shared" si="10"/>
        <v>2006</v>
      </c>
      <c r="S44" s="662">
        <f t="shared" si="10"/>
        <v>2007</v>
      </c>
      <c r="T44" s="662">
        <f t="shared" si="10"/>
        <v>2008</v>
      </c>
      <c r="U44" s="662">
        <f t="shared" si="10"/>
        <v>2009</v>
      </c>
      <c r="V44" s="662">
        <f t="shared" si="10"/>
        <v>2010</v>
      </c>
      <c r="W44" s="662">
        <f t="shared" si="10"/>
        <v>2011</v>
      </c>
      <c r="X44" s="662">
        <f t="shared" si="10"/>
        <v>2012</v>
      </c>
      <c r="Y44" s="662">
        <f t="shared" si="10"/>
        <v>2013</v>
      </c>
      <c r="Z44" s="662">
        <f t="shared" si="10"/>
        <v>2014</v>
      </c>
      <c r="AA44" s="662">
        <f t="shared" si="10"/>
        <v>2015</v>
      </c>
      <c r="AB44" s="662">
        <f t="shared" si="10"/>
        <v>2016</v>
      </c>
      <c r="AC44" s="662">
        <f t="shared" si="10"/>
        <v>2017</v>
      </c>
      <c r="AD44" s="662">
        <f t="shared" si="10"/>
        <v>2018</v>
      </c>
      <c r="AE44" s="662">
        <f t="shared" si="10"/>
        <v>2019</v>
      </c>
      <c r="AF44" s="662">
        <f t="shared" si="10"/>
        <v>2020</v>
      </c>
      <c r="AG44" s="662">
        <f t="shared" si="10"/>
        <v>2021</v>
      </c>
      <c r="AH44" s="662">
        <f t="shared" si="10"/>
        <v>2022</v>
      </c>
      <c r="AI44" s="662">
        <f t="shared" si="10"/>
        <v>2023</v>
      </c>
      <c r="AJ44" s="662">
        <f>AJ21</f>
        <v>2024</v>
      </c>
      <c r="AK44" s="799">
        <f>AK21</f>
        <v>2025</v>
      </c>
      <c r="AN44" s="1044" t="s">
        <v>624</v>
      </c>
      <c r="AO44" s="1039" t="s">
        <v>832</v>
      </c>
      <c r="AP44" s="1045" t="s">
        <v>799</v>
      </c>
      <c r="AQ44" s="2" t="s">
        <v>833</v>
      </c>
      <c r="AT44" s="2" t="s">
        <v>161</v>
      </c>
      <c r="AU44" s="2" t="s">
        <v>800</v>
      </c>
      <c r="AW44" s="1005" t="str">
        <f>Modulo!C9</f>
        <v>FE (kg CO2/MWh)</v>
      </c>
      <c r="AX44" s="1005" t="str">
        <f>Modulo!D26</f>
        <v>GWh immessi*</v>
      </c>
      <c r="AY44" s="1005" t="str">
        <f>Modulo!E26</f>
        <v xml:space="preserve"> K</v>
      </c>
      <c r="AZ44" s="1005" t="str">
        <f>Modulo!F26</f>
        <v>GWh prodotti</v>
      </c>
      <c r="BA44" s="1005" t="str">
        <f>Modulo!G26</f>
        <v>kt CO2</v>
      </c>
      <c r="BB44" s="1044" t="s">
        <v>624</v>
      </c>
      <c r="BC44" s="1005" t="s">
        <v>770</v>
      </c>
      <c r="BD44" s="1005" t="s">
        <v>781</v>
      </c>
      <c r="BE44" s="1005" t="s">
        <v>777</v>
      </c>
    </row>
    <row r="45" spans="1:58">
      <c r="A45" s="5" t="s">
        <v>5</v>
      </c>
      <c r="B45" s="847">
        <v>29.089068730968329</v>
      </c>
      <c r="C45" s="847">
        <v>25.875809976400728</v>
      </c>
      <c r="D45" s="847">
        <v>19.383030351705234</v>
      </c>
      <c r="E45" s="847">
        <v>15.121377850943968</v>
      </c>
      <c r="F45" s="847">
        <v>18.023295432399511</v>
      </c>
      <c r="G45" s="847">
        <v>21.895544541717417</v>
      </c>
      <c r="H45" s="847">
        <v>20.042020706455538</v>
      </c>
      <c r="I45" s="847">
        <v>18.624192973507913</v>
      </c>
      <c r="J45" s="847">
        <v>21.159399668848959</v>
      </c>
      <c r="K45" s="847">
        <v>21.614157475639463</v>
      </c>
      <c r="L45" s="847">
        <v>23.847099999999998</v>
      </c>
      <c r="M45" s="847">
        <v>28.887499999999999</v>
      </c>
      <c r="N45" s="847">
        <v>32.362299999999998</v>
      </c>
      <c r="O45" s="847">
        <v>35.456800000000001</v>
      </c>
      <c r="P45" s="847">
        <v>41.497500000000002</v>
      </c>
      <c r="Q45" s="847">
        <v>39.644300000000001</v>
      </c>
      <c r="R45" s="847">
        <v>40.196100000000001</v>
      </c>
      <c r="S45" s="847">
        <v>40.055399999999992</v>
      </c>
      <c r="T45" s="847">
        <v>39.241599999999998</v>
      </c>
      <c r="U45" s="847">
        <v>35.904400000000003</v>
      </c>
      <c r="V45" s="847">
        <v>35.932099999999998</v>
      </c>
      <c r="W45" s="847">
        <v>40.654900000000005</v>
      </c>
      <c r="X45" s="847">
        <v>44.715900000000005</v>
      </c>
      <c r="Y45" s="847">
        <v>40.810900000000004</v>
      </c>
      <c r="Z45" s="847">
        <v>39.428599999999996</v>
      </c>
      <c r="AA45" s="847">
        <v>39.3155</v>
      </c>
      <c r="AB45" s="847">
        <v>32.385899999999999</v>
      </c>
      <c r="AC45" s="847">
        <v>29.33161341352</v>
      </c>
      <c r="AD45" s="847">
        <v>25.60170346532</v>
      </c>
      <c r="AE45" s="847">
        <v>16.425877285229998</v>
      </c>
      <c r="AF45" s="847">
        <v>11.552686029669999</v>
      </c>
      <c r="AG45" s="847">
        <v>12.52301517061</v>
      </c>
      <c r="AH45" s="847">
        <v>20.350053564950002</v>
      </c>
      <c r="AI45" s="847">
        <v>11.849217893433801</v>
      </c>
      <c r="AJ45" s="966">
        <v>3.4411857397046703</v>
      </c>
      <c r="AK45" s="848">
        <v>2.9261417948422817</v>
      </c>
      <c r="AL45" s="936"/>
      <c r="AM45" s="936">
        <f>HLOOKUP($AN$43,$A$44:$AK$63,2,FALSE)-HLOOKUP($AN$43,$A$44:$AK$63,3,FALSE)</f>
        <v>2.9261417948422817</v>
      </c>
      <c r="AN45" s="2" t="s">
        <v>272</v>
      </c>
      <c r="AO45" s="417">
        <f>HLOOKUP($AN$43,$AN$65:$AS$72,2,FALSE)</f>
        <v>2.9257148239271067</v>
      </c>
      <c r="AP45" s="1046">
        <f>+AO45/$AO$61</f>
        <v>1.2549402220863964E-2</v>
      </c>
      <c r="AQ45" s="417">
        <f t="shared" ref="AQ45:AQ51" si="11">IF(AM45&lt;AO45,0,AM45-AO45)</f>
        <v>4.2697091517496233E-4</v>
      </c>
      <c r="AR45" s="97">
        <f t="shared" ref="AR45:AR51" si="12">AQ45/$AQ$61</f>
        <v>1.25272325133972E-5</v>
      </c>
      <c r="AT45" s="1030">
        <f>AM45-AO45</f>
        <v>4.2697091517496233E-4</v>
      </c>
      <c r="AU45" s="940">
        <f>HLOOKUP($AN$43,$AN$74:$AS$81,2,FALSE)</f>
        <v>9.1499999999999998E-2</v>
      </c>
      <c r="AW45" s="847">
        <f>HLOOKUP($AN$43,'7'!$A$4:$AK$14,3,FALSE)</f>
        <v>862.41226324509501</v>
      </c>
      <c r="AX45" s="806">
        <f t="shared" ref="AX45:AX51" si="13">AQ45*1000</f>
        <v>0.42697091517496233</v>
      </c>
      <c r="AY45" s="838">
        <f>HLOOKUP($AN$43,'3'!$A$68:$AK$87,2,FALSE)</f>
        <v>1.147404935978281</v>
      </c>
      <c r="AZ45" s="998">
        <f>AX45*AY45</f>
        <v>0.48990853559091568</v>
      </c>
      <c r="BA45" s="879">
        <f>AZ45*AW45/1000</f>
        <v>0.42250312896205178</v>
      </c>
      <c r="BB45" s="2" t="s">
        <v>272</v>
      </c>
      <c r="BC45" s="1008">
        <f>AU45*$BC$61*1000</f>
        <v>7242.6271810271655</v>
      </c>
      <c r="BD45" s="1007">
        <f>AY45*BC45</f>
        <v>8310.2261769610323</v>
      </c>
      <c r="BE45" s="879">
        <f>AW45*BD45/1000</f>
        <v>7166.8409653515973</v>
      </c>
    </row>
    <row r="46" spans="1:58">
      <c r="A46" s="819" t="s">
        <v>640</v>
      </c>
      <c r="B46" s="849">
        <v>0.85946666666666671</v>
      </c>
      <c r="C46" s="849">
        <v>0.73553333333333337</v>
      </c>
      <c r="D46" s="849">
        <v>0.6512</v>
      </c>
      <c r="E46" s="849">
        <v>0.52580000000000005</v>
      </c>
      <c r="F46" s="849">
        <v>0.20460000000000003</v>
      </c>
      <c r="G46" s="849">
        <v>0.11146666666666667</v>
      </c>
      <c r="H46" s="849">
        <v>8.3600000000000008E-2</v>
      </c>
      <c r="I46" s="849">
        <v>9.8266666666666683E-2</v>
      </c>
      <c r="J46" s="849">
        <v>0.23760000000000003</v>
      </c>
      <c r="K46" s="849">
        <v>0.19140000000000001</v>
      </c>
      <c r="L46" s="849">
        <v>4.4000000000000003E-3</v>
      </c>
      <c r="M46" s="849">
        <v>2.2000000000000001E-3</v>
      </c>
      <c r="N46" s="849">
        <v>0</v>
      </c>
      <c r="O46" s="849">
        <v>0</v>
      </c>
      <c r="P46" s="849">
        <v>0</v>
      </c>
      <c r="Q46" s="849">
        <v>0</v>
      </c>
      <c r="R46" s="849">
        <v>0</v>
      </c>
      <c r="S46" s="849">
        <v>0</v>
      </c>
      <c r="T46" s="849">
        <v>0</v>
      </c>
      <c r="U46" s="849">
        <v>0</v>
      </c>
      <c r="V46" s="849">
        <v>0</v>
      </c>
      <c r="W46" s="849">
        <v>0</v>
      </c>
      <c r="X46" s="849">
        <v>0</v>
      </c>
      <c r="Y46" s="849">
        <v>0</v>
      </c>
      <c r="Z46" s="849">
        <v>0</v>
      </c>
      <c r="AA46" s="849">
        <v>0</v>
      </c>
      <c r="AB46" s="849">
        <v>0</v>
      </c>
      <c r="AC46" s="849">
        <v>0</v>
      </c>
      <c r="AD46" s="849">
        <v>0</v>
      </c>
      <c r="AE46" s="849">
        <v>0</v>
      </c>
      <c r="AF46" s="849">
        <v>0</v>
      </c>
      <c r="AG46" s="849">
        <v>0</v>
      </c>
      <c r="AH46" s="849">
        <v>0</v>
      </c>
      <c r="AI46" s="849">
        <v>0</v>
      </c>
      <c r="AJ46" s="849">
        <v>0</v>
      </c>
      <c r="AK46" s="848">
        <v>0</v>
      </c>
      <c r="AM46" s="936">
        <f>HLOOKUP($AN$43,$A$44:$AK$63,3,FALSE)</f>
        <v>0</v>
      </c>
      <c r="AN46" s="2" t="s">
        <v>274</v>
      </c>
      <c r="AO46" s="417">
        <f>HLOOKUP($AN$43,$AN$65:$AS$72,3,FALSE)</f>
        <v>0</v>
      </c>
      <c r="AP46" s="1046">
        <f t="shared" ref="AP46:AP51" si="14">+AO46/$AO$61</f>
        <v>0</v>
      </c>
      <c r="AQ46" s="417">
        <f t="shared" si="11"/>
        <v>0</v>
      </c>
      <c r="AR46" s="97">
        <f t="shared" si="12"/>
        <v>0</v>
      </c>
      <c r="AT46" s="1030">
        <f t="shared" ref="AT46:AT51" si="15">AM46-AO46</f>
        <v>0</v>
      </c>
      <c r="AU46" s="940">
        <f>HLOOKUP($AN$43,$AN$74:$AS$81,3,FALSE)</f>
        <v>6.9999999999999999E-4</v>
      </c>
      <c r="AW46" s="847">
        <f>'7'!AS8</f>
        <v>1012.49</v>
      </c>
      <c r="AX46" s="806">
        <f>AQ46*1000</f>
        <v>0</v>
      </c>
      <c r="AY46" s="838">
        <f>'7'!BB8</f>
        <v>1.3640000000000001</v>
      </c>
      <c r="AZ46" s="998">
        <f t="shared" ref="AZ46:AZ51" si="16">AX46*AY46</f>
        <v>0</v>
      </c>
      <c r="BA46" s="879">
        <f t="shared" ref="BA46:BA51" si="17">AZ46*AW46/1000</f>
        <v>0</v>
      </c>
      <c r="BB46" s="2" t="s">
        <v>274</v>
      </c>
      <c r="BC46" s="1008">
        <f t="shared" ref="BC46:BC51" si="18">AU46*$BC$61*1000</f>
        <v>55.408076794743344</v>
      </c>
      <c r="BD46" s="1007">
        <f t="shared" ref="BD46:BD51" si="19">AY46*BC46</f>
        <v>75.57661674802992</v>
      </c>
      <c r="BE46" s="879">
        <f t="shared" ref="BE46:BE51" si="20">AW46*BD46/1000</f>
        <v>76.520568691212816</v>
      </c>
    </row>
    <row r="47" spans="1:58">
      <c r="A47" s="5" t="s">
        <v>6</v>
      </c>
      <c r="B47" s="847">
        <v>38.02297764196922</v>
      </c>
      <c r="C47" s="847">
        <v>34.798938615035517</v>
      </c>
      <c r="D47" s="847">
        <v>33.969708500000003</v>
      </c>
      <c r="E47" s="847">
        <v>38.266192941298343</v>
      </c>
      <c r="F47" s="847">
        <v>39.071484542620361</v>
      </c>
      <c r="G47" s="847">
        <v>45.00249070027624</v>
      </c>
      <c r="H47" s="847">
        <v>48.059917671764005</v>
      </c>
      <c r="I47" s="847">
        <v>58.690532841653514</v>
      </c>
      <c r="J47" s="847">
        <v>67.873346702150755</v>
      </c>
      <c r="K47" s="847">
        <v>83.289749533642464</v>
      </c>
      <c r="L47" s="847">
        <v>97.056309999999996</v>
      </c>
      <c r="M47" s="847">
        <v>100.16101174524964</v>
      </c>
      <c r="N47" s="847">
        <v>95.414699999999996</v>
      </c>
      <c r="O47" s="847">
        <v>112.94499999999999</v>
      </c>
      <c r="P47" s="847">
        <v>125.4032</v>
      </c>
      <c r="Q47" s="847">
        <v>144.625</v>
      </c>
      <c r="R47" s="847">
        <v>153.57089999999999</v>
      </c>
      <c r="S47" s="847">
        <v>167.9025</v>
      </c>
      <c r="T47" s="847">
        <v>168.04239999999999</v>
      </c>
      <c r="U47" s="847">
        <v>143.0514</v>
      </c>
      <c r="V47" s="847">
        <v>148.31299999999999</v>
      </c>
      <c r="W47" s="847">
        <v>140.61699999999999</v>
      </c>
      <c r="X47" s="847">
        <v>125.44139999999999</v>
      </c>
      <c r="Y47" s="847">
        <v>106.0033</v>
      </c>
      <c r="Z47" s="847">
        <v>91.066800000000001</v>
      </c>
      <c r="AA47" s="847">
        <v>108.1354</v>
      </c>
      <c r="AB47" s="847">
        <v>123.27510000000001</v>
      </c>
      <c r="AC47" s="847">
        <v>137.01663008329459</v>
      </c>
      <c r="AD47" s="847">
        <v>125.41928303541141</v>
      </c>
      <c r="AE47" s="847">
        <v>138.19773983650001</v>
      </c>
      <c r="AF47" s="847">
        <v>130.44010035871</v>
      </c>
      <c r="AG47" s="847">
        <v>140.41855453414999</v>
      </c>
      <c r="AH47" s="847">
        <v>138.25216788040004</v>
      </c>
      <c r="AI47" s="847">
        <v>116.20261507870499</v>
      </c>
      <c r="AJ47" s="847">
        <v>115.60869783186899</v>
      </c>
      <c r="AK47" s="848">
        <v>123.7086126745847</v>
      </c>
      <c r="AL47" s="936"/>
      <c r="AM47" s="936">
        <f>HLOOKUP($AN$43,$A$44:$AK$63,4,FALSE)</f>
        <v>123.7086126745847</v>
      </c>
      <c r="AN47" s="2" t="s">
        <v>6</v>
      </c>
      <c r="AO47" s="417">
        <f>HLOOKUP($AN$43,$AN$65:$AS$72,4,FALSE)</f>
        <v>103.90368064331302</v>
      </c>
      <c r="AP47" s="1046">
        <f t="shared" si="14"/>
        <v>0.44567880299109408</v>
      </c>
      <c r="AQ47" s="417">
        <f t="shared" si="11"/>
        <v>19.804932031271676</v>
      </c>
      <c r="AR47" s="97">
        <f t="shared" si="12"/>
        <v>0.58107233923908475</v>
      </c>
      <c r="AT47" s="1030">
        <f t="shared" si="15"/>
        <v>19.804932031271676</v>
      </c>
      <c r="AU47" s="940">
        <f>HLOOKUP($AN$43,$AN$74:$AS$81,4,FALSE)</f>
        <v>0.68379999999999996</v>
      </c>
      <c r="AW47" s="847">
        <f>HLOOKUP($AN$43,'7'!$A$4:$AK$14,4,FALSE)</f>
        <v>370.558634192228</v>
      </c>
      <c r="AX47" s="806">
        <f>AQ47*1000</f>
        <v>19804.932031271677</v>
      </c>
      <c r="AY47" s="838">
        <f>HLOOKUP($AN$43,'3'!$A$68:$AK$87,4,FALSE)</f>
        <v>1.0254742758590709</v>
      </c>
      <c r="AZ47" s="998">
        <f t="shared" si="16"/>
        <v>20309.448333206441</v>
      </c>
      <c r="BA47" s="879">
        <f t="shared" si="17"/>
        <v>7525.8414355506002</v>
      </c>
      <c r="BB47" s="2" t="s">
        <v>6</v>
      </c>
      <c r="BC47" s="1008">
        <f t="shared" si="18"/>
        <v>54125.775588922137</v>
      </c>
      <c r="BD47" s="1007">
        <f t="shared" si="19"/>
        <v>55504.590527360509</v>
      </c>
      <c r="BE47" s="879">
        <f t="shared" si="20"/>
        <v>20567.705257217585</v>
      </c>
    </row>
    <row r="48" spans="1:58">
      <c r="A48" s="5" t="s">
        <v>7</v>
      </c>
      <c r="B48" s="847">
        <v>3.6158343132643465</v>
      </c>
      <c r="C48" s="847">
        <v>3.5681422859830669</v>
      </c>
      <c r="D48" s="847">
        <v>3.5535426857949202</v>
      </c>
      <c r="E48" s="847">
        <v>3.441612417685795</v>
      </c>
      <c r="F48" s="847">
        <v>3.0055710253998118</v>
      </c>
      <c r="G48" s="847">
        <v>3.3540148165569144</v>
      </c>
      <c r="H48" s="847">
        <v>3.1564335606773284</v>
      </c>
      <c r="I48" s="847">
        <v>4.1375266933207904</v>
      </c>
      <c r="J48" s="847">
        <v>4.3954529633113824</v>
      </c>
      <c r="K48" s="847">
        <v>4.2952023753527753</v>
      </c>
      <c r="L48" s="847">
        <v>4.1384999999999996</v>
      </c>
      <c r="M48" s="847">
        <v>4.9388000000000005</v>
      </c>
      <c r="N48" s="847">
        <v>4.8433999999999999</v>
      </c>
      <c r="O48" s="847">
        <v>5.1133000000000006</v>
      </c>
      <c r="P48" s="847">
        <v>5.1932999999999998</v>
      </c>
      <c r="Q48" s="847">
        <v>5.5993999999999993</v>
      </c>
      <c r="R48" s="847">
        <v>5.9968999999999992</v>
      </c>
      <c r="S48" s="847">
        <v>5.4567000000000005</v>
      </c>
      <c r="T48" s="847">
        <v>5.3662999999999998</v>
      </c>
      <c r="U48" s="847">
        <v>3.5684999999999998</v>
      </c>
      <c r="V48" s="847">
        <v>4.5508999999999995</v>
      </c>
      <c r="W48" s="847">
        <v>5.3351999999999995</v>
      </c>
      <c r="X48" s="847">
        <v>4.6747000000000005</v>
      </c>
      <c r="Y48" s="847">
        <v>3.1574</v>
      </c>
      <c r="Z48" s="847">
        <v>2.8654999999999999</v>
      </c>
      <c r="AA48" s="847">
        <v>2.0642</v>
      </c>
      <c r="AB48" s="847">
        <v>2.6429999999999998</v>
      </c>
      <c r="AC48" s="847">
        <v>2.3327945918300004</v>
      </c>
      <c r="AD48" s="847">
        <v>2.35435573066</v>
      </c>
      <c r="AE48" s="847">
        <v>2.2921431109000001</v>
      </c>
      <c r="AF48" s="847">
        <v>1.5810573572100002</v>
      </c>
      <c r="AG48" s="847">
        <v>1.8163105127799999</v>
      </c>
      <c r="AH48" s="847">
        <v>1.5047218204800001</v>
      </c>
      <c r="AI48" s="847">
        <v>1.1008802711803631</v>
      </c>
      <c r="AJ48" s="847">
        <v>0.76795532725434712</v>
      </c>
      <c r="AK48" s="848">
        <v>0.68591291603986815</v>
      </c>
      <c r="AL48" s="936"/>
      <c r="AM48" s="936">
        <f>HLOOKUP($AN$43,$A$44:$AK$63,19,FALSE)</f>
        <v>2.1516744042258606</v>
      </c>
      <c r="AN48" s="2" t="s">
        <v>8</v>
      </c>
      <c r="AO48" s="417">
        <f>HLOOKUP($AN$43,$AN$65:$AS$72,5,FALSE)</f>
        <v>0.94552824030398441</v>
      </c>
      <c r="AP48" s="1046">
        <f t="shared" si="14"/>
        <v>4.0556974663830229E-3</v>
      </c>
      <c r="AQ48" s="417">
        <f>IF(AM48&lt;AO48,0,AM48-AO48)</f>
        <v>1.2061461639218762</v>
      </c>
      <c r="AR48" s="97">
        <f t="shared" si="12"/>
        <v>3.538806252037064E-2</v>
      </c>
      <c r="AT48" s="1030">
        <f t="shared" si="15"/>
        <v>1.2061461639218762</v>
      </c>
      <c r="AU48" s="940">
        <f>HLOOKUP($AN$43,$AN$74:$AS$81,5,FALSE)</f>
        <v>9.1999999999999998E-3</v>
      </c>
      <c r="AW48" s="847">
        <f>HLOOKUP($AN$43,'7'!$A$4:$AK$14,10,FALSE)</f>
        <v>476.57682278436658</v>
      </c>
      <c r="AX48" s="806">
        <f t="shared" si="13"/>
        <v>1206.1461639218762</v>
      </c>
      <c r="AY48" s="838">
        <f>HLOOKUP($AN$43,'3'!$A$68:$AK$87,18,FALSE)</f>
        <v>1.062627105363448</v>
      </c>
      <c r="AZ48" s="998">
        <f t="shared" si="16"/>
        <v>1281.6836068135301</v>
      </c>
      <c r="BA48" s="879">
        <f t="shared" si="17"/>
        <v>610.82070114999954</v>
      </c>
      <c r="BB48" s="2" t="s">
        <v>8</v>
      </c>
      <c r="BC48" s="1008">
        <f t="shared" si="18"/>
        <v>728.2204378737697</v>
      </c>
      <c r="BD48" s="1007">
        <f t="shared" si="19"/>
        <v>773.82677596430642</v>
      </c>
      <c r="BE48" s="879">
        <f t="shared" si="20"/>
        <v>368.78790627453901</v>
      </c>
      <c r="BF48" s="1004" t="s">
        <v>823</v>
      </c>
    </row>
    <row r="49" spans="1:59">
      <c r="A49" s="5" t="s">
        <v>8</v>
      </c>
      <c r="B49" s="847">
        <v>96.610741811639755</v>
      </c>
      <c r="C49" s="847">
        <v>97.787729137846711</v>
      </c>
      <c r="D49" s="847">
        <v>108.59280458324599</v>
      </c>
      <c r="E49" s="847">
        <v>106.61079414168935</v>
      </c>
      <c r="F49" s="847">
        <v>109.14373844756514</v>
      </c>
      <c r="G49" s="847">
        <v>113.65006441696359</v>
      </c>
      <c r="H49" s="847">
        <v>110.17472707329</v>
      </c>
      <c r="I49" s="847">
        <v>106.67034943058756</v>
      </c>
      <c r="J49" s="847">
        <v>100.75400448892614</v>
      </c>
      <c r="K49" s="847">
        <v>85.573351327464536</v>
      </c>
      <c r="L49" s="847">
        <v>80.564700000000002</v>
      </c>
      <c r="M49" s="847">
        <v>70.135288254750364</v>
      </c>
      <c r="N49" s="847">
        <v>81.8994</v>
      </c>
      <c r="O49" s="847">
        <v>71.534999999999997</v>
      </c>
      <c r="P49" s="847">
        <v>55.539900000000003</v>
      </c>
      <c r="Q49" s="847">
        <v>44.2211</v>
      </c>
      <c r="R49" s="847">
        <v>43.117599999999996</v>
      </c>
      <c r="S49" s="847">
        <v>33.1706</v>
      </c>
      <c r="T49" s="847">
        <v>29.454599999999999</v>
      </c>
      <c r="U49" s="847">
        <v>24.2531</v>
      </c>
      <c r="V49" s="847">
        <v>20.552700000000002</v>
      </c>
      <c r="W49" s="847">
        <v>18.876300000000001</v>
      </c>
      <c r="X49" s="847">
        <v>18.0701</v>
      </c>
      <c r="Y49" s="847">
        <v>14.7745</v>
      </c>
      <c r="Z49" s="847">
        <v>13.475100000000003</v>
      </c>
      <c r="AA49" s="847">
        <v>12.704900000000002</v>
      </c>
      <c r="AB49" s="847">
        <v>11.654100000000001</v>
      </c>
      <c r="AC49" s="847">
        <v>11.034650725130001</v>
      </c>
      <c r="AD49" s="847">
        <v>10.635185452270001</v>
      </c>
      <c r="AE49" s="847">
        <v>9.7754528125499967</v>
      </c>
      <c r="AF49" s="847">
        <v>9.7288735049700019</v>
      </c>
      <c r="AG49" s="847">
        <v>7.3921693996900002</v>
      </c>
      <c r="AH49" s="847">
        <v>12.364846050060001</v>
      </c>
      <c r="AI49" s="847">
        <v>9.8268988670291435</v>
      </c>
      <c r="AJ49" s="847">
        <v>8.3083295261666894</v>
      </c>
      <c r="AK49" s="848">
        <v>7.5173699260553066</v>
      </c>
      <c r="AL49" s="936"/>
      <c r="AM49" s="936">
        <f>HLOOKUP($AN$43,$A$44:$AK$63,20,FALSE)</f>
        <v>10.537705801077815</v>
      </c>
      <c r="AN49" s="2" t="s">
        <v>828</v>
      </c>
      <c r="AO49" s="417">
        <f>HLOOKUP($AN$43,$AN$65:$AS$72,6,FALSE)</f>
        <v>10.24674536562179</v>
      </c>
      <c r="AP49" s="1046">
        <f t="shared" si="14"/>
        <v>4.3951832897834546E-2</v>
      </c>
      <c r="AQ49" s="1024">
        <f>IF(AM49&lt;AO49,0,AM49-AO49)+AT61</f>
        <v>0.29096043545602512</v>
      </c>
      <c r="AR49" s="97">
        <f t="shared" si="12"/>
        <v>8.5367150258076063E-3</v>
      </c>
      <c r="AT49" s="1030">
        <f t="shared" si="15"/>
        <v>0.29096043545602512</v>
      </c>
      <c r="AU49" s="940">
        <f>HLOOKUP($AN$43,$AN$74:$AS$81,6,FALSE)</f>
        <v>7.0699999999999999E-2</v>
      </c>
      <c r="AW49" s="847">
        <f>HLOOKUP($AN$43,'7'!$A$4:$AK$14,11,FALSE)</f>
        <v>683.78407959186154</v>
      </c>
      <c r="AX49" s="806">
        <f>AQ49*1000</f>
        <v>290.96043545602515</v>
      </c>
      <c r="AY49" s="838">
        <f>HLOOKUP($AN$43,'3'!$A$68:$AK$87,19,FALSE)</f>
        <v>1.0576427102888462</v>
      </c>
      <c r="AZ49" s="998">
        <f t="shared" si="16"/>
        <v>307.73218354253333</v>
      </c>
      <c r="BA49" s="879">
        <f t="shared" si="17"/>
        <v>210.42236788442494</v>
      </c>
      <c r="BB49" s="2" t="s">
        <v>705</v>
      </c>
      <c r="BC49" s="1008">
        <f>AU49*$BC$61*1000</f>
        <v>5596.2157562690772</v>
      </c>
      <c r="BD49" s="1007">
        <f t="shared" si="19"/>
        <v>5918.7967998215718</v>
      </c>
      <c r="BE49" s="879">
        <f t="shared" si="20"/>
        <v>4047.1790220572493</v>
      </c>
      <c r="BF49" s="1004" t="s">
        <v>771</v>
      </c>
      <c r="BG49" s="1004" t="s">
        <v>824</v>
      </c>
    </row>
    <row r="50" spans="1:59">
      <c r="A50" s="5" t="s">
        <v>719</v>
      </c>
      <c r="B50" s="847">
        <v>0</v>
      </c>
      <c r="C50" s="847">
        <v>0</v>
      </c>
      <c r="D50" s="847">
        <v>0.28999999999999998</v>
      </c>
      <c r="E50" s="847">
        <v>0.32900000000000001</v>
      </c>
      <c r="F50" s="847">
        <v>0.28399999999999997</v>
      </c>
      <c r="G50" s="847">
        <v>0.34499999999999997</v>
      </c>
      <c r="H50" s="847">
        <v>0.32500000000000001</v>
      </c>
      <c r="I50" s="847">
        <v>0.64300000000000002</v>
      </c>
      <c r="J50" s="847">
        <v>0.66800000000000004</v>
      </c>
      <c r="K50" s="847">
        <v>0.61499999999999999</v>
      </c>
      <c r="L50" s="847">
        <v>0.74350000000000005</v>
      </c>
      <c r="M50" s="847">
        <v>0.78100000000000003</v>
      </c>
      <c r="N50" s="847">
        <v>0.72739999999999994</v>
      </c>
      <c r="O50" s="847">
        <v>0.8357</v>
      </c>
      <c r="P50" s="847">
        <v>0.90429999999999999</v>
      </c>
      <c r="Q50" s="847">
        <v>1.0784</v>
      </c>
      <c r="R50" s="847">
        <v>0.99309999999999998</v>
      </c>
      <c r="S50" s="847">
        <v>0.98820000000000008</v>
      </c>
      <c r="T50" s="847">
        <v>0.88490000000000002</v>
      </c>
      <c r="U50" s="847">
        <v>0.58189999999999997</v>
      </c>
      <c r="V50" s="847">
        <v>0.74820000000000009</v>
      </c>
      <c r="W50" s="847">
        <v>0.77539999999999998</v>
      </c>
      <c r="X50" s="847">
        <v>0.72129999999999994</v>
      </c>
      <c r="Y50" s="847">
        <v>0.72089999999999999</v>
      </c>
      <c r="Z50" s="847">
        <v>0.63570000000000004</v>
      </c>
      <c r="AA50" s="847">
        <v>0.53810000000000002</v>
      </c>
      <c r="AB50" s="847">
        <v>0.65</v>
      </c>
      <c r="AC50" s="847">
        <v>0.58287107000000005</v>
      </c>
      <c r="AD50" s="847">
        <v>0.532966783</v>
      </c>
      <c r="AE50" s="847">
        <v>0.56940000000000002</v>
      </c>
      <c r="AF50" s="847">
        <v>0.42583639799999995</v>
      </c>
      <c r="AG50" s="847">
        <v>0.51606355199999998</v>
      </c>
      <c r="AH50" s="847">
        <v>0.61606204409999998</v>
      </c>
      <c r="AI50" s="847">
        <v>0.53308103700424703</v>
      </c>
      <c r="AJ50" s="847">
        <v>0.55956559191499999</v>
      </c>
      <c r="AK50" s="848">
        <v>0.58851783090711973</v>
      </c>
      <c r="AM50" s="2">
        <v>0</v>
      </c>
      <c r="AN50" s="2" t="s">
        <v>613</v>
      </c>
      <c r="AO50" s="417">
        <f>HLOOKUP($AN$43,$AN$65:$AS$72,7,FALSE)</f>
        <v>0</v>
      </c>
      <c r="AP50" s="1046">
        <f t="shared" si="14"/>
        <v>0</v>
      </c>
      <c r="AQ50" s="417">
        <f t="shared" si="11"/>
        <v>0</v>
      </c>
      <c r="AR50" s="97">
        <f t="shared" si="12"/>
        <v>0</v>
      </c>
      <c r="AT50" s="1030">
        <f t="shared" si="15"/>
        <v>0</v>
      </c>
      <c r="AU50" s="940">
        <f>HLOOKUP($AN$43,$AN$74:$AS$81,7,FALSE)</f>
        <v>4.6300000000000001E-2</v>
      </c>
      <c r="AW50" s="847">
        <v>0</v>
      </c>
      <c r="AX50" s="806">
        <f t="shared" si="13"/>
        <v>0</v>
      </c>
      <c r="AY50" s="838">
        <f>'7'!BB14</f>
        <v>1.0534970340717804</v>
      </c>
      <c r="AZ50" s="998">
        <f t="shared" si="16"/>
        <v>0</v>
      </c>
      <c r="BA50" s="879">
        <f t="shared" si="17"/>
        <v>0</v>
      </c>
      <c r="BB50" s="2" t="s">
        <v>613</v>
      </c>
      <c r="BC50" s="1008">
        <f t="shared" si="18"/>
        <v>3664.848507995167</v>
      </c>
      <c r="BD50" s="1007">
        <f t="shared" si="19"/>
        <v>3860.907033495298</v>
      </c>
      <c r="BE50" s="879">
        <f t="shared" si="20"/>
        <v>0</v>
      </c>
      <c r="BF50" s="1059">
        <f>HLOOKUP($AN$43,$AN$65:$AS$73,9,FALSE)</f>
        <v>0.13942225790356788</v>
      </c>
      <c r="BG50" s="1048">
        <f>$BF$50*BD50</f>
        <v>538.29637616568061</v>
      </c>
    </row>
    <row r="51" spans="1:59">
      <c r="A51" s="5" t="s">
        <v>751</v>
      </c>
      <c r="B51" s="847">
        <v>4.5798927987838904E-2</v>
      </c>
      <c r="C51" s="847">
        <v>0.1035804012852061</v>
      </c>
      <c r="D51" s="847">
        <v>8.181556067730443E-2</v>
      </c>
      <c r="E51" s="847">
        <v>9.2487155548257191E-2</v>
      </c>
      <c r="F51" s="847">
        <v>8.0739551513395985E-2</v>
      </c>
      <c r="G51" s="847">
        <v>7.2898284985132678E-2</v>
      </c>
      <c r="H51" s="847">
        <v>0.10136736877084601</v>
      </c>
      <c r="I51" s="847">
        <v>0.10410953258876943</v>
      </c>
      <c r="J51" s="847">
        <v>0.19654637475380177</v>
      </c>
      <c r="K51" s="847">
        <v>0.27119450723826533</v>
      </c>
      <c r="L51" s="847">
        <v>0.34014636973250822</v>
      </c>
      <c r="M51" s="847">
        <v>0.56380000000000008</v>
      </c>
      <c r="N51" s="847">
        <v>0.64405000000000001</v>
      </c>
      <c r="O51" s="847">
        <v>0.8318500000000002</v>
      </c>
      <c r="P51" s="847">
        <v>1.05185</v>
      </c>
      <c r="Q51" s="847">
        <v>1.2113499999999995</v>
      </c>
      <c r="R51" s="847">
        <v>1.3505000000000003</v>
      </c>
      <c r="S51" s="847">
        <v>1.3935499999999985</v>
      </c>
      <c r="T51" s="847">
        <v>1.5730000000000013</v>
      </c>
      <c r="U51" s="847">
        <v>1.6309500000000012</v>
      </c>
      <c r="V51" s="847">
        <v>1.9803499999999996</v>
      </c>
      <c r="W51" s="847">
        <v>2.1134499999999985</v>
      </c>
      <c r="X51" s="847">
        <v>2.0707000000000004</v>
      </c>
      <c r="Y51" s="847">
        <v>2.0952499999999965</v>
      </c>
      <c r="Z51" s="847">
        <v>2.2379500000000014</v>
      </c>
      <c r="AA51" s="847">
        <v>2.1721499999999985</v>
      </c>
      <c r="AB51" s="847">
        <v>2.2070000000000043</v>
      </c>
      <c r="AC51" s="847">
        <v>2.1729567346700023</v>
      </c>
      <c r="AD51" s="847">
        <v>2.142945310554996</v>
      </c>
      <c r="AE51" s="847">
        <v>2.0889995147100002</v>
      </c>
      <c r="AF51" s="847">
        <v>2.0980861717000003</v>
      </c>
      <c r="AG51" s="847">
        <v>2.0723780892350021</v>
      </c>
      <c r="AH51" s="847">
        <v>2.0942186745800022</v>
      </c>
      <c r="AI51" s="847">
        <v>2.0720950091342942</v>
      </c>
      <c r="AJ51" s="847">
        <v>1.9760403259675137</v>
      </c>
      <c r="AK51" s="848">
        <v>2.0795559126182717</v>
      </c>
      <c r="AL51" s="936"/>
      <c r="AM51" s="936">
        <f>HLOOKUP($AN$43,$A$44:$AK$64,21,FALSE)</f>
        <v>127.89507620978601</v>
      </c>
      <c r="AN51" s="2" t="s">
        <v>706</v>
      </c>
      <c r="AO51" s="417">
        <f>HLOOKUP($AN$43,$AN$65:$AS$72,8,FALSE)</f>
        <v>115.11412277060573</v>
      </c>
      <c r="AP51" s="1046">
        <f t="shared" si="14"/>
        <v>0.49376426442382437</v>
      </c>
      <c r="AQ51" s="417">
        <f t="shared" si="11"/>
        <v>12.78095343918028</v>
      </c>
      <c r="AR51" s="97">
        <f t="shared" si="12"/>
        <v>0.37499035598222369</v>
      </c>
      <c r="AT51" s="1030">
        <f t="shared" si="15"/>
        <v>12.78095343918028</v>
      </c>
      <c r="AU51" s="940">
        <f>HLOOKUP($AN$43,$AN$74:$AS$81,8,FALSE)</f>
        <v>9.7799999999999998E-2</v>
      </c>
      <c r="AW51" s="847">
        <v>0</v>
      </c>
      <c r="AX51" s="806">
        <f t="shared" si="13"/>
        <v>12780.953439180281</v>
      </c>
      <c r="AY51" s="838">
        <f>HLOOKUP($AN$43,'3'!$A$68:$AK$87,20,FALSE)</f>
        <v>1.0346485742844735</v>
      </c>
      <c r="AZ51" s="998">
        <f t="shared" si="16"/>
        <v>13223.795253844117</v>
      </c>
      <c r="BA51" s="879">
        <f t="shared" si="17"/>
        <v>0</v>
      </c>
      <c r="BB51" s="2" t="s">
        <v>706</v>
      </c>
      <c r="BC51" s="1008">
        <f t="shared" si="18"/>
        <v>7741.2998721798558</v>
      </c>
      <c r="BD51" s="1007">
        <f t="shared" si="19"/>
        <v>8009.5248758594653</v>
      </c>
      <c r="BE51" s="879">
        <f t="shared" si="20"/>
        <v>0</v>
      </c>
    </row>
    <row r="52" spans="1:59">
      <c r="A52" s="5" t="s">
        <v>1</v>
      </c>
      <c r="B52" s="847">
        <v>31.170999999999999</v>
      </c>
      <c r="C52" s="847">
        <v>41.728999999999999</v>
      </c>
      <c r="D52" s="847">
        <v>41.683999999999997</v>
      </c>
      <c r="E52" s="847">
        <v>40.923999999999999</v>
      </c>
      <c r="F52" s="847">
        <v>44.137999999999998</v>
      </c>
      <c r="G52" s="847">
        <v>37.307000000000002</v>
      </c>
      <c r="H52" s="847">
        <v>41.524999999999999</v>
      </c>
      <c r="I52" s="847">
        <v>41.103999999999999</v>
      </c>
      <c r="J52" s="847">
        <v>40.719000000000001</v>
      </c>
      <c r="K52" s="847">
        <v>44.829000000000001</v>
      </c>
      <c r="L52" s="847">
        <v>43.529029999999999</v>
      </c>
      <c r="M52" s="847">
        <v>46.136875000000003</v>
      </c>
      <c r="N52" s="847">
        <v>38.876861000000005</v>
      </c>
      <c r="O52" s="847">
        <v>36.042740000000002</v>
      </c>
      <c r="P52" s="847">
        <v>41.713608000000001</v>
      </c>
      <c r="Q52" s="847">
        <v>35.496766999999998</v>
      </c>
      <c r="R52" s="847">
        <v>36.452040000000004</v>
      </c>
      <c r="S52" s="847">
        <v>32.296155000000006</v>
      </c>
      <c r="T52" s="847">
        <v>41.068974000000004</v>
      </c>
      <c r="U52" s="847">
        <v>48.538066999999998</v>
      </c>
      <c r="V52" s="847">
        <v>50.505342000000006</v>
      </c>
      <c r="W52" s="847">
        <v>45.267889000000004</v>
      </c>
      <c r="X52" s="847">
        <v>41.277275000000003</v>
      </c>
      <c r="Y52" s="847">
        <v>52.170192</v>
      </c>
      <c r="Z52" s="847">
        <v>57.864032999999999</v>
      </c>
      <c r="AA52" s="847">
        <v>45.018277000000005</v>
      </c>
      <c r="AB52" s="847">
        <v>41.959418000000007</v>
      </c>
      <c r="AC52" s="847">
        <v>35.730761000000001</v>
      </c>
      <c r="AD52" s="847">
        <v>48.212667000000003</v>
      </c>
      <c r="AE52" s="847">
        <v>45.755074</v>
      </c>
      <c r="AF52" s="847">
        <v>47.008377000000003</v>
      </c>
      <c r="AG52" s="847">
        <v>44.82911</v>
      </c>
      <c r="AH52" s="847">
        <v>28.010831</v>
      </c>
      <c r="AI52" s="847">
        <v>39.927896000000004</v>
      </c>
      <c r="AJ52" s="847">
        <v>52.349351000000006</v>
      </c>
      <c r="AK52" s="848">
        <v>41.362527191315287</v>
      </c>
      <c r="AN52" s="2" t="s">
        <v>829</v>
      </c>
      <c r="AO52" s="417"/>
      <c r="AR52" s="940"/>
    </row>
    <row r="53" spans="1:59">
      <c r="A53" s="819" t="s">
        <v>671</v>
      </c>
      <c r="B53" s="1040">
        <f>B52-'1'!B12+B54</f>
        <v>29.785999999999998</v>
      </c>
      <c r="C53" s="1040">
        <f>C52-'1'!C12+C54</f>
        <v>40.474000000000004</v>
      </c>
      <c r="D53" s="1040">
        <f>D52-'1'!D12+D54</f>
        <v>40.275999999999996</v>
      </c>
      <c r="E53" s="1040">
        <f>E52-'1'!E12+E54</f>
        <v>39.750999999999998</v>
      </c>
      <c r="F53" s="1040">
        <f>F52-'1'!F12+F54</f>
        <v>43.021000000000001</v>
      </c>
      <c r="G53" s="1040">
        <f>G52-'1'!G12+G54</f>
        <v>35.749000000000002</v>
      </c>
      <c r="H53" s="1040">
        <f>H52-'1'!H12+H54</f>
        <v>39.606000000000002</v>
      </c>
      <c r="I53" s="1040">
        <f>I52-'1'!I12+I54</f>
        <v>39.254999999999995</v>
      </c>
      <c r="J53" s="1040">
        <f>J52-'1'!J12+J54</f>
        <v>38.417000000000002</v>
      </c>
      <c r="K53" s="1040">
        <f>K52-'1'!K12+K54</f>
        <v>42.25</v>
      </c>
      <c r="L53" s="1040">
        <f>L52-'1'!L12+L54</f>
        <v>41.099218999999998</v>
      </c>
      <c r="M53" s="1040">
        <f>M52-'1'!M12+M54</f>
        <v>43.741258000000009</v>
      </c>
      <c r="N53" s="1040">
        <f>N52-'1'!N12+N54</f>
        <v>35.965514000000006</v>
      </c>
      <c r="O53" s="1040">
        <f>O52-'1'!O12+O54</f>
        <v>33.156705000000002</v>
      </c>
      <c r="P53" s="1040">
        <f>P52-'1'!P12+P54</f>
        <v>38.983736999999998</v>
      </c>
      <c r="Q53" s="1040">
        <f>Q52-'1'!Q12+Q54</f>
        <v>33.037933999999993</v>
      </c>
      <c r="R53" s="1040">
        <f>R52-'1'!R12+R54</f>
        <v>34.130692000000003</v>
      </c>
      <c r="S53" s="1040">
        <f>S52-'1'!S12+S54</f>
        <v>30.308277000000007</v>
      </c>
      <c r="T53" s="1040">
        <f>T52-'1'!T12+T54</f>
        <v>39.054552000000001</v>
      </c>
      <c r="U53" s="1040">
        <f>U52-'1'!U12+U54</f>
        <v>47.045262999999998</v>
      </c>
      <c r="V53" s="1040">
        <f>V52-'1'!V12+V54</f>
        <v>49.342241000000001</v>
      </c>
      <c r="W53" s="1040">
        <f>W52-'1'!W12+W54</f>
        <v>44.663086</v>
      </c>
      <c r="X53" s="1040">
        <f>X52-'1'!X12+X54</f>
        <v>40.567383</v>
      </c>
      <c r="Y53" s="1040">
        <f>Y52-'1'!Y12+Y54</f>
        <v>51.573392000000005</v>
      </c>
      <c r="Z53" s="1040">
        <f>Z52-'1'!Z12+Z54</f>
        <v>57.245934999999996</v>
      </c>
      <c r="AA53" s="1040">
        <f>AA52-'1'!AA12+AA54</f>
        <v>44.541421000000007</v>
      </c>
      <c r="AB53" s="1040">
        <f>AB52-'1'!AB12+AB54</f>
        <v>41.31662200000001</v>
      </c>
      <c r="AC53" s="1040">
        <f>AC52-'1'!AC12+AC54</f>
        <v>35.078559000000006</v>
      </c>
      <c r="AD53" s="1040">
        <f>AD52-'1'!AD12+AD54</f>
        <v>47.61672500000001</v>
      </c>
      <c r="AE53" s="1040">
        <f>AE52-'1'!AE12+AE54</f>
        <v>45.120857000000001</v>
      </c>
      <c r="AF53" s="1040">
        <f>AF52-'1'!AF12+AF54</f>
        <v>46.283848000000006</v>
      </c>
      <c r="AG53" s="1040">
        <f>AG52-'1'!AG12+AG54</f>
        <v>44.003155999999997</v>
      </c>
      <c r="AH53" s="1040">
        <f>AH52-'1'!AH12+AH54</f>
        <v>27.317647999999998</v>
      </c>
      <c r="AI53" s="1040">
        <f>AI52-'1'!AI12+AI54</f>
        <v>39.293396000000008</v>
      </c>
      <c r="AJ53" s="1040">
        <f>AJ52-'1'!AJ12+AJ54</f>
        <v>51.834410000000005</v>
      </c>
      <c r="AK53" s="848">
        <f>AK52-'1'!AK12+AK54</f>
        <v>40.750338075831962</v>
      </c>
      <c r="AM53" s="936"/>
      <c r="AP53" s="417"/>
      <c r="AR53" s="940"/>
    </row>
    <row r="54" spans="1:59">
      <c r="A54" s="5" t="s">
        <v>546</v>
      </c>
      <c r="B54" s="847">
        <v>3.3969999999999998</v>
      </c>
      <c r="C54" s="847">
        <v>3.3220000000000001</v>
      </c>
      <c r="D54" s="847">
        <v>3.5379999999999998</v>
      </c>
      <c r="E54" s="847">
        <v>3.016</v>
      </c>
      <c r="F54" s="847">
        <v>3.0329999999999999</v>
      </c>
      <c r="G54" s="847">
        <v>4.0679999999999996</v>
      </c>
      <c r="H54" s="847">
        <v>4.9630000000000001</v>
      </c>
      <c r="I54" s="847">
        <v>4.8789999999999996</v>
      </c>
      <c r="J54" s="847">
        <v>6.056</v>
      </c>
      <c r="K54" s="847">
        <v>6.3239999999999998</v>
      </c>
      <c r="L54" s="847">
        <v>6.700189</v>
      </c>
      <c r="M54" s="847">
        <v>7.1153829999999996</v>
      </c>
      <c r="N54" s="847">
        <v>7.7426530000000007</v>
      </c>
      <c r="O54" s="847">
        <v>7.6069649999999998</v>
      </c>
      <c r="P54" s="847">
        <v>7.5701289999999997</v>
      </c>
      <c r="Q54" s="847">
        <v>6.8601670000000006</v>
      </c>
      <c r="R54" s="847">
        <v>6.4306520000000003</v>
      </c>
      <c r="S54" s="847">
        <v>5.6661220000000005</v>
      </c>
      <c r="T54" s="847">
        <v>5.6035780000000006</v>
      </c>
      <c r="U54" s="847">
        <v>4.3051959999999996</v>
      </c>
      <c r="V54" s="847">
        <v>3.2898989999999997</v>
      </c>
      <c r="W54" s="847">
        <v>1.9341969999999999</v>
      </c>
      <c r="X54" s="847">
        <v>1.9791079999999999</v>
      </c>
      <c r="Y54" s="847">
        <v>1.8982000000000001</v>
      </c>
      <c r="Z54" s="847">
        <v>1.7109020000000001</v>
      </c>
      <c r="AA54" s="847">
        <v>1.4321440000000001</v>
      </c>
      <c r="AB54" s="847">
        <v>1.825204</v>
      </c>
      <c r="AC54" s="847">
        <v>1.82596</v>
      </c>
      <c r="AD54" s="847">
        <v>1.716337</v>
      </c>
      <c r="AE54" s="847">
        <v>1.834983</v>
      </c>
      <c r="AF54" s="847">
        <v>1.9434709999999999</v>
      </c>
      <c r="AG54" s="847">
        <v>2.0901959999999997</v>
      </c>
      <c r="AH54" s="847">
        <v>1.8931669999999998</v>
      </c>
      <c r="AI54" s="847">
        <v>1.5509999999999999</v>
      </c>
      <c r="AJ54" s="847">
        <v>1.6261590000000001</v>
      </c>
      <c r="AK54" s="848">
        <v>1.8180236196831046</v>
      </c>
      <c r="AN54" s="2" t="s">
        <v>546</v>
      </c>
      <c r="AO54" s="417">
        <f>HLOOKUP($AN$43,$AN$65:$AS$88,24,FALSE)</f>
        <v>1.8180236196831046</v>
      </c>
      <c r="AR54" s="940"/>
      <c r="AX54" s="133"/>
    </row>
    <row r="55" spans="1:59">
      <c r="A55" s="5" t="s">
        <v>54</v>
      </c>
      <c r="B55" s="1041">
        <v>2E-3</v>
      </c>
      <c r="C55" s="1041">
        <v>3.0000000000000001E-3</v>
      </c>
      <c r="D55" s="1041">
        <v>2E-3</v>
      </c>
      <c r="E55" s="1041">
        <v>4.0000000000000001E-3</v>
      </c>
      <c r="F55" s="1041">
        <v>7.0000000000000001E-3</v>
      </c>
      <c r="G55" s="1041">
        <v>8.9999999999999993E-3</v>
      </c>
      <c r="H55" s="1041">
        <v>3.3000000000000002E-2</v>
      </c>
      <c r="I55" s="1041">
        <v>0.11600000000000001</v>
      </c>
      <c r="J55" s="1041">
        <v>0.23100000000000001</v>
      </c>
      <c r="K55" s="1041">
        <v>0.40300000000000002</v>
      </c>
      <c r="L55" s="1041">
        <v>0.56299999999999994</v>
      </c>
      <c r="M55" s="1041">
        <v>1.179</v>
      </c>
      <c r="N55" s="1041">
        <v>1.403</v>
      </c>
      <c r="O55" s="1041">
        <v>1.4570000000000001</v>
      </c>
      <c r="P55" s="1041">
        <v>1.8440000000000001</v>
      </c>
      <c r="Q55" s="1041">
        <v>2.3380000000000001</v>
      </c>
      <c r="R55" s="1041">
        <v>2.964</v>
      </c>
      <c r="S55" s="1041">
        <v>4.032</v>
      </c>
      <c r="T55" s="1041">
        <v>4.8520000000000003</v>
      </c>
      <c r="U55" s="1041">
        <v>6.4850000000000003</v>
      </c>
      <c r="V55" s="1041">
        <v>9.048</v>
      </c>
      <c r="W55" s="1041">
        <v>9.7750000000000004</v>
      </c>
      <c r="X55" s="1041">
        <v>13.333</v>
      </c>
      <c r="Y55" s="1041">
        <v>14.811999999999999</v>
      </c>
      <c r="Z55" s="1041">
        <v>15.089</v>
      </c>
      <c r="AA55" s="1041">
        <v>14.706</v>
      </c>
      <c r="AB55" s="1041">
        <v>17.523</v>
      </c>
      <c r="AC55" s="1041">
        <v>17.565331999999998</v>
      </c>
      <c r="AD55" s="1041">
        <v>17.556808</v>
      </c>
      <c r="AE55" s="1041">
        <v>20.034400000000002</v>
      </c>
      <c r="AF55" s="1041">
        <v>18.608198000000002</v>
      </c>
      <c r="AG55" s="1041">
        <v>20.723599</v>
      </c>
      <c r="AH55" s="1041">
        <v>20.304303000000001</v>
      </c>
      <c r="AI55" s="1041">
        <v>23.373345</v>
      </c>
      <c r="AJ55" s="1041">
        <v>22.087792</v>
      </c>
      <c r="AK55" s="848">
        <v>21.373344449597472</v>
      </c>
      <c r="AO55" s="95"/>
      <c r="AR55" s="940"/>
      <c r="AX55" s="133"/>
    </row>
    <row r="56" spans="1:59">
      <c r="A56" s="5" t="s">
        <v>672</v>
      </c>
      <c r="B56" s="1041">
        <v>4.0000000000000001E-3</v>
      </c>
      <c r="C56" s="1041">
        <v>5.0000000000000001E-3</v>
      </c>
      <c r="D56" s="1041">
        <v>8.9999999999999993E-3</v>
      </c>
      <c r="E56" s="1041">
        <v>1.0999999999999999E-2</v>
      </c>
      <c r="F56" s="1041">
        <v>1.0999999999999999E-2</v>
      </c>
      <c r="G56" s="1041">
        <v>1.2999999999999999E-2</v>
      </c>
      <c r="H56" s="1041">
        <v>1.4E-2</v>
      </c>
      <c r="I56" s="1041">
        <v>1.4999999999999999E-2</v>
      </c>
      <c r="J56" s="1041">
        <v>1.6E-2</v>
      </c>
      <c r="K56" s="1041">
        <v>1.7000000000000001E-2</v>
      </c>
      <c r="L56" s="1041">
        <v>1.7999999999999999E-2</v>
      </c>
      <c r="M56" s="1041">
        <v>1.9E-2</v>
      </c>
      <c r="N56" s="1041">
        <v>2.1000000000000001E-2</v>
      </c>
      <c r="O56" s="1041">
        <v>2.4E-2</v>
      </c>
      <c r="P56" s="1041">
        <v>2.9000000000000001E-2</v>
      </c>
      <c r="Q56" s="1041">
        <v>3.1E-2</v>
      </c>
      <c r="R56" s="1041">
        <v>3.5000000000000003E-2</v>
      </c>
      <c r="S56" s="1041">
        <v>3.7999999999999999E-2</v>
      </c>
      <c r="T56" s="1041">
        <v>0.193</v>
      </c>
      <c r="U56" s="1041">
        <v>0.67600000000000005</v>
      </c>
      <c r="V56" s="1041">
        <v>1.8740000000000001</v>
      </c>
      <c r="W56" s="1041">
        <v>10.667999999999999</v>
      </c>
      <c r="X56" s="1041">
        <v>18.637</v>
      </c>
      <c r="Y56" s="1041">
        <v>21.228999999999999</v>
      </c>
      <c r="Z56" s="1041">
        <v>21.837</v>
      </c>
      <c r="AA56" s="1041">
        <v>22.588000000000001</v>
      </c>
      <c r="AB56" s="1041">
        <v>21.757000000000001</v>
      </c>
      <c r="AC56" s="1041">
        <v>24.016821</v>
      </c>
      <c r="AD56" s="1041">
        <v>22.265364000000002</v>
      </c>
      <c r="AE56" s="1041">
        <v>23.319782</v>
      </c>
      <c r="AF56" s="1041">
        <v>24.551025000000003</v>
      </c>
      <c r="AG56" s="1041">
        <v>24.632683</v>
      </c>
      <c r="AH56" s="1041">
        <v>27.674109000000001</v>
      </c>
      <c r="AI56" s="1041">
        <v>30.232507999999999</v>
      </c>
      <c r="AJ56" s="1041">
        <v>35.355741000000002</v>
      </c>
      <c r="AK56" s="848">
        <v>43.998994321323075</v>
      </c>
      <c r="AO56" s="95"/>
      <c r="AR56" s="940"/>
      <c r="AX56" s="133"/>
      <c r="AY56" s="991"/>
    </row>
    <row r="57" spans="1:59">
      <c r="A57" s="5" t="s">
        <v>2</v>
      </c>
      <c r="B57" s="1041">
        <v>3.0579999999999998</v>
      </c>
      <c r="C57" s="1041">
        <v>3.0030000000000001</v>
      </c>
      <c r="D57" s="1041">
        <v>3.254</v>
      </c>
      <c r="E57" s="1041">
        <v>3.4590000000000001</v>
      </c>
      <c r="F57" s="1041">
        <v>3.198</v>
      </c>
      <c r="G57" s="1041">
        <v>3.2189999999999999</v>
      </c>
      <c r="H57" s="1041">
        <v>3.5329999999999999</v>
      </c>
      <c r="I57" s="1041">
        <v>3.6720000000000002</v>
      </c>
      <c r="J57" s="1041">
        <v>3.9580000000000002</v>
      </c>
      <c r="K57" s="1041">
        <v>4.1280000000000001</v>
      </c>
      <c r="L57" s="1041">
        <v>4.4160000000000004</v>
      </c>
      <c r="M57" s="1041">
        <v>4.2560000000000002</v>
      </c>
      <c r="N57" s="1041">
        <v>4.3849999999999998</v>
      </c>
      <c r="O57" s="1041">
        <v>5.0359999999999996</v>
      </c>
      <c r="P57" s="1041">
        <v>5.1269999999999998</v>
      </c>
      <c r="Q57" s="1041">
        <v>5.0220000000000002</v>
      </c>
      <c r="R57" s="1041">
        <v>5.2080000000000002</v>
      </c>
      <c r="S57" s="1041">
        <v>5.2430000000000003</v>
      </c>
      <c r="T57" s="1041">
        <v>5.1980000000000004</v>
      </c>
      <c r="U57" s="1041">
        <v>5.016</v>
      </c>
      <c r="V57" s="1041">
        <v>5.0460000000000003</v>
      </c>
      <c r="W57" s="1041">
        <v>5.3150000000000004</v>
      </c>
      <c r="X57" s="1041">
        <v>5.2519999999999998</v>
      </c>
      <c r="Y57" s="1041">
        <v>5.32</v>
      </c>
      <c r="Z57" s="1041">
        <v>5.5670000000000002</v>
      </c>
      <c r="AA57" s="1041">
        <v>5.8239999999999998</v>
      </c>
      <c r="AB57" s="1041">
        <v>5.867</v>
      </c>
      <c r="AC57" s="1041">
        <v>5.8214600000000001</v>
      </c>
      <c r="AD57" s="1041">
        <v>5.7573230000000004</v>
      </c>
      <c r="AE57" s="1041">
        <v>5.6888019999999999</v>
      </c>
      <c r="AF57" s="1041">
        <v>5.6468549999999995</v>
      </c>
      <c r="AG57" s="1041">
        <v>5.5355090000000002</v>
      </c>
      <c r="AH57" s="1041">
        <v>5.449344</v>
      </c>
      <c r="AI57" s="1041">
        <v>5.3099229999999995</v>
      </c>
      <c r="AJ57" s="1041">
        <v>5.2755730000000005</v>
      </c>
      <c r="AK57" s="848">
        <v>5.2635168969833286</v>
      </c>
      <c r="AO57" s="95"/>
      <c r="AR57" s="940"/>
      <c r="AX57" s="133"/>
    </row>
    <row r="58" spans="1:59">
      <c r="A58" s="5" t="s">
        <v>147</v>
      </c>
      <c r="B58" s="1041">
        <v>4.7542710488010412E-2</v>
      </c>
      <c r="C58" s="1041">
        <v>9.3977629663678855E-2</v>
      </c>
      <c r="D58" s="1041">
        <v>8.4930667279552577E-2</v>
      </c>
      <c r="E58" s="1041">
        <v>9.6008580402972485E-2</v>
      </c>
      <c r="F58" s="1041">
        <v>0.17572339692024821</v>
      </c>
      <c r="G58" s="1041">
        <v>0.27962499042365735</v>
      </c>
      <c r="H58" s="1041">
        <v>0.4469014785872979</v>
      </c>
      <c r="I58" s="1041">
        <v>0.64081111621849396</v>
      </c>
      <c r="J58" s="1041">
        <v>0.91992836895732777</v>
      </c>
      <c r="K58" s="1041">
        <v>1.3808618708342908</v>
      </c>
      <c r="L58" s="1041">
        <v>1.3889395158201179</v>
      </c>
      <c r="M58" s="1041">
        <v>1.8074999999999997</v>
      </c>
      <c r="N58" s="1041">
        <v>2.5012500000000002</v>
      </c>
      <c r="O58" s="1041">
        <v>3.3370499999999996</v>
      </c>
      <c r="P58" s="1041">
        <v>4.1979499999999996</v>
      </c>
      <c r="Q58" s="1041">
        <v>4.5074500000000004</v>
      </c>
      <c r="R58" s="1041">
        <v>4.9443000000000001</v>
      </c>
      <c r="S58" s="1041">
        <v>5.0559500000000011</v>
      </c>
      <c r="T58" s="1041">
        <v>5.5861999999999998</v>
      </c>
      <c r="U58" s="1041">
        <v>7.0964499999999999</v>
      </c>
      <c r="V58" s="1041">
        <v>8.9066500000000008</v>
      </c>
      <c r="W58" s="1041">
        <v>10.114050000000001</v>
      </c>
      <c r="X58" s="1041">
        <v>11.633100000000001</v>
      </c>
      <c r="Y58" s="1041">
        <v>15.841549999999998</v>
      </c>
      <c r="Z58" s="1041">
        <v>17.370650000000001</v>
      </c>
      <c r="AA58" s="1041">
        <v>17.930150000000001</v>
      </c>
      <c r="AB58" s="1041">
        <v>17.956</v>
      </c>
      <c r="AC58" s="1041">
        <v>17.833798831765417</v>
      </c>
      <c r="AD58" s="1041">
        <v>17.649679584723597</v>
      </c>
      <c r="AE58" s="1041">
        <v>17.967416931580004</v>
      </c>
      <c r="AF58" s="1041">
        <v>18.06342452746</v>
      </c>
      <c r="AG58" s="1041">
        <v>17.495623930565003</v>
      </c>
      <c r="AH58" s="1041">
        <v>16.094216925990001</v>
      </c>
      <c r="AI58" s="1041">
        <v>14.570911059942695</v>
      </c>
      <c r="AJ58" s="1041">
        <v>15.699033817016279</v>
      </c>
      <c r="AK58" s="848">
        <v>16.508882466050171</v>
      </c>
      <c r="AO58" s="95"/>
      <c r="AR58" s="940"/>
      <c r="AX58" s="133"/>
    </row>
    <row r="59" spans="1:59">
      <c r="A59" s="5" t="s">
        <v>565</v>
      </c>
      <c r="B59" s="847">
        <v>0</v>
      </c>
      <c r="C59" s="847">
        <v>0</v>
      </c>
      <c r="D59" s="847">
        <v>0</v>
      </c>
      <c r="E59" s="847">
        <v>0</v>
      </c>
      <c r="F59" s="847">
        <v>0</v>
      </c>
      <c r="G59" s="847">
        <v>0</v>
      </c>
      <c r="H59" s="847">
        <v>0</v>
      </c>
      <c r="I59" s="847">
        <v>0</v>
      </c>
      <c r="J59" s="847">
        <v>0</v>
      </c>
      <c r="K59" s="847">
        <v>0</v>
      </c>
      <c r="L59" s="847">
        <v>0</v>
      </c>
      <c r="M59" s="847">
        <v>0</v>
      </c>
      <c r="N59" s="847">
        <v>0</v>
      </c>
      <c r="O59" s="847">
        <v>0</v>
      </c>
      <c r="P59" s="847">
        <v>0</v>
      </c>
      <c r="Q59" s="847">
        <v>0</v>
      </c>
      <c r="R59" s="847">
        <v>0</v>
      </c>
      <c r="S59" s="847">
        <v>0</v>
      </c>
      <c r="T59" s="847">
        <v>0</v>
      </c>
      <c r="U59" s="847">
        <v>0</v>
      </c>
      <c r="V59" s="847">
        <v>0</v>
      </c>
      <c r="W59" s="847">
        <v>0</v>
      </c>
      <c r="X59" s="847">
        <v>0</v>
      </c>
      <c r="Y59" s="847">
        <v>0</v>
      </c>
      <c r="Z59" s="847">
        <v>0</v>
      </c>
      <c r="AA59" s="847">
        <v>0</v>
      </c>
      <c r="AB59" s="847">
        <v>0</v>
      </c>
      <c r="AC59" s="847">
        <v>0</v>
      </c>
      <c r="AD59" s="847">
        <v>0</v>
      </c>
      <c r="AE59" s="847">
        <v>0</v>
      </c>
      <c r="AF59" s="847">
        <v>0</v>
      </c>
      <c r="AG59" s="847">
        <v>0</v>
      </c>
      <c r="AH59" s="935">
        <v>8.9999999999998068E-5</v>
      </c>
      <c r="AI59" s="935">
        <v>8.3040000000000006E-3</v>
      </c>
      <c r="AJ59" s="935">
        <v>0.13147999999999999</v>
      </c>
      <c r="AK59" s="848">
        <v>1.6371874750865791</v>
      </c>
      <c r="AO59" s="95"/>
      <c r="AR59" s="940"/>
      <c r="AX59" s="133"/>
    </row>
    <row r="60" spans="1:59">
      <c r="A60" s="662" t="s">
        <v>669</v>
      </c>
      <c r="B60" s="850">
        <f>'1'!B11</f>
        <v>205.06399999999999</v>
      </c>
      <c r="C60" s="850">
        <f>'1'!C11</f>
        <v>210.29050000000001</v>
      </c>
      <c r="D60" s="850">
        <f>'1'!D11</f>
        <v>214.44300000000001</v>
      </c>
      <c r="E60" s="850">
        <f>'1'!E11</f>
        <v>211.37100000000001</v>
      </c>
      <c r="F60" s="850">
        <f>'1'!F11</f>
        <v>220.17169999999999</v>
      </c>
      <c r="G60" s="850">
        <f>'1'!G11</f>
        <v>229.21529999999998</v>
      </c>
      <c r="H60" s="850">
        <f>'1'!H11</f>
        <v>232.37270000000001</v>
      </c>
      <c r="I60" s="850">
        <f>'1'!I11</f>
        <v>239.29379999999998</v>
      </c>
      <c r="J60" s="850">
        <f>'1'!J11</f>
        <v>246.94700000000003</v>
      </c>
      <c r="K60" s="850">
        <f>'1'!K11</f>
        <v>252.74020000000002</v>
      </c>
      <c r="L60" s="850">
        <f>'1'!L11</f>
        <v>263.30568399999993</v>
      </c>
      <c r="M60" s="850">
        <f>'1'!M11</f>
        <v>265.98120199999994</v>
      </c>
      <c r="N60" s="850">
        <f>'1'!N11</f>
        <v>270.79930300000001</v>
      </c>
      <c r="O60" s="850">
        <f>'1'!O11</f>
        <v>280.20184</v>
      </c>
      <c r="P60" s="850">
        <f>'1'!P11</f>
        <v>290.04793100000001</v>
      </c>
      <c r="Q60" s="850">
        <f>'1'!Q11</f>
        <v>290.63293400000003</v>
      </c>
      <c r="R60" s="850">
        <f>'1'!R11</f>
        <v>301.25962900000007</v>
      </c>
      <c r="S60" s="850">
        <f>'1'!S11</f>
        <v>301.29992800000008</v>
      </c>
      <c r="T60" s="850">
        <f>'1'!T11</f>
        <v>307.06361400000003</v>
      </c>
      <c r="U60" s="850">
        <f>'1'!U11</f>
        <v>281.10918500000002</v>
      </c>
      <c r="V60" s="850">
        <f>'1'!V11</f>
        <v>290.74465799999996</v>
      </c>
      <c r="W60" s="850">
        <f>'1'!W11</f>
        <v>291.44062799999995</v>
      </c>
      <c r="X60" s="850">
        <f>'1'!X11</f>
        <v>287.80258199999992</v>
      </c>
      <c r="Y60" s="850">
        <f>'1'!Y11</f>
        <v>278.83069700000004</v>
      </c>
      <c r="Z60" s="850">
        <f>'1'!Z11</f>
        <v>269.14879200000001</v>
      </c>
      <c r="AA60" s="850">
        <f>'1'!AA11</f>
        <v>272.42895299999998</v>
      </c>
      <c r="AB60" s="850">
        <f>'1'!AB11</f>
        <v>279.70286199999998</v>
      </c>
      <c r="AC60" s="850">
        <f>'1'!AC11</f>
        <v>285.26563117200004</v>
      </c>
      <c r="AD60" s="850">
        <f>'1'!AD11</f>
        <v>279.84464572702001</v>
      </c>
      <c r="AE60" s="850">
        <f>'1'!AE11</f>
        <v>283.95008719754003</v>
      </c>
      <c r="AF60" s="850">
        <f>'1'!AF11</f>
        <v>271.64801400000005</v>
      </c>
      <c r="AG60" s="850">
        <f>'1'!AG11</f>
        <v>280.04525605539993</v>
      </c>
      <c r="AH60" s="850">
        <f>'1'!AH11</f>
        <v>274.60799216482997</v>
      </c>
      <c r="AI60" s="850">
        <f>'1'!AI11</f>
        <v>256.56192462643907</v>
      </c>
      <c r="AJ60" s="850">
        <f>'1'!AJ11</f>
        <v>263.22932410961192</v>
      </c>
      <c r="AK60" s="852">
        <f>'1'!AK11</f>
        <v>269.7482</v>
      </c>
      <c r="AN60" s="1004" t="s">
        <v>767</v>
      </c>
      <c r="AR60" s="940"/>
      <c r="AX60" s="133"/>
      <c r="BC60" s="1004" t="s">
        <v>116</v>
      </c>
      <c r="BD60" s="133"/>
    </row>
    <row r="61" spans="1:59">
      <c r="A61" s="662" t="s">
        <v>668</v>
      </c>
      <c r="B61" s="850">
        <f>SUM(B45,B47:B51,B53,B55:B58)</f>
        <v>200.2819641363175</v>
      </c>
      <c r="C61" s="850">
        <f t="shared" ref="C61:AK61" si="21">SUM(C45,C47:C51,C53,C55:C58)</f>
        <v>205.71317804621489</v>
      </c>
      <c r="D61" s="850">
        <f t="shared" si="21"/>
        <v>209.49683234870301</v>
      </c>
      <c r="E61" s="850">
        <f t="shared" si="21"/>
        <v>207.18247308756872</v>
      </c>
      <c r="F61" s="850">
        <f t="shared" si="21"/>
        <v>216.02155239641849</v>
      </c>
      <c r="G61" s="850">
        <f t="shared" si="21"/>
        <v>223.58963775092295</v>
      </c>
      <c r="H61" s="850">
        <f t="shared" si="21"/>
        <v>225.49236785954497</v>
      </c>
      <c r="I61" s="850">
        <f t="shared" si="21"/>
        <v>232.56852258787706</v>
      </c>
      <c r="J61" s="850">
        <f t="shared" si="21"/>
        <v>238.58867856694837</v>
      </c>
      <c r="K61" s="850">
        <f t="shared" si="21"/>
        <v>243.83751709017179</v>
      </c>
      <c r="L61" s="850">
        <f t="shared" si="21"/>
        <v>254.17541488555261</v>
      </c>
      <c r="M61" s="850">
        <f t="shared" si="21"/>
        <v>256.47015800000003</v>
      </c>
      <c r="N61" s="850">
        <f t="shared" si="21"/>
        <v>260.16701399999999</v>
      </c>
      <c r="O61" s="850">
        <f t="shared" si="21"/>
        <v>269.72840499999995</v>
      </c>
      <c r="P61" s="850">
        <f t="shared" si="21"/>
        <v>279.77173699999997</v>
      </c>
      <c r="Q61" s="850">
        <f t="shared" si="21"/>
        <v>281.31593400000003</v>
      </c>
      <c r="R61" s="850">
        <f t="shared" si="21"/>
        <v>292.50709200000006</v>
      </c>
      <c r="S61" s="850">
        <f t="shared" si="21"/>
        <v>293.64417700000001</v>
      </c>
      <c r="T61" s="850">
        <f t="shared" si="21"/>
        <v>299.44655199999994</v>
      </c>
      <c r="U61" s="850">
        <f t="shared" si="21"/>
        <v>275.30896300000001</v>
      </c>
      <c r="V61" s="850">
        <f t="shared" si="21"/>
        <v>286.29414100000002</v>
      </c>
      <c r="W61" s="850">
        <f t="shared" si="21"/>
        <v>288.90738599999997</v>
      </c>
      <c r="X61" s="850">
        <f t="shared" si="21"/>
        <v>285.11658300000005</v>
      </c>
      <c r="Y61" s="850">
        <f t="shared" si="21"/>
        <v>276.33819199999999</v>
      </c>
      <c r="Z61" s="850">
        <f t="shared" si="21"/>
        <v>266.81923499999999</v>
      </c>
      <c r="AA61" s="850">
        <f t="shared" si="21"/>
        <v>270.51982100000004</v>
      </c>
      <c r="AB61" s="850">
        <f t="shared" si="21"/>
        <v>277.23472200000003</v>
      </c>
      <c r="AC61" s="850">
        <f t="shared" si="21"/>
        <v>282.78748745021005</v>
      </c>
      <c r="AD61" s="850">
        <f t="shared" si="21"/>
        <v>277.53233936193999</v>
      </c>
      <c r="AE61" s="850">
        <f t="shared" si="21"/>
        <v>281.48087049147</v>
      </c>
      <c r="AF61" s="850">
        <f t="shared" si="21"/>
        <v>268.97999034771999</v>
      </c>
      <c r="AG61" s="850">
        <f t="shared" si="21"/>
        <v>277.12906218902998</v>
      </c>
      <c r="AH61" s="850">
        <f t="shared" si="21"/>
        <v>272.02169096056002</v>
      </c>
      <c r="AI61" s="850">
        <f t="shared" si="21"/>
        <v>254.36487121642952</v>
      </c>
      <c r="AJ61" s="850">
        <f t="shared" si="21"/>
        <v>260.91432415989351</v>
      </c>
      <c r="AK61" s="851">
        <f t="shared" si="21"/>
        <v>265.40118726483354</v>
      </c>
      <c r="AM61" s="992">
        <f>SUM(AM45:AM51)</f>
        <v>267.21921088451666</v>
      </c>
      <c r="AN61" s="1047">
        <f>HLOOKUP(AN43,'1'!$A$4:$AK$20,17,FALSE)</f>
        <v>6.348632465210749E-2</v>
      </c>
      <c r="AO61" s="939">
        <f>SUM(AO45:AO51)</f>
        <v>233.13579184377164</v>
      </c>
      <c r="AP61" s="940">
        <f>SUM(AP45:AP51)</f>
        <v>1</v>
      </c>
      <c r="AQ61" s="939">
        <f>SUM(AQ45:AQ51)</f>
        <v>34.083419040745028</v>
      </c>
      <c r="AR61" s="940">
        <f>SUM(AR45:AR51)</f>
        <v>1</v>
      </c>
      <c r="AT61" s="1031">
        <f>SUMIF(AT45:AT51,"&lt;0",AT45:AT51)</f>
        <v>0</v>
      </c>
      <c r="AU61" s="940">
        <f>SUM(AU45:AU51)</f>
        <v>1</v>
      </c>
      <c r="AV61" s="792" t="s">
        <v>779</v>
      </c>
      <c r="AW61" s="153">
        <f>SUMPRODUCT(AZ45:AZ51,AW45:AW51)/AZ61</f>
        <v>237.66396742375875</v>
      </c>
      <c r="AX61" s="1006">
        <f>SUM(AX45:AX51)</f>
        <v>34083.419040745037</v>
      </c>
      <c r="AZ61" s="997">
        <f>SUM(AZ45:AZ51)</f>
        <v>35123.149285942214</v>
      </c>
      <c r="BA61" s="997">
        <f>SUM(BA45:BA51)+BA53</f>
        <v>8347.5070077139881</v>
      </c>
      <c r="BB61" s="2" t="s">
        <v>772</v>
      </c>
      <c r="BC61" s="1003">
        <f>AQ61+HLOOKUP(AN43,'1'!$A$4:$AK$20,12,FALSE)-AO54</f>
        <v>79.154395421061921</v>
      </c>
      <c r="BD61" s="1006">
        <f>SUM(BD45:BD51)</f>
        <v>82453.448806210217</v>
      </c>
      <c r="BE61" s="997">
        <f>SUM(BE45:BE51)</f>
        <v>32227.033719592182</v>
      </c>
      <c r="BG61" s="1055">
        <f>BC61+AO61</f>
        <v>312.29018726483355</v>
      </c>
    </row>
    <row r="62" spans="1:59">
      <c r="A62" s="79" t="s">
        <v>841</v>
      </c>
      <c r="B62" s="161">
        <v>96.610741811639755</v>
      </c>
      <c r="C62" s="161">
        <v>97.787729137846711</v>
      </c>
      <c r="D62" s="161">
        <v>108.59280458324599</v>
      </c>
      <c r="E62" s="161">
        <v>106.61079414168935</v>
      </c>
      <c r="F62" s="161">
        <v>109.14373844756514</v>
      </c>
      <c r="G62" s="161">
        <v>113.65006441696359</v>
      </c>
      <c r="H62" s="161">
        <v>110.17472707329</v>
      </c>
      <c r="I62" s="161">
        <v>106.67034943058756</v>
      </c>
      <c r="J62" s="161">
        <v>100.75400448892614</v>
      </c>
      <c r="K62" s="161">
        <v>85.573351327464536</v>
      </c>
      <c r="L62" s="161">
        <v>77.008972</v>
      </c>
      <c r="M62" s="161">
        <v>62.040388254750376</v>
      </c>
      <c r="N62" s="161">
        <v>72.059200000000004</v>
      </c>
      <c r="O62" s="161">
        <v>61.500799999999998</v>
      </c>
      <c r="P62" s="161">
        <v>44.115199999999994</v>
      </c>
      <c r="Q62" s="161">
        <v>33.145200000000003</v>
      </c>
      <c r="R62" s="847">
        <v>31.297599999999999</v>
      </c>
      <c r="S62" s="847">
        <v>20.871100000000002</v>
      </c>
      <c r="T62" s="847">
        <v>17.425900000000002</v>
      </c>
      <c r="U62" s="847">
        <v>14.327999999999999</v>
      </c>
      <c r="V62" s="847">
        <v>8.9268000000000001</v>
      </c>
      <c r="W62" s="847">
        <v>7.6334999999999997</v>
      </c>
      <c r="X62" s="847">
        <v>6.3875000000000002</v>
      </c>
      <c r="Y62" s="847">
        <v>4.8986000000000001</v>
      </c>
      <c r="Z62" s="847">
        <v>4.2717000000000009</v>
      </c>
      <c r="AA62" s="847">
        <v>5.0934999999999997</v>
      </c>
      <c r="AB62" s="847">
        <v>3.8263000000000003</v>
      </c>
      <c r="AC62" s="847">
        <v>3.7553267474900003</v>
      </c>
      <c r="AD62" s="847">
        <v>3.0637694582200004</v>
      </c>
      <c r="AE62" s="847">
        <v>3.2247289424900001</v>
      </c>
      <c r="AF62" s="847">
        <v>2.9840888301900006</v>
      </c>
      <c r="AG62" s="847">
        <v>3.5706802734199998</v>
      </c>
      <c r="AH62" s="847">
        <v>4.5945691832699991</v>
      </c>
      <c r="AI62" s="847">
        <v>3.3931136086772975</v>
      </c>
      <c r="AJ62" s="847">
        <v>2.3780684147743658</v>
      </c>
      <c r="AK62" s="848">
        <v>2.1516744042258606</v>
      </c>
      <c r="AM62" s="417"/>
      <c r="AO62" s="1025">
        <f>+AO61+AQ61-AM61</f>
        <v>0</v>
      </c>
      <c r="AQ62" s="787">
        <f>AQ61/BG61</f>
        <v>0.10914021775471618</v>
      </c>
      <c r="BB62" s="2" t="s">
        <v>766</v>
      </c>
      <c r="BC62" s="153">
        <f>SUMPRODUCT(BD45:BD51,AW45:AW51)/BD61</f>
        <v>390.85125226641719</v>
      </c>
      <c r="BG62" s="787">
        <f>(+BC61)/BG61</f>
        <v>0.25346424142983426</v>
      </c>
    </row>
    <row r="63" spans="1:59" ht="18.5">
      <c r="A63" s="79" t="s">
        <v>831</v>
      </c>
      <c r="B63" s="161">
        <v>7.0586332412521848</v>
      </c>
      <c r="C63" s="161">
        <v>6.9937226872682734</v>
      </c>
      <c r="D63" s="161">
        <v>7.4633582464722243</v>
      </c>
      <c r="E63" s="161">
        <v>6.8790995732340523</v>
      </c>
      <c r="F63" s="161">
        <v>6.4033105769132082</v>
      </c>
      <c r="G63" s="161">
        <v>7.839913101542046</v>
      </c>
      <c r="H63" s="161">
        <v>8.5458009294481752</v>
      </c>
      <c r="I63" s="161">
        <v>9.7636362259095613</v>
      </c>
      <c r="J63" s="161">
        <v>11.321999338065183</v>
      </c>
      <c r="K63" s="161">
        <v>11.512396882591041</v>
      </c>
      <c r="L63" s="161">
        <v>15.478063369732508</v>
      </c>
      <c r="M63" s="161">
        <v>21.493883</v>
      </c>
      <c r="N63" s="161">
        <v>23.797703000000002</v>
      </c>
      <c r="O63" s="161">
        <v>24.422015000000002</v>
      </c>
      <c r="P63" s="161">
        <v>26.144278999999997</v>
      </c>
      <c r="Q63" s="161">
        <v>25.825217000000002</v>
      </c>
      <c r="R63" s="161">
        <v>26.591152000000001</v>
      </c>
      <c r="S63" s="161">
        <v>25.804072000000001</v>
      </c>
      <c r="T63" s="161">
        <v>25.456478000000001</v>
      </c>
      <c r="U63" s="161">
        <v>20.011645999999999</v>
      </c>
      <c r="V63" s="161">
        <v>22.195249</v>
      </c>
      <c r="W63" s="161">
        <v>21.401046999999998</v>
      </c>
      <c r="X63" s="161">
        <v>21.128408</v>
      </c>
      <c r="Y63" s="161">
        <v>17.747649999999997</v>
      </c>
      <c r="Z63" s="161">
        <v>16.653452000000005</v>
      </c>
      <c r="AA63" s="161">
        <v>13.817994000000001</v>
      </c>
      <c r="AB63" s="161">
        <v>15.153004000000005</v>
      </c>
      <c r="AC63" s="161">
        <v>14.193906374140003</v>
      </c>
      <c r="AD63" s="161">
        <v>14.318020818264998</v>
      </c>
      <c r="AE63" s="161">
        <v>13.33624949567</v>
      </c>
      <c r="AF63" s="161">
        <v>12.79323560169</v>
      </c>
      <c r="AG63" s="161">
        <v>10.316437280285005</v>
      </c>
      <c r="AH63" s="161">
        <v>13.878446405950001</v>
      </c>
      <c r="AI63" s="161">
        <v>11.690741575670753</v>
      </c>
      <c r="AJ63" s="161">
        <v>10.859981356529181</v>
      </c>
      <c r="AK63" s="848">
        <v>10.537705801077815</v>
      </c>
      <c r="AN63" s="938" t="s">
        <v>801</v>
      </c>
    </row>
    <row r="64" spans="1:59">
      <c r="A64" s="79" t="s">
        <v>706</v>
      </c>
      <c r="B64" s="161">
        <f>SUM(B53,B55:B58)</f>
        <v>32.897542710488004</v>
      </c>
      <c r="C64" s="161">
        <f t="shared" ref="C64:AK64" si="22">SUM(C53,C55:C58)</f>
        <v>43.578977629663683</v>
      </c>
      <c r="D64" s="161">
        <f t="shared" si="22"/>
        <v>43.625930667279547</v>
      </c>
      <c r="E64" s="161">
        <f t="shared" si="22"/>
        <v>43.321008580402975</v>
      </c>
      <c r="F64" s="161">
        <f t="shared" si="22"/>
        <v>46.412723396920249</v>
      </c>
      <c r="G64" s="161">
        <f t="shared" si="22"/>
        <v>39.269624990423658</v>
      </c>
      <c r="H64" s="161">
        <f t="shared" si="22"/>
        <v>43.632901478587307</v>
      </c>
      <c r="I64" s="161">
        <f t="shared" si="22"/>
        <v>43.698811116218486</v>
      </c>
      <c r="J64" s="161">
        <f t="shared" si="22"/>
        <v>43.541928368957329</v>
      </c>
      <c r="K64" s="161">
        <f t="shared" si="22"/>
        <v>48.17886187083429</v>
      </c>
      <c r="L64" s="161">
        <f t="shared" si="22"/>
        <v>47.485158515820125</v>
      </c>
      <c r="M64" s="161">
        <f t="shared" si="22"/>
        <v>51.002758000000007</v>
      </c>
      <c r="N64" s="161">
        <f t="shared" si="22"/>
        <v>44.275764000000002</v>
      </c>
      <c r="O64" s="161">
        <f t="shared" si="22"/>
        <v>43.010755000000003</v>
      </c>
      <c r="P64" s="161">
        <f t="shared" si="22"/>
        <v>50.181687000000004</v>
      </c>
      <c r="Q64" s="161">
        <f t="shared" si="22"/>
        <v>44.93638399999999</v>
      </c>
      <c r="R64" s="161">
        <f t="shared" si="22"/>
        <v>47.281991999999995</v>
      </c>
      <c r="S64" s="161">
        <f t="shared" si="22"/>
        <v>44.677227000000009</v>
      </c>
      <c r="T64" s="161">
        <f t="shared" si="22"/>
        <v>54.883752000000001</v>
      </c>
      <c r="U64" s="161">
        <f t="shared" si="22"/>
        <v>66.318713000000002</v>
      </c>
      <c r="V64" s="161">
        <f t="shared" si="22"/>
        <v>74.216891000000004</v>
      </c>
      <c r="W64" s="161">
        <f t="shared" si="22"/>
        <v>80.535136000000008</v>
      </c>
      <c r="X64" s="161">
        <f t="shared" si="22"/>
        <v>89.422483</v>
      </c>
      <c r="Y64" s="161">
        <f t="shared" si="22"/>
        <v>108.775942</v>
      </c>
      <c r="Z64" s="161">
        <f t="shared" si="22"/>
        <v>117.109585</v>
      </c>
      <c r="AA64" s="161">
        <f t="shared" si="22"/>
        <v>105.58957099999999</v>
      </c>
      <c r="AB64" s="161">
        <f t="shared" si="22"/>
        <v>104.41962200000002</v>
      </c>
      <c r="AC64" s="161">
        <f t="shared" si="22"/>
        <v>100.31597083176543</v>
      </c>
      <c r="AD64" s="161">
        <f t="shared" si="22"/>
        <v>110.84589958472361</v>
      </c>
      <c r="AE64" s="161">
        <f t="shared" si="22"/>
        <v>112.13125793158001</v>
      </c>
      <c r="AF64" s="161">
        <f t="shared" si="22"/>
        <v>113.15335052746001</v>
      </c>
      <c r="AG64" s="161">
        <f t="shared" si="22"/>
        <v>112.390570930565</v>
      </c>
      <c r="AH64" s="161">
        <f t="shared" si="22"/>
        <v>96.83962092598999</v>
      </c>
      <c r="AI64" s="161">
        <f t="shared" si="22"/>
        <v>112.78008305994271</v>
      </c>
      <c r="AJ64" s="161">
        <f t="shared" si="22"/>
        <v>130.25254981701627</v>
      </c>
      <c r="AK64" s="848">
        <f t="shared" si="22"/>
        <v>127.89507620978601</v>
      </c>
      <c r="AN64" s="937" t="s">
        <v>798</v>
      </c>
    </row>
    <row r="65" spans="1:55" ht="18.5">
      <c r="A65" s="1044" t="s">
        <v>834</v>
      </c>
      <c r="B65" s="979">
        <f t="shared" ref="B65:AE65" si="23">+B62+B63-B49-B50-B51-B48-B54</f>
        <v>-3.9968028886505635E-15</v>
      </c>
      <c r="C65" s="979">
        <f t="shared" si="23"/>
        <v>0</v>
      </c>
      <c r="D65" s="979">
        <f t="shared" si="23"/>
        <v>0</v>
      </c>
      <c r="E65" s="979">
        <f t="shared" si="23"/>
        <v>5.773159728050814E-15</v>
      </c>
      <c r="F65" s="979">
        <f t="shared" si="23"/>
        <v>5.773159728050814E-15</v>
      </c>
      <c r="G65" s="979">
        <f t="shared" si="23"/>
        <v>0</v>
      </c>
      <c r="H65" s="979">
        <f t="shared" si="23"/>
        <v>0</v>
      </c>
      <c r="I65" s="979">
        <f t="shared" si="23"/>
        <v>0</v>
      </c>
      <c r="J65" s="979">
        <f t="shared" si="23"/>
        <v>6.0000000000002274E-3</v>
      </c>
      <c r="K65" s="979">
        <f t="shared" si="23"/>
        <v>7.0000000000076668E-3</v>
      </c>
      <c r="L65" s="979">
        <f t="shared" si="23"/>
        <v>0</v>
      </c>
      <c r="M65" s="979">
        <f t="shared" si="23"/>
        <v>1.4210854715202004E-14</v>
      </c>
      <c r="N65" s="979">
        <f t="shared" si="23"/>
        <v>0</v>
      </c>
      <c r="O65" s="979">
        <f t="shared" si="23"/>
        <v>0</v>
      </c>
      <c r="P65" s="979">
        <f t="shared" si="23"/>
        <v>0</v>
      </c>
      <c r="Q65" s="979">
        <f t="shared" si="23"/>
        <v>0</v>
      </c>
      <c r="R65" s="979">
        <f t="shared" si="23"/>
        <v>0</v>
      </c>
      <c r="S65" s="979">
        <f t="shared" si="23"/>
        <v>0</v>
      </c>
      <c r="T65" s="979">
        <f t="shared" si="23"/>
        <v>0</v>
      </c>
      <c r="U65" s="979">
        <f t="shared" si="23"/>
        <v>0</v>
      </c>
      <c r="V65" s="979">
        <f t="shared" si="23"/>
        <v>0</v>
      </c>
      <c r="W65" s="979">
        <f t="shared" si="23"/>
        <v>0</v>
      </c>
      <c r="X65" s="979">
        <f t="shared" si="23"/>
        <v>0</v>
      </c>
      <c r="Y65" s="979">
        <f t="shared" si="23"/>
        <v>-1.7763568394002505E-15</v>
      </c>
      <c r="Z65" s="979">
        <f t="shared" si="23"/>
        <v>0</v>
      </c>
      <c r="AA65" s="979">
        <f t="shared" si="23"/>
        <v>0</v>
      </c>
      <c r="AB65" s="979">
        <f t="shared" si="23"/>
        <v>0</v>
      </c>
      <c r="AC65" s="979">
        <f t="shared" si="23"/>
        <v>-2.886579864025407E-15</v>
      </c>
      <c r="AD65" s="979">
        <f t="shared" si="23"/>
        <v>1.9984014443252818E-15</v>
      </c>
      <c r="AE65" s="979">
        <f t="shared" si="23"/>
        <v>2.4424906541753444E-15</v>
      </c>
      <c r="AF65" s="979">
        <f>+AF62+AF63-AF49-AF50-AF51-AF48-AF54</f>
        <v>0</v>
      </c>
      <c r="AG65" s="979">
        <f t="shared" ref="AG65:AK65" si="24">+AG62+AG63-AG49-AG50-AG51-AG48-AG54</f>
        <v>0</v>
      </c>
      <c r="AH65" s="979">
        <f t="shared" si="24"/>
        <v>0</v>
      </c>
      <c r="AI65" s="979">
        <f t="shared" si="24"/>
        <v>-9.999999999821263E-5</v>
      </c>
      <c r="AJ65" s="979">
        <f t="shared" si="24"/>
        <v>-2.6645352591003757E-15</v>
      </c>
      <c r="AK65" s="979">
        <f t="shared" si="24"/>
        <v>3.9968028886505635E-15</v>
      </c>
      <c r="AN65" s="1005" t="s">
        <v>116</v>
      </c>
      <c r="AO65" s="792">
        <v>2021</v>
      </c>
      <c r="AP65" s="792">
        <v>2022</v>
      </c>
      <c r="AQ65" s="792">
        <v>2023</v>
      </c>
      <c r="AR65" s="1038">
        <v>2024</v>
      </c>
      <c r="AS65" s="1038">
        <v>2025</v>
      </c>
    </row>
    <row r="66" spans="1:55">
      <c r="B66" s="979">
        <f>B61-'1'!B14</f>
        <v>-3.5863682512626838E-5</v>
      </c>
      <c r="C66" s="979">
        <f>C61-'1'!C14</f>
        <v>-3.2195378511801209E-4</v>
      </c>
      <c r="D66" s="979">
        <f>D61-'1'!D14</f>
        <v>-1.6765129700502257E-4</v>
      </c>
      <c r="E66" s="979">
        <f>E61-'1'!E14</f>
        <v>4.7308756873576385E-4</v>
      </c>
      <c r="F66" s="979">
        <f>F61-'1'!F14</f>
        <v>-1.4760358149601416E-4</v>
      </c>
      <c r="G66" s="979">
        <f>G61-'1'!G14</f>
        <v>3.3775092296650655E-4</v>
      </c>
      <c r="H66" s="979">
        <f>H61-'1'!H14</f>
        <v>1.6678595449661771E-3</v>
      </c>
      <c r="I66" s="979">
        <f>I61-'1'!I14</f>
        <v>2.7225878770593681E-3</v>
      </c>
      <c r="J66" s="979">
        <f>J61-'1'!J14</f>
        <v>-3.2143305165277525E-4</v>
      </c>
      <c r="K66" s="979">
        <f>K61-'1'!K14</f>
        <v>3.1709017176240195E-4</v>
      </c>
      <c r="L66" s="979">
        <f>L61-'1'!L14</f>
        <v>-2.6911444734878387E-4</v>
      </c>
      <c r="M66" s="979">
        <f>M61-'1'!M14</f>
        <v>-4.3999999888910679E-5</v>
      </c>
      <c r="N66" s="979">
        <f>N61-'1'!N14</f>
        <v>2.171099999998205E-2</v>
      </c>
      <c r="O66" s="979">
        <f>O61-'1'!O14</f>
        <v>1.9564999999943211E-2</v>
      </c>
      <c r="P66" s="979">
        <f>P61-'1'!P14</f>
        <v>2.3805999999979122E-2</v>
      </c>
      <c r="Q66" s="979">
        <f>Q61-'1'!Q14</f>
        <v>2.0000000000095497E-3</v>
      </c>
      <c r="R66" s="979">
        <f>R61-'1'!R14</f>
        <v>-5.3700000000844739E-4</v>
      </c>
      <c r="S66" s="979">
        <f>S61-'1'!S14</f>
        <v>-1.7510000000697801E-3</v>
      </c>
      <c r="T66" s="979">
        <f>T61-'1'!T14</f>
        <v>9.3799999996235783E-4</v>
      </c>
      <c r="U66" s="979">
        <f>U61-'1'!U14</f>
        <v>-2.2220000000174878E-3</v>
      </c>
      <c r="V66" s="979">
        <f>V61-'1'!V14</f>
        <v>2.4830000000974906E-3</v>
      </c>
      <c r="W66" s="979">
        <f>W61-'1'!W14</f>
        <v>5.7580000000143627E-3</v>
      </c>
      <c r="X66" s="979">
        <f>X61-'1'!X14</f>
        <v>3.0010000000970649E-3</v>
      </c>
      <c r="Y66" s="979">
        <f>Y61-'1'!Y14</f>
        <v>2.4949999999535066E-3</v>
      </c>
      <c r="Z66" s="979">
        <f>Z61-'1'!Z14</f>
        <v>-5.5700000001479566E-4</v>
      </c>
      <c r="AA66" s="979">
        <f>AA61-'1'!AA14</f>
        <v>-1.3199999995094913E-4</v>
      </c>
      <c r="AB66" s="979">
        <f>AB61-'1'!AB14</f>
        <v>-1.3999999993075107E-4</v>
      </c>
      <c r="AC66" s="979">
        <f>AC61-'1'!AC14</f>
        <v>1.8278210063726874E-5</v>
      </c>
      <c r="AD66" s="979">
        <f>AD61-'1'!AD14</f>
        <v>-2.7365080029539968E-5</v>
      </c>
      <c r="AE66" s="979">
        <f>AE61-'1'!AE14</f>
        <v>-1.670607002779434E-5</v>
      </c>
      <c r="AF66" s="979">
        <f>AF61-'1'!AF14</f>
        <v>-2.3652280049191177E-5</v>
      </c>
      <c r="AG66" s="979">
        <f>AG61-'1'!AG14</f>
        <v>-4.3866369935585681E-5</v>
      </c>
      <c r="AH66" s="979">
        <f>AH61-'1'!AH14</f>
        <v>4.8795730037909379E-5</v>
      </c>
      <c r="AI66" s="979">
        <f>AI61-'1'!AI14</f>
        <v>4.6589990461143316E-5</v>
      </c>
      <c r="AJ66" s="979">
        <f>AJ61-'1'!AJ14</f>
        <v>5.028158511777292E-8</v>
      </c>
      <c r="AK66" s="979">
        <f>AK61-'1'!AK14</f>
        <v>0</v>
      </c>
      <c r="AN66" s="2" t="s">
        <v>272</v>
      </c>
      <c r="AO66" s="95">
        <f>AO$84*$AR$83*5.03%</f>
        <v>12.207826239431659</v>
      </c>
      <c r="AP66" s="95">
        <f>AP$84*$AR$83*8.34%</f>
        <v>19.868170056043013</v>
      </c>
      <c r="AQ66" s="95">
        <f>AQ$84*$AR$83*5.27%</f>
        <v>11.739673821309962</v>
      </c>
      <c r="AR66" s="2">
        <v>3.46</v>
      </c>
      <c r="AS66" s="120">
        <v>2.9257148239271067</v>
      </c>
      <c r="AT66" s="97"/>
      <c r="AU66" s="97"/>
      <c r="AV66" s="97"/>
      <c r="AW66" s="97"/>
      <c r="AX66" s="97"/>
    </row>
    <row r="67" spans="1:55">
      <c r="A67" s="792" t="s">
        <v>664</v>
      </c>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N67" s="2" t="s">
        <v>274</v>
      </c>
      <c r="AO67" s="95">
        <f>AO$84*$AR$83*0%</f>
        <v>0</v>
      </c>
      <c r="AP67" s="95">
        <f>AP$84*$AR$83*0%</f>
        <v>0</v>
      </c>
      <c r="AQ67" s="95">
        <f>AQ$84*$AR$83*0%</f>
        <v>0</v>
      </c>
      <c r="AR67" s="95">
        <v>0</v>
      </c>
      <c r="AS67" s="120">
        <v>0</v>
      </c>
      <c r="AT67" s="97"/>
      <c r="AU67" s="97"/>
      <c r="AV67" s="97"/>
      <c r="AW67" s="97"/>
      <c r="AX67" s="97"/>
      <c r="BC67" s="417"/>
    </row>
    <row r="68" spans="1:55">
      <c r="A68" s="791" t="str">
        <f t="shared" ref="A68:AK68" si="25">A21</f>
        <v>Fonte</v>
      </c>
      <c r="B68" s="662">
        <f t="shared" si="25"/>
        <v>1990</v>
      </c>
      <c r="C68" s="662">
        <f t="shared" si="25"/>
        <v>1991</v>
      </c>
      <c r="D68" s="662">
        <f t="shared" si="25"/>
        <v>1992</v>
      </c>
      <c r="E68" s="662">
        <f t="shared" si="25"/>
        <v>1993</v>
      </c>
      <c r="F68" s="662">
        <f t="shared" si="25"/>
        <v>1994</v>
      </c>
      <c r="G68" s="662">
        <f t="shared" si="25"/>
        <v>1995</v>
      </c>
      <c r="H68" s="662">
        <f t="shared" si="25"/>
        <v>1996</v>
      </c>
      <c r="I68" s="662">
        <f t="shared" si="25"/>
        <v>1997</v>
      </c>
      <c r="J68" s="662">
        <f t="shared" si="25"/>
        <v>1998</v>
      </c>
      <c r="K68" s="662">
        <f t="shared" si="25"/>
        <v>1999</v>
      </c>
      <c r="L68" s="662">
        <f t="shared" si="25"/>
        <v>2000</v>
      </c>
      <c r="M68" s="662">
        <f t="shared" si="25"/>
        <v>2001</v>
      </c>
      <c r="N68" s="662">
        <f t="shared" si="25"/>
        <v>2002</v>
      </c>
      <c r="O68" s="662">
        <f t="shared" si="25"/>
        <v>2003</v>
      </c>
      <c r="P68" s="662">
        <f t="shared" si="25"/>
        <v>2004</v>
      </c>
      <c r="Q68" s="662">
        <f t="shared" si="25"/>
        <v>2005</v>
      </c>
      <c r="R68" s="662">
        <f t="shared" si="25"/>
        <v>2006</v>
      </c>
      <c r="S68" s="662">
        <f t="shared" si="25"/>
        <v>2007</v>
      </c>
      <c r="T68" s="662">
        <f t="shared" si="25"/>
        <v>2008</v>
      </c>
      <c r="U68" s="662">
        <f t="shared" si="25"/>
        <v>2009</v>
      </c>
      <c r="V68" s="662">
        <f t="shared" si="25"/>
        <v>2010</v>
      </c>
      <c r="W68" s="662">
        <f t="shared" si="25"/>
        <v>2011</v>
      </c>
      <c r="X68" s="662">
        <f t="shared" si="25"/>
        <v>2012</v>
      </c>
      <c r="Y68" s="662">
        <f t="shared" si="25"/>
        <v>2013</v>
      </c>
      <c r="Z68" s="662">
        <f t="shared" si="25"/>
        <v>2014</v>
      </c>
      <c r="AA68" s="662">
        <f t="shared" si="25"/>
        <v>2015</v>
      </c>
      <c r="AB68" s="662">
        <f t="shared" si="25"/>
        <v>2016</v>
      </c>
      <c r="AC68" s="662">
        <f t="shared" si="25"/>
        <v>2017</v>
      </c>
      <c r="AD68" s="662">
        <f t="shared" si="25"/>
        <v>2018</v>
      </c>
      <c r="AE68" s="662">
        <f t="shared" si="25"/>
        <v>2019</v>
      </c>
      <c r="AF68" s="662">
        <f t="shared" si="25"/>
        <v>2020</v>
      </c>
      <c r="AG68" s="662">
        <f t="shared" si="25"/>
        <v>2021</v>
      </c>
      <c r="AH68" s="662">
        <f t="shared" si="25"/>
        <v>2022</v>
      </c>
      <c r="AI68" s="662">
        <f t="shared" si="25"/>
        <v>2023</v>
      </c>
      <c r="AJ68" s="662">
        <f>AJ21</f>
        <v>2024</v>
      </c>
      <c r="AK68" s="799">
        <f t="shared" si="25"/>
        <v>2025</v>
      </c>
      <c r="AN68" s="2" t="s">
        <v>6</v>
      </c>
      <c r="AO68" s="95">
        <f>AO$84*$AR$83*48.01%</f>
        <v>116.52042500101668</v>
      </c>
      <c r="AP68" s="95">
        <f>AP$84*$AR$83*48.66%</f>
        <v>115.92148140612146</v>
      </c>
      <c r="AQ68" s="95">
        <f>AQ$84*$AR$83*42.99%</f>
        <v>95.766333506283743</v>
      </c>
      <c r="AR68" s="2">
        <v>96.01</v>
      </c>
      <c r="AS68" s="120">
        <v>103.90368064331302</v>
      </c>
      <c r="AT68" s="97"/>
      <c r="AU68" s="97"/>
      <c r="AV68" s="97"/>
      <c r="AW68" s="97"/>
      <c r="AX68" s="97"/>
      <c r="BC68" s="329"/>
    </row>
    <row r="69" spans="1:55">
      <c r="A69" s="5" t="s">
        <v>5</v>
      </c>
      <c r="B69" s="838">
        <f>IFERROR(B22/B45,"")</f>
        <v>1.1016853202276167</v>
      </c>
      <c r="C69" s="838">
        <f t="shared" ref="C69:AK69" si="26">IFERROR(C22/C45,"")</f>
        <v>1.1016853202276169</v>
      </c>
      <c r="D69" s="838">
        <f t="shared" si="26"/>
        <v>1.1016853202276169</v>
      </c>
      <c r="E69" s="838">
        <f t="shared" si="26"/>
        <v>1.1016853202276169</v>
      </c>
      <c r="F69" s="838">
        <f t="shared" si="26"/>
        <v>1.1016853202276169</v>
      </c>
      <c r="G69" s="838">
        <f t="shared" si="26"/>
        <v>1.1016853202276169</v>
      </c>
      <c r="H69" s="838">
        <f t="shared" si="26"/>
        <v>1.1016853202276169</v>
      </c>
      <c r="I69" s="838">
        <f t="shared" si="26"/>
        <v>1.1016853202276171</v>
      </c>
      <c r="J69" s="838">
        <f t="shared" si="26"/>
        <v>1.1016853202276171</v>
      </c>
      <c r="K69" s="838">
        <f t="shared" si="26"/>
        <v>1.1016853202276169</v>
      </c>
      <c r="L69" s="838">
        <f t="shared" si="26"/>
        <v>1.1016853202276169</v>
      </c>
      <c r="M69" s="838">
        <f t="shared" si="26"/>
        <v>1.0983989614885332</v>
      </c>
      <c r="N69" s="838">
        <f t="shared" si="26"/>
        <v>1.0953176999162608</v>
      </c>
      <c r="O69" s="838">
        <f t="shared" si="26"/>
        <v>1.0946560321292389</v>
      </c>
      <c r="P69" s="838">
        <f t="shared" si="26"/>
        <v>1.0968853545394301</v>
      </c>
      <c r="Q69" s="838">
        <f t="shared" si="26"/>
        <v>1.0999387049336222</v>
      </c>
      <c r="R69" s="838">
        <f t="shared" si="26"/>
        <v>1.0997932635255658</v>
      </c>
      <c r="S69" s="838">
        <f t="shared" si="26"/>
        <v>1.1012797275773056</v>
      </c>
      <c r="T69" s="838">
        <f t="shared" si="26"/>
        <v>1.0976565685395092</v>
      </c>
      <c r="U69" s="838">
        <f t="shared" si="26"/>
        <v>1.1069729615311772</v>
      </c>
      <c r="V69" s="838">
        <f t="shared" si="26"/>
        <v>1.1058078987868789</v>
      </c>
      <c r="W69" s="838">
        <f t="shared" si="26"/>
        <v>1.1001379907465028</v>
      </c>
      <c r="X69" s="838">
        <f t="shared" si="26"/>
        <v>1.0989692704384793</v>
      </c>
      <c r="Y69" s="838">
        <f t="shared" si="26"/>
        <v>1.1052047369697799</v>
      </c>
      <c r="Z69" s="838">
        <f t="shared" si="26"/>
        <v>1.1021111578904654</v>
      </c>
      <c r="AA69" s="838">
        <f t="shared" si="26"/>
        <v>1.0988363368137251</v>
      </c>
      <c r="AB69" s="838">
        <f t="shared" si="26"/>
        <v>1.0994815645080109</v>
      </c>
      <c r="AC69" s="838">
        <f t="shared" si="26"/>
        <v>1.1123638404112077</v>
      </c>
      <c r="AD69" s="838">
        <f t="shared" si="26"/>
        <v>1.1120302107500466</v>
      </c>
      <c r="AE69" s="838">
        <f t="shared" si="26"/>
        <v>1.1469371553384407</v>
      </c>
      <c r="AF69" s="838">
        <f t="shared" si="26"/>
        <v>1.1581278030943063</v>
      </c>
      <c r="AG69" s="838">
        <f t="shared" si="26"/>
        <v>1.1196919076180427</v>
      </c>
      <c r="AH69" s="838">
        <f t="shared" si="26"/>
        <v>1.1108890790939567</v>
      </c>
      <c r="AI69" s="838">
        <f t="shared" si="26"/>
        <v>1.1156757546820495</v>
      </c>
      <c r="AJ69" s="838">
        <f t="shared" ref="AJ69:AJ75" si="27">IFERROR(AJ22/AJ45,"")</f>
        <v>1.1474049359782807</v>
      </c>
      <c r="AK69" s="839">
        <f t="shared" si="26"/>
        <v>1.147404935978281</v>
      </c>
      <c r="AN69" s="2" t="s">
        <v>8</v>
      </c>
      <c r="AO69" s="95">
        <f>AO$84*$AR$83*0.89%</f>
        <v>2.1600328733785639</v>
      </c>
      <c r="AP69" s="95">
        <f>AP$84*$AR$83*1.16%</f>
        <v>2.7634385209843999</v>
      </c>
      <c r="AQ69" s="95">
        <f>AQ$84*$AR$83*0.9%</f>
        <v>2.0048778821971478</v>
      </c>
      <c r="AR69" s="2">
        <v>1.06</v>
      </c>
      <c r="AS69" s="120">
        <v>0.94552824030398441</v>
      </c>
      <c r="AT69" s="97"/>
      <c r="AU69" s="97"/>
      <c r="AV69" s="97"/>
      <c r="AW69" s="97"/>
      <c r="AX69" s="97"/>
    </row>
    <row r="70" spans="1:55">
      <c r="A70" s="819" t="s">
        <v>640</v>
      </c>
      <c r="B70" s="840">
        <f t="shared" ref="B70:AK70" si="28">IFERROR(B23/B46,"")</f>
        <v>1.3636363636363635</v>
      </c>
      <c r="C70" s="840">
        <f t="shared" si="28"/>
        <v>1.3636363636363633</v>
      </c>
      <c r="D70" s="840">
        <f t="shared" si="28"/>
        <v>1.3636363636363638</v>
      </c>
      <c r="E70" s="840">
        <f t="shared" si="28"/>
        <v>1.3636363636363635</v>
      </c>
      <c r="F70" s="840">
        <f t="shared" si="28"/>
        <v>1.3636363636363635</v>
      </c>
      <c r="G70" s="840">
        <f>IFERROR(G23/G46,"")</f>
        <v>1.3636363636363635</v>
      </c>
      <c r="H70" s="840">
        <f t="shared" si="28"/>
        <v>1.3636363636363635</v>
      </c>
      <c r="I70" s="840">
        <f t="shared" si="28"/>
        <v>1.3636363636363635</v>
      </c>
      <c r="J70" s="840">
        <f t="shared" si="28"/>
        <v>1.3636363636363635</v>
      </c>
      <c r="K70" s="840">
        <f t="shared" si="28"/>
        <v>1.3636363636363635</v>
      </c>
      <c r="L70" s="840">
        <f t="shared" si="28"/>
        <v>1.3636363636363635</v>
      </c>
      <c r="M70" s="840">
        <f t="shared" si="28"/>
        <v>1.3636363636363635</v>
      </c>
      <c r="N70" s="840" t="str">
        <f t="shared" si="28"/>
        <v/>
      </c>
      <c r="O70" s="840" t="str">
        <f t="shared" si="28"/>
        <v/>
      </c>
      <c r="P70" s="840" t="str">
        <f t="shared" si="28"/>
        <v/>
      </c>
      <c r="Q70" s="840" t="str">
        <f t="shared" si="28"/>
        <v/>
      </c>
      <c r="R70" s="840" t="str">
        <f t="shared" si="28"/>
        <v/>
      </c>
      <c r="S70" s="840" t="str">
        <f t="shared" si="28"/>
        <v/>
      </c>
      <c r="T70" s="840" t="str">
        <f t="shared" si="28"/>
        <v/>
      </c>
      <c r="U70" s="840" t="str">
        <f t="shared" si="28"/>
        <v/>
      </c>
      <c r="V70" s="840" t="str">
        <f t="shared" si="28"/>
        <v/>
      </c>
      <c r="W70" s="840" t="str">
        <f t="shared" si="28"/>
        <v/>
      </c>
      <c r="X70" s="840" t="str">
        <f t="shared" si="28"/>
        <v/>
      </c>
      <c r="Y70" s="840" t="str">
        <f t="shared" si="28"/>
        <v/>
      </c>
      <c r="Z70" s="840" t="str">
        <f t="shared" si="28"/>
        <v/>
      </c>
      <c r="AA70" s="840" t="str">
        <f t="shared" si="28"/>
        <v/>
      </c>
      <c r="AB70" s="840" t="str">
        <f t="shared" si="28"/>
        <v/>
      </c>
      <c r="AC70" s="840" t="str">
        <f t="shared" si="28"/>
        <v/>
      </c>
      <c r="AD70" s="840" t="str">
        <f t="shared" si="28"/>
        <v/>
      </c>
      <c r="AE70" s="840" t="str">
        <f t="shared" si="28"/>
        <v/>
      </c>
      <c r="AF70" s="840" t="str">
        <f t="shared" si="28"/>
        <v/>
      </c>
      <c r="AG70" s="840" t="str">
        <f t="shared" si="28"/>
        <v/>
      </c>
      <c r="AH70" s="840" t="str">
        <f t="shared" si="28"/>
        <v/>
      </c>
      <c r="AI70" s="840" t="str">
        <f t="shared" si="28"/>
        <v/>
      </c>
      <c r="AJ70" s="840" t="str">
        <f t="shared" si="27"/>
        <v/>
      </c>
      <c r="AK70" s="839" t="str">
        <f t="shared" si="28"/>
        <v/>
      </c>
      <c r="AN70" s="2" t="s">
        <v>705</v>
      </c>
      <c r="AO70" s="95">
        <f>AO$84*$AR$83*3.27%</f>
        <v>7.9363005572448353</v>
      </c>
      <c r="AP70" s="95">
        <f>AP$84*$AR$83*4.99%</f>
        <v>11.887550189407031</v>
      </c>
      <c r="AQ70" s="95">
        <f>AQ$84*$AR$83*4.53%</f>
        <v>10.091218673725642</v>
      </c>
      <c r="AR70" s="2">
        <v>9.5299999999999994</v>
      </c>
      <c r="AS70" s="120">
        <v>10.24674536562179</v>
      </c>
      <c r="AT70" s="97"/>
      <c r="AU70" s="97"/>
      <c r="AV70" s="97"/>
      <c r="AW70" s="97"/>
      <c r="AX70" s="97"/>
    </row>
    <row r="71" spans="1:55">
      <c r="A71" s="5" t="s">
        <v>6</v>
      </c>
      <c r="B71" s="838">
        <f t="shared" ref="B71:AK71" si="29">IFERROR(B24/B47,"")</f>
        <v>1.0443421968133757</v>
      </c>
      <c r="C71" s="838">
        <f t="shared" si="29"/>
        <v>1.0443421968133757</v>
      </c>
      <c r="D71" s="838">
        <f t="shared" si="29"/>
        <v>1.0443421968133755</v>
      </c>
      <c r="E71" s="838">
        <f t="shared" si="29"/>
        <v>1.0443421968133757</v>
      </c>
      <c r="F71" s="838">
        <f t="shared" si="29"/>
        <v>1.0443421968133757</v>
      </c>
      <c r="G71" s="838">
        <f t="shared" si="29"/>
        <v>1.0443421968133757</v>
      </c>
      <c r="H71" s="838">
        <f t="shared" si="29"/>
        <v>1.0443421968133757</v>
      </c>
      <c r="I71" s="838">
        <f t="shared" si="29"/>
        <v>1.0443421968133757</v>
      </c>
      <c r="J71" s="838">
        <f t="shared" si="29"/>
        <v>1.0443421968133755</v>
      </c>
      <c r="K71" s="838">
        <f t="shared" si="29"/>
        <v>1.0443421968133757</v>
      </c>
      <c r="L71" s="838">
        <f t="shared" si="29"/>
        <v>1.0443421968133757</v>
      </c>
      <c r="M71" s="838">
        <f t="shared" si="29"/>
        <v>1.0402001555754186</v>
      </c>
      <c r="N71" s="838">
        <f t="shared" si="29"/>
        <v>1.0419128289456447</v>
      </c>
      <c r="O71" s="838">
        <f t="shared" si="29"/>
        <v>1.0385674443313118</v>
      </c>
      <c r="P71" s="838">
        <f t="shared" si="29"/>
        <v>1.0348388238896615</v>
      </c>
      <c r="Q71" s="838">
        <f t="shared" si="29"/>
        <v>1.0320387208297321</v>
      </c>
      <c r="R71" s="838">
        <f t="shared" si="29"/>
        <v>1.02935386847378</v>
      </c>
      <c r="S71" s="838">
        <f t="shared" si="29"/>
        <v>1.0282509194324085</v>
      </c>
      <c r="T71" s="838">
        <f t="shared" si="29"/>
        <v>1.0277001518664339</v>
      </c>
      <c r="U71" s="838">
        <f t="shared" si="29"/>
        <v>1.0294907984123189</v>
      </c>
      <c r="V71" s="838">
        <f t="shared" si="29"/>
        <v>1.0298281337441761</v>
      </c>
      <c r="W71" s="838">
        <f t="shared" si="29"/>
        <v>1.027955368127609</v>
      </c>
      <c r="X71" s="838">
        <f t="shared" si="29"/>
        <v>1.0288317891860264</v>
      </c>
      <c r="Y71" s="838">
        <f t="shared" si="29"/>
        <v>1.0270963262464472</v>
      </c>
      <c r="Z71" s="838">
        <f t="shared" si="29"/>
        <v>1.0282265326112261</v>
      </c>
      <c r="AA71" s="838">
        <f t="shared" si="29"/>
        <v>1.0251971139885736</v>
      </c>
      <c r="AB71" s="838">
        <f t="shared" si="29"/>
        <v>1.0233055986164277</v>
      </c>
      <c r="AC71" s="838">
        <f t="shared" si="29"/>
        <v>1.0242032969767934</v>
      </c>
      <c r="AD71" s="838">
        <f t="shared" si="29"/>
        <v>1.0244641146737561</v>
      </c>
      <c r="AE71" s="838">
        <f t="shared" si="29"/>
        <v>1.025248331093606</v>
      </c>
      <c r="AF71" s="996">
        <f t="shared" si="29"/>
        <v>1.0248595577817146</v>
      </c>
      <c r="AG71" s="996">
        <f t="shared" si="29"/>
        <v>1.0254909021372207</v>
      </c>
      <c r="AH71" s="996">
        <f t="shared" si="29"/>
        <v>1.0230965226690862</v>
      </c>
      <c r="AI71" s="996">
        <f t="shared" si="29"/>
        <v>1.0239573020103072</v>
      </c>
      <c r="AJ71" s="838">
        <f t="shared" si="27"/>
        <v>1.0254742758590709</v>
      </c>
      <c r="AK71" s="839">
        <f t="shared" si="29"/>
        <v>1.0254742758590709</v>
      </c>
      <c r="AN71" s="2" t="s">
        <v>613</v>
      </c>
      <c r="AO71" s="95">
        <f>AO$84*$AR$83*0%</f>
        <v>0</v>
      </c>
      <c r="AP71" s="95">
        <f>AP$84*$AR$83*0%</f>
        <v>0</v>
      </c>
      <c r="AQ71" s="95">
        <f>AQ$84*$AR$83*0%</f>
        <v>0</v>
      </c>
      <c r="AR71" s="2">
        <v>0</v>
      </c>
      <c r="AS71" s="120">
        <v>0</v>
      </c>
      <c r="AT71" s="97"/>
      <c r="AU71" s="97"/>
      <c r="AV71" s="97"/>
      <c r="AW71" s="97"/>
      <c r="AX71" s="97"/>
    </row>
    <row r="72" spans="1:55">
      <c r="A72" s="5" t="s">
        <v>7</v>
      </c>
      <c r="B72" s="838">
        <f t="shared" ref="B72:AK72" si="30">IFERROR(B25/B48,"")</f>
        <v>1.0274253956747612</v>
      </c>
      <c r="C72" s="838">
        <f t="shared" si="30"/>
        <v>1.0274253956747614</v>
      </c>
      <c r="D72" s="838">
        <f t="shared" si="30"/>
        <v>1.0274253956747612</v>
      </c>
      <c r="E72" s="838">
        <f t="shared" si="30"/>
        <v>1.0274253956747614</v>
      </c>
      <c r="F72" s="838">
        <f t="shared" si="30"/>
        <v>1.0274253956747614</v>
      </c>
      <c r="G72" s="838">
        <f t="shared" si="30"/>
        <v>1.0274253956747614</v>
      </c>
      <c r="H72" s="838">
        <f t="shared" si="30"/>
        <v>1.0274253956747614</v>
      </c>
      <c r="I72" s="838">
        <f t="shared" si="30"/>
        <v>1.0274253956747614</v>
      </c>
      <c r="J72" s="838">
        <f t="shared" si="30"/>
        <v>1.0274253956747614</v>
      </c>
      <c r="K72" s="838">
        <f t="shared" si="30"/>
        <v>1.0274253956747614</v>
      </c>
      <c r="L72" s="838">
        <f t="shared" si="30"/>
        <v>1.0274253956747614</v>
      </c>
      <c r="M72" s="838">
        <f t="shared" si="30"/>
        <v>1.0215031991576899</v>
      </c>
      <c r="N72" s="838">
        <f t="shared" si="30"/>
        <v>1.0366684560432753</v>
      </c>
      <c r="O72" s="838">
        <f t="shared" si="30"/>
        <v>1.0372948976199323</v>
      </c>
      <c r="P72" s="838">
        <f t="shared" si="30"/>
        <v>1.0319064949068992</v>
      </c>
      <c r="Q72" s="838">
        <f t="shared" si="30"/>
        <v>1.0381826624281174</v>
      </c>
      <c r="R72" s="838">
        <f t="shared" si="30"/>
        <v>1.0387200053360905</v>
      </c>
      <c r="S72" s="838">
        <f t="shared" si="30"/>
        <v>1.0304946212912565</v>
      </c>
      <c r="T72" s="838">
        <f t="shared" si="30"/>
        <v>1.0280267595922703</v>
      </c>
      <c r="U72" s="838">
        <f t="shared" si="30"/>
        <v>1.0286394843771893</v>
      </c>
      <c r="V72" s="838">
        <f t="shared" si="30"/>
        <v>1.03263090817201</v>
      </c>
      <c r="W72" s="838">
        <f t="shared" si="30"/>
        <v>1.0146573699205277</v>
      </c>
      <c r="X72" s="838">
        <f t="shared" si="30"/>
        <v>1.0631270455858128</v>
      </c>
      <c r="Y72" s="838">
        <f t="shared" si="30"/>
        <v>1.0736682080192563</v>
      </c>
      <c r="Z72" s="838">
        <f t="shared" si="30"/>
        <v>1.0712266620136104</v>
      </c>
      <c r="AA72" s="838">
        <f t="shared" si="30"/>
        <v>1.0596356942156768</v>
      </c>
      <c r="AB72" s="838">
        <f t="shared" si="30"/>
        <v>1.0581914491108591</v>
      </c>
      <c r="AC72" s="838">
        <f t="shared" si="30"/>
        <v>1.0582818623191952</v>
      </c>
      <c r="AD72" s="838">
        <f t="shared" si="30"/>
        <v>1.0558279842796541</v>
      </c>
      <c r="AE72" s="838">
        <f t="shared" si="30"/>
        <v>1.0528792521215695</v>
      </c>
      <c r="AF72" s="838">
        <f t="shared" si="30"/>
        <v>1.0521339839406292</v>
      </c>
      <c r="AG72" s="838">
        <f t="shared" si="30"/>
        <v>1.0538326321254097</v>
      </c>
      <c r="AH72" s="838">
        <f t="shared" si="30"/>
        <v>1.0562636944036561</v>
      </c>
      <c r="AI72" s="838">
        <f t="shared" si="30"/>
        <v>1.0505578700062679</v>
      </c>
      <c r="AJ72" s="838">
        <f t="shared" si="27"/>
        <v>1.0627036968570855</v>
      </c>
      <c r="AK72" s="839">
        <f t="shared" si="30"/>
        <v>1.0627036968570853</v>
      </c>
      <c r="AN72" s="2" t="s">
        <v>706</v>
      </c>
      <c r="AO72" s="95">
        <f>AO$84*$AR$83*42.8%</f>
        <v>103.87573818045227</v>
      </c>
      <c r="AP72" s="95">
        <f>AP$84*$AR$83*36.95%</f>
        <v>88.025045991701376</v>
      </c>
      <c r="AQ72" s="95">
        <f>AQ$84*$AR$83*46.31%</f>
        <v>103.16210524949989</v>
      </c>
      <c r="AR72" s="2">
        <v>118.44</v>
      </c>
      <c r="AS72" s="120">
        <v>115.11412277060573</v>
      </c>
      <c r="AT72" s="97"/>
      <c r="AU72" s="97"/>
      <c r="AV72" s="97"/>
      <c r="AW72" s="97"/>
      <c r="AX72" s="97"/>
    </row>
    <row r="73" spans="1:55">
      <c r="A73" s="5" t="s">
        <v>8</v>
      </c>
      <c r="B73" s="838">
        <f t="shared" ref="B73:AK73" si="31">IFERROR(B26/B49,"")</f>
        <v>1.0632254558221839</v>
      </c>
      <c r="C73" s="838">
        <f t="shared" si="31"/>
        <v>1.0664630513404354</v>
      </c>
      <c r="D73" s="838">
        <f t="shared" si="31"/>
        <v>1.0683949129526387</v>
      </c>
      <c r="E73" s="838">
        <f t="shared" si="31"/>
        <v>1.0685503369255254</v>
      </c>
      <c r="F73" s="838">
        <f t="shared" si="31"/>
        <v>1.0656772587634848</v>
      </c>
      <c r="G73" s="838">
        <f t="shared" si="31"/>
        <v>1.0629118480461608</v>
      </c>
      <c r="H73" s="838">
        <f t="shared" si="31"/>
        <v>1.062748264600748</v>
      </c>
      <c r="I73" s="838">
        <f t="shared" si="31"/>
        <v>1.062263324390198</v>
      </c>
      <c r="J73" s="838">
        <f t="shared" si="31"/>
        <v>1.0650197036267068</v>
      </c>
      <c r="K73" s="838">
        <f t="shared" si="31"/>
        <v>1.0678441194890091</v>
      </c>
      <c r="L73" s="838">
        <f t="shared" si="31"/>
        <v>1.0659507203527103</v>
      </c>
      <c r="M73" s="838">
        <f t="shared" si="31"/>
        <v>1.0694787441031099</v>
      </c>
      <c r="N73" s="838">
        <f t="shared" si="31"/>
        <v>1.0716268983655559</v>
      </c>
      <c r="O73" s="838">
        <f t="shared" si="31"/>
        <v>1.0622212902774866</v>
      </c>
      <c r="P73" s="838">
        <f t="shared" si="31"/>
        <v>1.0603386034184432</v>
      </c>
      <c r="Q73" s="838">
        <f t="shared" si="31"/>
        <v>1.0656293036582085</v>
      </c>
      <c r="R73" s="838">
        <f t="shared" si="31"/>
        <v>1.0640086646752138</v>
      </c>
      <c r="S73" s="838">
        <f t="shared" si="31"/>
        <v>1.0674573266687968</v>
      </c>
      <c r="T73" s="838">
        <f t="shared" si="31"/>
        <v>1.0680369110427574</v>
      </c>
      <c r="U73" s="838">
        <f t="shared" si="31"/>
        <v>1.0728855280355913</v>
      </c>
      <c r="V73" s="838">
        <f t="shared" si="31"/>
        <v>1.0565862392775642</v>
      </c>
      <c r="W73" s="838">
        <f t="shared" si="31"/>
        <v>1.0534426767957703</v>
      </c>
      <c r="X73" s="838">
        <f t="shared" si="31"/>
        <v>1.0452958201670164</v>
      </c>
      <c r="Y73" s="838">
        <f t="shared" si="31"/>
        <v>1.047866256049274</v>
      </c>
      <c r="Z73" s="838">
        <f t="shared" si="31"/>
        <v>1.0511387670592425</v>
      </c>
      <c r="AA73" s="838">
        <f t="shared" si="31"/>
        <v>1.0535934954230257</v>
      </c>
      <c r="AB73" s="838">
        <f t="shared" si="31"/>
        <v>1.0408096721325542</v>
      </c>
      <c r="AC73" s="838">
        <f t="shared" si="31"/>
        <v>1.0445907839121205</v>
      </c>
      <c r="AD73" s="838">
        <f t="shared" si="31"/>
        <v>1.037041582129244</v>
      </c>
      <c r="AE73" s="838">
        <f t="shared" si="31"/>
        <v>1.0386337669345762</v>
      </c>
      <c r="AF73" s="838">
        <f t="shared" si="31"/>
        <v>1.0323146397657854</v>
      </c>
      <c r="AG73" s="838">
        <f t="shared" si="31"/>
        <v>1.0481477173081186</v>
      </c>
      <c r="AH73" s="838">
        <f t="shared" si="31"/>
        <v>1.0402019756362098</v>
      </c>
      <c r="AI73" s="838">
        <f t="shared" si="31"/>
        <v>1.037100795966311</v>
      </c>
      <c r="AJ73" s="838">
        <f t="shared" si="27"/>
        <v>1.0322084952508495</v>
      </c>
      <c r="AK73" s="839">
        <f t="shared" si="31"/>
        <v>1.0322084952508495</v>
      </c>
      <c r="AN73" s="1042" t="s">
        <v>771</v>
      </c>
      <c r="AO73" s="1057">
        <v>0.2</v>
      </c>
      <c r="AP73" s="1057">
        <v>7.0725646593582936E-2</v>
      </c>
      <c r="AQ73" s="1057">
        <v>0.13062824213787844</v>
      </c>
      <c r="AR73" s="1057">
        <v>8.9368757538662955E-2</v>
      </c>
      <c r="AS73" s="1056">
        <v>0.13942225790356788</v>
      </c>
    </row>
    <row r="74" spans="1:55">
      <c r="A74" s="5" t="s">
        <v>719</v>
      </c>
      <c r="B74" s="838" t="str">
        <f t="shared" ref="B74:AK74" si="32">IFERROR(B27/B50,"")</f>
        <v/>
      </c>
      <c r="C74" s="838" t="str">
        <f t="shared" si="32"/>
        <v/>
      </c>
      <c r="D74" s="838">
        <f t="shared" si="32"/>
        <v>1.0793103448276435</v>
      </c>
      <c r="E74" s="838">
        <f t="shared" si="32"/>
        <v>1.0729483282675034</v>
      </c>
      <c r="F74" s="838">
        <f t="shared" si="32"/>
        <v>1.0704225352112748</v>
      </c>
      <c r="G74" s="838">
        <f t="shared" si="32"/>
        <v>1.0695652173913037</v>
      </c>
      <c r="H74" s="838">
        <f t="shared" si="32"/>
        <v>1.0615384615385455</v>
      </c>
      <c r="I74" s="838">
        <f t="shared" si="32"/>
        <v>1.068429237947097</v>
      </c>
      <c r="J74" s="838">
        <f t="shared" si="32"/>
        <v>1.0883233532934189</v>
      </c>
      <c r="K74" s="838">
        <f t="shared" si="32"/>
        <v>1.0682926829268466</v>
      </c>
      <c r="L74" s="838">
        <f t="shared" si="32"/>
        <v>1.056893073301943</v>
      </c>
      <c r="M74" s="838">
        <f t="shared" si="32"/>
        <v>1.0512163892445556</v>
      </c>
      <c r="N74" s="838">
        <f t="shared" si="32"/>
        <v>1.057189991751412</v>
      </c>
      <c r="O74" s="838">
        <f t="shared" si="32"/>
        <v>1.0625822663635338</v>
      </c>
      <c r="P74" s="838">
        <f t="shared" si="32"/>
        <v>1.050536326440328</v>
      </c>
      <c r="Q74" s="838">
        <f t="shared" si="32"/>
        <v>1.0348664688427429</v>
      </c>
      <c r="R74" s="838">
        <f t="shared" si="32"/>
        <v>1.0341355351928172</v>
      </c>
      <c r="S74" s="838">
        <f t="shared" si="32"/>
        <v>1.0333940497875143</v>
      </c>
      <c r="T74" s="838">
        <f t="shared" si="32"/>
        <v>1.0351452141484878</v>
      </c>
      <c r="U74" s="838">
        <f t="shared" si="32"/>
        <v>1.0362605258635165</v>
      </c>
      <c r="V74" s="838">
        <f t="shared" si="32"/>
        <v>1.0384923817161009</v>
      </c>
      <c r="W74" s="838">
        <f t="shared" si="32"/>
        <v>1.0420428166107722</v>
      </c>
      <c r="X74" s="838">
        <f t="shared" si="32"/>
        <v>1.0411756550672071</v>
      </c>
      <c r="Y74" s="838">
        <f t="shared" si="32"/>
        <v>1.0445276737411768</v>
      </c>
      <c r="Z74" s="838">
        <f t="shared" si="32"/>
        <v>1.0397986471606571</v>
      </c>
      <c r="AA74" s="838">
        <f t="shared" si="32"/>
        <v>1.1062999442483501</v>
      </c>
      <c r="AB74" s="838">
        <f t="shared" si="32"/>
        <v>1.1316923076923155</v>
      </c>
      <c r="AC74" s="838">
        <f t="shared" si="32"/>
        <v>1.1340298155473569</v>
      </c>
      <c r="AD74" s="838">
        <f t="shared" si="32"/>
        <v>1.1280169081381524</v>
      </c>
      <c r="AE74" s="838">
        <f t="shared" si="32"/>
        <v>1.1413017407270336</v>
      </c>
      <c r="AF74" s="838">
        <f t="shared" si="32"/>
        <v>1.1776454368045026</v>
      </c>
      <c r="AG74" s="838">
        <f t="shared" si="32"/>
        <v>1.1216635874335841</v>
      </c>
      <c r="AH74" s="838">
        <f t="shared" si="32"/>
        <v>1.1274699385428453</v>
      </c>
      <c r="AI74" s="838">
        <f t="shared" si="32"/>
        <v>1.1507005975704423</v>
      </c>
      <c r="AJ74" s="838">
        <f t="shared" si="27"/>
        <v>1.1276000952196474</v>
      </c>
      <c r="AK74" s="839">
        <f t="shared" si="32"/>
        <v>1.1276000952196361</v>
      </c>
      <c r="AN74" s="1043" t="s">
        <v>750</v>
      </c>
      <c r="AO74" s="1038">
        <f>AO65</f>
        <v>2021</v>
      </c>
      <c r="AP74" s="1038">
        <f t="shared" ref="AP74" si="33">AP65</f>
        <v>2022</v>
      </c>
      <c r="AQ74" s="1038">
        <f>AQ65</f>
        <v>2023</v>
      </c>
      <c r="AR74" s="1038">
        <f>AR65</f>
        <v>2024</v>
      </c>
      <c r="AS74" s="1038">
        <f t="shared" ref="AS74" si="34">AS65</f>
        <v>2025</v>
      </c>
    </row>
    <row r="75" spans="1:55">
      <c r="A75" s="5" t="s">
        <v>751</v>
      </c>
      <c r="B75" s="838">
        <f t="shared" ref="B75:AK75" si="35">IFERROR(B28/B51,"")</f>
        <v>1.1244804684877103</v>
      </c>
      <c r="C75" s="838">
        <f t="shared" si="35"/>
        <v>1.1218338465405837</v>
      </c>
      <c r="D75" s="838">
        <f t="shared" si="35"/>
        <v>1.1244804684877105</v>
      </c>
      <c r="E75" s="838">
        <f t="shared" si="35"/>
        <v>1.1244804684877105</v>
      </c>
      <c r="F75" s="838">
        <f t="shared" si="35"/>
        <v>1.1475169017334443</v>
      </c>
      <c r="G75" s="838">
        <f t="shared" si="35"/>
        <v>1.1810977448586035</v>
      </c>
      <c r="H75" s="838">
        <f t="shared" si="35"/>
        <v>1.192691508776458</v>
      </c>
      <c r="I75" s="838">
        <f t="shared" si="35"/>
        <v>1.2280335606250856</v>
      </c>
      <c r="J75" s="838">
        <f t="shared" si="35"/>
        <v>1.1981905048871664</v>
      </c>
      <c r="K75" s="838">
        <f t="shared" si="35"/>
        <v>1.2065141117055496</v>
      </c>
      <c r="L75" s="838">
        <f t="shared" si="35"/>
        <v>1.1861070289160331</v>
      </c>
      <c r="M75" s="838">
        <f t="shared" si="35"/>
        <v>1.1162646328485282</v>
      </c>
      <c r="N75" s="838">
        <f t="shared" si="35"/>
        <v>1.245322568123592</v>
      </c>
      <c r="O75" s="838">
        <f t="shared" si="35"/>
        <v>1.0890785598365089</v>
      </c>
      <c r="P75" s="838">
        <f t="shared" si="35"/>
        <v>1.0823786661596233</v>
      </c>
      <c r="Q75" s="838">
        <f t="shared" si="35"/>
        <v>1.0813142361827717</v>
      </c>
      <c r="R75" s="838">
        <f t="shared" si="35"/>
        <v>1.0798222880414656</v>
      </c>
      <c r="S75" s="838">
        <f t="shared" si="35"/>
        <v>1.0853216605073388</v>
      </c>
      <c r="T75" s="838">
        <f t="shared" si="35"/>
        <v>1.0803242212333113</v>
      </c>
      <c r="U75" s="838">
        <f t="shared" si="35"/>
        <v>1.0867163309727457</v>
      </c>
      <c r="V75" s="838">
        <f t="shared" si="35"/>
        <v>1.0829954301007398</v>
      </c>
      <c r="W75" s="838">
        <f t="shared" si="35"/>
        <v>1.0903972178192067</v>
      </c>
      <c r="X75" s="838">
        <f t="shared" si="35"/>
        <v>1.0942676389626704</v>
      </c>
      <c r="Y75" s="838">
        <f t="shared" si="35"/>
        <v>1.0942846915642541</v>
      </c>
      <c r="Z75" s="838">
        <f t="shared" si="35"/>
        <v>1.095377465984497</v>
      </c>
      <c r="AA75" s="838">
        <f t="shared" si="35"/>
        <v>1.1177865248716705</v>
      </c>
      <c r="AB75" s="838">
        <f t="shared" si="35"/>
        <v>1.134164023561395</v>
      </c>
      <c r="AC75" s="838">
        <f t="shared" si="35"/>
        <v>1.1381455002073928</v>
      </c>
      <c r="AD75" s="838">
        <f t="shared" si="35"/>
        <v>1.1450957246568645</v>
      </c>
      <c r="AE75" s="838">
        <f t="shared" si="35"/>
        <v>1.1624768560164664</v>
      </c>
      <c r="AF75" s="838">
        <f t="shared" si="35"/>
        <v>1.144990243038261</v>
      </c>
      <c r="AG75" s="838">
        <f t="shared" si="35"/>
        <v>1.1481662976751226</v>
      </c>
      <c r="AH75" s="838">
        <f t="shared" si="35"/>
        <v>1.1441288180044189</v>
      </c>
      <c r="AI75" s="838">
        <f t="shared" si="35"/>
        <v>1.159398357765036</v>
      </c>
      <c r="AJ75" s="838">
        <f t="shared" si="27"/>
        <v>1.1732207006977828</v>
      </c>
      <c r="AK75" s="839">
        <f t="shared" si="35"/>
        <v>1.1840693889291054</v>
      </c>
      <c r="AN75" s="2" t="s">
        <v>272</v>
      </c>
      <c r="AO75" s="300">
        <v>0.1298</v>
      </c>
      <c r="AP75" s="300">
        <v>0.1658</v>
      </c>
      <c r="AQ75" s="300">
        <v>0.18959999999999999</v>
      </c>
      <c r="AR75" s="940">
        <v>0.1188</v>
      </c>
      <c r="AS75" s="300">
        <v>9.1499999999999998E-2</v>
      </c>
    </row>
    <row r="76" spans="1:55">
      <c r="A76" s="845" t="s">
        <v>671</v>
      </c>
      <c r="B76" s="846">
        <f t="shared" ref="B76:AK76" si="36">IFERROR(B29/B53,"")</f>
        <v>1.0617739877794938</v>
      </c>
      <c r="C76" s="846">
        <f t="shared" si="36"/>
        <v>1.0436205959381331</v>
      </c>
      <c r="D76" s="846">
        <f t="shared" si="36"/>
        <v>1.0477703843479991</v>
      </c>
      <c r="E76" s="846">
        <f t="shared" si="36"/>
        <v>1.0421121481220599</v>
      </c>
      <c r="F76" s="846">
        <f t="shared" si="36"/>
        <v>1.0380535087515399</v>
      </c>
      <c r="G76" s="846">
        <f t="shared" si="36"/>
        <v>1.0568351562281464</v>
      </c>
      <c r="H76" s="846">
        <f t="shared" si="36"/>
        <v>1.0613442407716001</v>
      </c>
      <c r="I76" s="846">
        <f t="shared" si="36"/>
        <v>1.0597325181505541</v>
      </c>
      <c r="J76" s="846">
        <f t="shared" si="36"/>
        <v>1.0727958976494782</v>
      </c>
      <c r="K76" s="846">
        <f t="shared" si="36"/>
        <v>1.0735621301775147</v>
      </c>
      <c r="L76" s="846">
        <f t="shared" si="36"/>
        <v>1.0754462268492258</v>
      </c>
      <c r="M76" s="846">
        <f t="shared" si="36"/>
        <v>1.0701658374800285</v>
      </c>
      <c r="N76" s="846">
        <f t="shared" si="36"/>
        <v>1.0988109331622509</v>
      </c>
      <c r="O76" s="846">
        <f t="shared" si="36"/>
        <v>1.1059301580178125</v>
      </c>
      <c r="P76" s="846">
        <f t="shared" si="36"/>
        <v>1.0860374930192043</v>
      </c>
      <c r="Q76" s="846">
        <f t="shared" si="36"/>
        <v>1.0916754056110169</v>
      </c>
      <c r="R76" s="846">
        <f t="shared" si="36"/>
        <v>1.0839041880545521</v>
      </c>
      <c r="S76" s="846">
        <f t="shared" si="36"/>
        <v>1.0827141377914682</v>
      </c>
      <c r="T76" s="846">
        <f t="shared" si="36"/>
        <v>1.0657656500578985</v>
      </c>
      <c r="U76" s="846">
        <f t="shared" si="36"/>
        <v>1.044472851602509</v>
      </c>
      <c r="V76" s="846">
        <f t="shared" si="36"/>
        <v>1.0359638914657321</v>
      </c>
      <c r="W76" s="846">
        <f t="shared" si="36"/>
        <v>1.0259626932182879</v>
      </c>
      <c r="X76" s="846">
        <f t="shared" si="36"/>
        <v>1.0322307455721262</v>
      </c>
      <c r="Y76" s="846">
        <f t="shared" si="36"/>
        <v>1.0232679673270277</v>
      </c>
      <c r="Z76" s="846">
        <f t="shared" si="36"/>
        <v>1.0226996903797625</v>
      </c>
      <c r="AA76" s="846">
        <f t="shared" si="36"/>
        <v>1.0223584918855642</v>
      </c>
      <c r="AB76" s="846">
        <f t="shared" si="36"/>
        <v>1.0269910255489907</v>
      </c>
      <c r="AC76" s="846">
        <f t="shared" si="36"/>
        <v>1.0319323550320294</v>
      </c>
      <c r="AD76" s="846">
        <f t="shared" si="36"/>
        <v>1.0245673132707045</v>
      </c>
      <c r="AE76" s="846">
        <f t="shared" si="36"/>
        <v>1.0265430020533519</v>
      </c>
      <c r="AF76" s="846">
        <f t="shared" si="36"/>
        <v>1.0273947906777336</v>
      </c>
      <c r="AG76" s="846">
        <f t="shared" si="36"/>
        <v>1.0314737424742901</v>
      </c>
      <c r="AH76" s="846">
        <f t="shared" si="36"/>
        <v>1.0395331252529501</v>
      </c>
      <c r="AI76" s="846">
        <f t="shared" si="36"/>
        <v>1.0311478295233123</v>
      </c>
      <c r="AJ76" s="846">
        <f t="shared" ref="AJ76:AJ84" si="37">IFERROR(AJ29/AJ53,"")</f>
        <v>1.0250102200449469</v>
      </c>
      <c r="AK76" s="839">
        <f t="shared" si="36"/>
        <v>1.0296759442203189</v>
      </c>
      <c r="AN76" s="2" t="s">
        <v>274</v>
      </c>
      <c r="AO76" s="300">
        <v>0</v>
      </c>
      <c r="AP76" s="300">
        <v>0</v>
      </c>
      <c r="AQ76" s="300">
        <v>0</v>
      </c>
      <c r="AR76" s="940">
        <v>0</v>
      </c>
      <c r="AS76" s="300">
        <v>6.9999999999999999E-4</v>
      </c>
    </row>
    <row r="77" spans="1:55">
      <c r="A77" s="845" t="s">
        <v>546</v>
      </c>
      <c r="B77" s="846">
        <f t="shared" ref="B77:AK77" si="38">IFERROR(B30/B54,"")</f>
        <v>1.0164851339417131</v>
      </c>
      <c r="C77" s="846">
        <f t="shared" si="38"/>
        <v>1.0135460565924135</v>
      </c>
      <c r="D77" s="846">
        <f t="shared" si="38"/>
        <v>1.0135669869983037</v>
      </c>
      <c r="E77" s="846">
        <f t="shared" si="38"/>
        <v>1.0135941644562341</v>
      </c>
      <c r="F77" s="846">
        <f t="shared" si="38"/>
        <v>1.0131882624464228</v>
      </c>
      <c r="G77" s="846">
        <f t="shared" si="38"/>
        <v>1.0140117994100295</v>
      </c>
      <c r="H77" s="846">
        <f t="shared" si="38"/>
        <v>1.014507354422729</v>
      </c>
      <c r="I77" s="846">
        <f t="shared" si="38"/>
        <v>1.014347202295552</v>
      </c>
      <c r="J77" s="846">
        <f t="shared" si="38"/>
        <v>1.0146961690885066</v>
      </c>
      <c r="K77" s="846">
        <f t="shared" si="38"/>
        <v>1.0139152435167624</v>
      </c>
      <c r="L77" s="846">
        <f t="shared" si="38"/>
        <v>0.99997179184049823</v>
      </c>
      <c r="M77" s="846">
        <f t="shared" si="38"/>
        <v>0.99994617296075317</v>
      </c>
      <c r="N77" s="846">
        <f t="shared" si="38"/>
        <v>1.0000448166797611</v>
      </c>
      <c r="O77" s="846">
        <f t="shared" si="38"/>
        <v>1.0000046010465418</v>
      </c>
      <c r="P77" s="846">
        <f t="shared" si="38"/>
        <v>0.99998295933926629</v>
      </c>
      <c r="Q77" s="846">
        <f t="shared" si="38"/>
        <v>0.99997565656929321</v>
      </c>
      <c r="R77" s="846">
        <f t="shared" si="38"/>
        <v>1.0000541158190499</v>
      </c>
      <c r="S77" s="846">
        <f t="shared" si="38"/>
        <v>0.99997846851867933</v>
      </c>
      <c r="T77" s="846">
        <f t="shared" si="38"/>
        <v>1.0000753090257686</v>
      </c>
      <c r="U77" s="846">
        <f t="shared" si="38"/>
        <v>0.99995447361746137</v>
      </c>
      <c r="V77" s="846">
        <f t="shared" si="38"/>
        <v>1.0000307000306088</v>
      </c>
      <c r="W77" s="846">
        <f t="shared" si="38"/>
        <v>0.99989814894759821</v>
      </c>
      <c r="X77" s="846">
        <f t="shared" si="38"/>
        <v>0.99994542996137625</v>
      </c>
      <c r="Y77" s="846">
        <f t="shared" si="38"/>
        <v>0.99989463702454751</v>
      </c>
      <c r="Z77" s="846">
        <f t="shared" si="38"/>
        <v>1.0000572797273009</v>
      </c>
      <c r="AA77" s="846">
        <f t="shared" si="38"/>
        <v>0.99996927683249615</v>
      </c>
      <c r="AB77" s="846">
        <f t="shared" si="38"/>
        <v>0.9999978084641471</v>
      </c>
      <c r="AC77" s="846">
        <f t="shared" si="38"/>
        <v>1.0000219062849134</v>
      </c>
      <c r="AD77" s="846">
        <f t="shared" si="38"/>
        <v>0.99997844246205958</v>
      </c>
      <c r="AE77" s="846">
        <f t="shared" si="38"/>
        <v>1.0000092643910057</v>
      </c>
      <c r="AF77" s="846">
        <f t="shared" si="38"/>
        <v>1.0000000000000013</v>
      </c>
      <c r="AG77" s="846">
        <f t="shared" si="38"/>
        <v>1.00000191369613</v>
      </c>
      <c r="AH77" s="846">
        <f t="shared" si="38"/>
        <v>1.0000174311088266</v>
      </c>
      <c r="AI77" s="846">
        <f t="shared" si="38"/>
        <v>0.99999999999999667</v>
      </c>
      <c r="AJ77" s="846">
        <f t="shared" si="37"/>
        <v>1.0000252127866938</v>
      </c>
      <c r="AK77" s="839">
        <f t="shared" si="38"/>
        <v>0.9995410008305583</v>
      </c>
      <c r="AN77" s="2" t="s">
        <v>6</v>
      </c>
      <c r="AO77" s="300">
        <v>0.64770000000000005</v>
      </c>
      <c r="AP77" s="300">
        <v>0.65</v>
      </c>
      <c r="AQ77" s="300">
        <v>0.62319999999999998</v>
      </c>
      <c r="AR77" s="940">
        <v>0.66510000000000002</v>
      </c>
      <c r="AS77" s="300">
        <v>0.68379999999999996</v>
      </c>
    </row>
    <row r="78" spans="1:55">
      <c r="A78" s="845" t="s">
        <v>54</v>
      </c>
      <c r="B78" s="846">
        <f t="shared" ref="B78:AK78" si="39">IFERROR(B31/B55,"")</f>
        <v>1</v>
      </c>
      <c r="C78" s="846">
        <f t="shared" si="39"/>
        <v>1</v>
      </c>
      <c r="D78" s="846">
        <f t="shared" si="39"/>
        <v>1</v>
      </c>
      <c r="E78" s="846">
        <f t="shared" si="39"/>
        <v>1</v>
      </c>
      <c r="F78" s="846">
        <f t="shared" si="39"/>
        <v>0.9</v>
      </c>
      <c r="G78" s="846">
        <f t="shared" si="39"/>
        <v>1.1000000000000001</v>
      </c>
      <c r="H78" s="846">
        <f t="shared" si="39"/>
        <v>0.99090909090909085</v>
      </c>
      <c r="I78" s="846">
        <f t="shared" si="39"/>
        <v>1.0155172413793103</v>
      </c>
      <c r="J78" s="846">
        <f t="shared" si="39"/>
        <v>1.0030303030303029</v>
      </c>
      <c r="K78" s="846">
        <f t="shared" si="39"/>
        <v>0.99875930521091816</v>
      </c>
      <c r="L78" s="846">
        <f t="shared" si="39"/>
        <v>1.0001776198934282</v>
      </c>
      <c r="M78" s="846">
        <f t="shared" si="39"/>
        <v>0.99966072943172168</v>
      </c>
      <c r="N78" s="846">
        <f t="shared" si="39"/>
        <v>1.0008553100498931</v>
      </c>
      <c r="O78" s="846">
        <f t="shared" si="39"/>
        <v>1.0009608785175017</v>
      </c>
      <c r="P78" s="846">
        <f t="shared" si="39"/>
        <v>1.0013557483731019</v>
      </c>
      <c r="Q78" s="846">
        <f t="shared" si="39"/>
        <v>1.0023096663815225</v>
      </c>
      <c r="R78" s="846">
        <f t="shared" si="39"/>
        <v>1.0022604588394062</v>
      </c>
      <c r="S78" s="846">
        <f t="shared" si="39"/>
        <v>1.0005952380952381</v>
      </c>
      <c r="T78" s="846">
        <f t="shared" si="39"/>
        <v>1.001916735366859</v>
      </c>
      <c r="U78" s="846">
        <f t="shared" si="39"/>
        <v>1.0089282960678487</v>
      </c>
      <c r="V78" s="846">
        <f t="shared" si="39"/>
        <v>1.0086096374889477</v>
      </c>
      <c r="W78" s="846">
        <f t="shared" si="39"/>
        <v>1.0083273657289</v>
      </c>
      <c r="X78" s="846">
        <f t="shared" si="39"/>
        <v>1.0055576389409735</v>
      </c>
      <c r="Y78" s="846">
        <f t="shared" si="39"/>
        <v>1.0057385903321632</v>
      </c>
      <c r="Z78" s="846">
        <f t="shared" si="39"/>
        <v>1.005918218569819</v>
      </c>
      <c r="AA78" s="846">
        <f t="shared" si="39"/>
        <v>1.0093771249830001</v>
      </c>
      <c r="AB78" s="846">
        <f t="shared" si="39"/>
        <v>1.0094561433544484</v>
      </c>
      <c r="AC78" s="846">
        <f t="shared" si="39"/>
        <v>1.0100520730265732</v>
      </c>
      <c r="AD78" s="846">
        <f t="shared" si="39"/>
        <v>1.0090900350450946</v>
      </c>
      <c r="AE78" s="846">
        <f t="shared" si="39"/>
        <v>1.0083656111488239</v>
      </c>
      <c r="AF78" s="846">
        <f t="shared" si="39"/>
        <v>1.0082414750745881</v>
      </c>
      <c r="AG78" s="846">
        <f t="shared" si="39"/>
        <v>1.0098294220033885</v>
      </c>
      <c r="AH78" s="846">
        <f t="shared" si="39"/>
        <v>1.0093525495556286</v>
      </c>
      <c r="AI78" s="846">
        <f t="shared" si="39"/>
        <v>1.0114299001704719</v>
      </c>
      <c r="AJ78" s="846">
        <f t="shared" si="37"/>
        <v>1.0105989770276722</v>
      </c>
      <c r="AK78" s="839">
        <f t="shared" si="39"/>
        <v>1.0101096452575549</v>
      </c>
      <c r="AN78" s="2" t="s">
        <v>8</v>
      </c>
      <c r="AO78" s="300">
        <v>1.4E-2</v>
      </c>
      <c r="AP78" s="300">
        <v>1.7000000000000001E-2</v>
      </c>
      <c r="AQ78" s="300">
        <v>1.66E-2</v>
      </c>
      <c r="AR78" s="940">
        <v>1.11E-2</v>
      </c>
      <c r="AS78" s="300">
        <v>9.1999999999999998E-3</v>
      </c>
    </row>
    <row r="79" spans="1:55">
      <c r="A79" s="845" t="s">
        <v>672</v>
      </c>
      <c r="B79" s="846">
        <f t="shared" ref="B79:AK79" si="40">IFERROR(B32/B56,"")</f>
        <v>1</v>
      </c>
      <c r="C79" s="846">
        <f t="shared" si="40"/>
        <v>1</v>
      </c>
      <c r="D79" s="846">
        <f t="shared" si="40"/>
        <v>1</v>
      </c>
      <c r="E79" s="846">
        <f t="shared" si="40"/>
        <v>1</v>
      </c>
      <c r="F79" s="846">
        <f t="shared" si="40"/>
        <v>1</v>
      </c>
      <c r="G79" s="846">
        <f t="shared" si="40"/>
        <v>1</v>
      </c>
      <c r="H79" s="846">
        <f t="shared" si="40"/>
        <v>1</v>
      </c>
      <c r="I79" s="846">
        <f t="shared" si="40"/>
        <v>1</v>
      </c>
      <c r="J79" s="846">
        <f t="shared" si="40"/>
        <v>1</v>
      </c>
      <c r="K79" s="846">
        <f t="shared" si="40"/>
        <v>1</v>
      </c>
      <c r="L79" s="846">
        <f t="shared" si="40"/>
        <v>1</v>
      </c>
      <c r="M79" s="846">
        <f t="shared" si="40"/>
        <v>1</v>
      </c>
      <c r="N79" s="846">
        <f t="shared" si="40"/>
        <v>1</v>
      </c>
      <c r="O79" s="846">
        <f t="shared" si="40"/>
        <v>1</v>
      </c>
      <c r="P79" s="846">
        <f t="shared" si="40"/>
        <v>1</v>
      </c>
      <c r="Q79" s="846">
        <f t="shared" si="40"/>
        <v>1</v>
      </c>
      <c r="R79" s="846">
        <f t="shared" si="40"/>
        <v>1</v>
      </c>
      <c r="S79" s="846">
        <f t="shared" si="40"/>
        <v>1.0263157894736843</v>
      </c>
      <c r="T79" s="846">
        <f t="shared" si="40"/>
        <v>1</v>
      </c>
      <c r="U79" s="846">
        <f t="shared" si="40"/>
        <v>1.000739644970414</v>
      </c>
      <c r="V79" s="846">
        <f t="shared" si="40"/>
        <v>1.0169156883671291</v>
      </c>
      <c r="W79" s="846">
        <f t="shared" si="40"/>
        <v>1.0119703787026622</v>
      </c>
      <c r="X79" s="846">
        <f t="shared" si="40"/>
        <v>1.0120566614798518</v>
      </c>
      <c r="Y79" s="846">
        <f t="shared" si="40"/>
        <v>1.0169390927504829</v>
      </c>
      <c r="Z79" s="846">
        <f t="shared" si="40"/>
        <v>1.0214956266886477</v>
      </c>
      <c r="AA79" s="846">
        <f t="shared" si="40"/>
        <v>1.0156808925092968</v>
      </c>
      <c r="AB79" s="846">
        <f t="shared" si="40"/>
        <v>1.0159626786781264</v>
      </c>
      <c r="AC79" s="846">
        <f t="shared" si="40"/>
        <v>1.0150260935866575</v>
      </c>
      <c r="AD79" s="846">
        <f t="shared" si="40"/>
        <v>1.0174457511675983</v>
      </c>
      <c r="AE79" s="846">
        <f t="shared" si="40"/>
        <v>1.0158285356183863</v>
      </c>
      <c r="AF79" s="846">
        <f t="shared" si="40"/>
        <v>1.0159047941990202</v>
      </c>
      <c r="AG79" s="846">
        <f t="shared" si="40"/>
        <v>1.0164950362897944</v>
      </c>
      <c r="AH79" s="846">
        <f t="shared" si="40"/>
        <v>1.0161664102717816</v>
      </c>
      <c r="AI79" s="846">
        <f t="shared" si="40"/>
        <v>1.0158303770233021</v>
      </c>
      <c r="AJ79" s="846">
        <f t="shared" si="37"/>
        <v>1.0180270298959369</v>
      </c>
      <c r="AK79" s="839">
        <f t="shared" si="40"/>
        <v>1.0227733768494642</v>
      </c>
      <c r="AN79" s="2" t="s">
        <v>705</v>
      </c>
      <c r="AO79" s="300">
        <v>4.8300000000000003E-2</v>
      </c>
      <c r="AP79" s="300">
        <v>6.6100000000000006E-2</v>
      </c>
      <c r="AQ79" s="300">
        <v>7.0499999999999993E-2</v>
      </c>
      <c r="AR79" s="940">
        <v>7.4300000000000005E-2</v>
      </c>
      <c r="AS79" s="300">
        <v>7.0699999999999999E-2</v>
      </c>
    </row>
    <row r="80" spans="1:55">
      <c r="A80" s="5" t="s">
        <v>2</v>
      </c>
      <c r="B80" s="838">
        <f t="shared" ref="B80:AK80" si="41">IFERROR(B33/B57,"")</f>
        <v>1.053629823413996</v>
      </c>
      <c r="C80" s="838">
        <f t="shared" si="41"/>
        <v>1.0596070596070595</v>
      </c>
      <c r="D80" s="838">
        <f t="shared" si="41"/>
        <v>1.06299938537185</v>
      </c>
      <c r="E80" s="838">
        <f t="shared" si="41"/>
        <v>1.0601329864122577</v>
      </c>
      <c r="F80" s="838">
        <f t="shared" si="41"/>
        <v>1.0685741088180112</v>
      </c>
      <c r="G80" s="838">
        <f t="shared" si="41"/>
        <v>1.0672879776328053</v>
      </c>
      <c r="H80" s="838">
        <f t="shared" si="41"/>
        <v>1.0649306538352674</v>
      </c>
      <c r="I80" s="838">
        <f t="shared" si="41"/>
        <v>1.063507625272331</v>
      </c>
      <c r="J80" s="838">
        <f t="shared" si="41"/>
        <v>1.0646033350176858</v>
      </c>
      <c r="K80" s="838">
        <f t="shared" si="41"/>
        <v>1.0665455426356587</v>
      </c>
      <c r="L80" s="838">
        <f t="shared" si="41"/>
        <v>1.0654891304347824</v>
      </c>
      <c r="M80" s="838">
        <f t="shared" si="41"/>
        <v>1.0588815789473685</v>
      </c>
      <c r="N80" s="838">
        <f t="shared" si="41"/>
        <v>1.0632383124287343</v>
      </c>
      <c r="O80" s="838">
        <f t="shared" si="41"/>
        <v>1.0604646544876886</v>
      </c>
      <c r="P80" s="838">
        <f t="shared" si="41"/>
        <v>1.0605227228398675</v>
      </c>
      <c r="Q80" s="838">
        <f t="shared" si="41"/>
        <v>1.0602349661489445</v>
      </c>
      <c r="R80" s="838">
        <f t="shared" si="41"/>
        <v>1.0613287250384023</v>
      </c>
      <c r="S80" s="838">
        <f t="shared" si="41"/>
        <v>1.0621972153347321</v>
      </c>
      <c r="T80" s="838">
        <f t="shared" si="41"/>
        <v>1.0620046171604463</v>
      </c>
      <c r="U80" s="838">
        <f t="shared" si="41"/>
        <v>1.0649521531100479</v>
      </c>
      <c r="V80" s="838">
        <f t="shared" si="41"/>
        <v>1.0653785176377328</v>
      </c>
      <c r="W80" s="838">
        <f t="shared" si="41"/>
        <v>1.063838193791157</v>
      </c>
      <c r="X80" s="838">
        <f t="shared" si="41"/>
        <v>1.0646801218583397</v>
      </c>
      <c r="Y80" s="838">
        <f t="shared" si="41"/>
        <v>1.0637593984962406</v>
      </c>
      <c r="Z80" s="838">
        <f t="shared" si="41"/>
        <v>1.0627447458236035</v>
      </c>
      <c r="AA80" s="838">
        <f t="shared" si="41"/>
        <v>1.0619848901098901</v>
      </c>
      <c r="AB80" s="838">
        <f t="shared" si="41"/>
        <v>1.0718595534344642</v>
      </c>
      <c r="AC80" s="838">
        <f t="shared" si="41"/>
        <v>1.0652310588752649</v>
      </c>
      <c r="AD80" s="838">
        <f t="shared" si="41"/>
        <v>1.0604581330594096</v>
      </c>
      <c r="AE80" s="838">
        <f t="shared" si="41"/>
        <v>1.0678698256680403</v>
      </c>
      <c r="AF80" s="838">
        <f t="shared" si="41"/>
        <v>1.0671625178971305</v>
      </c>
      <c r="AG80" s="838">
        <f t="shared" si="41"/>
        <v>1.0683389729833337</v>
      </c>
      <c r="AH80" s="838">
        <f t="shared" si="41"/>
        <v>1.0711197531299179</v>
      </c>
      <c r="AI80" s="838">
        <f t="shared" si="41"/>
        <v>1.0719929460370707</v>
      </c>
      <c r="AJ80" s="838">
        <f t="shared" si="37"/>
        <v>1.0757125339749822</v>
      </c>
      <c r="AK80" s="839">
        <f t="shared" si="41"/>
        <v>1.0751916742369929</v>
      </c>
      <c r="AN80" s="2" t="s">
        <v>613</v>
      </c>
      <c r="AO80" s="300">
        <v>7.0300000000000001E-2</v>
      </c>
      <c r="AP80" s="300">
        <v>2.81E-2</v>
      </c>
      <c r="AQ80" s="300">
        <v>2.9899999999999999E-2</v>
      </c>
      <c r="AR80" s="940">
        <v>5.0299999999999997E-2</v>
      </c>
      <c r="AS80" s="300">
        <v>4.6300000000000001E-2</v>
      </c>
    </row>
    <row r="81" spans="1:45">
      <c r="A81" s="5" t="s">
        <v>147</v>
      </c>
      <c r="B81" s="838">
        <f t="shared" ref="B81:AK81" si="42">IFERROR(B34/B58,"")</f>
        <v>1.0832365145228218</v>
      </c>
      <c r="C81" s="838">
        <f t="shared" si="42"/>
        <v>1.0832365145228218</v>
      </c>
      <c r="D81" s="838">
        <f t="shared" si="42"/>
        <v>1.0832365145228218</v>
      </c>
      <c r="E81" s="838">
        <f t="shared" si="42"/>
        <v>1.0832365145228218</v>
      </c>
      <c r="F81" s="838">
        <f t="shared" si="42"/>
        <v>1.0832365145228215</v>
      </c>
      <c r="G81" s="838">
        <f t="shared" si="42"/>
        <v>1.0832365145228218</v>
      </c>
      <c r="H81" s="838">
        <f t="shared" si="42"/>
        <v>1.0832365145228218</v>
      </c>
      <c r="I81" s="838">
        <f t="shared" si="42"/>
        <v>1.0832365145228213</v>
      </c>
      <c r="J81" s="838">
        <f t="shared" si="42"/>
        <v>1.0832365145228218</v>
      </c>
      <c r="K81" s="838">
        <f t="shared" si="42"/>
        <v>1.0832365145228218</v>
      </c>
      <c r="L81" s="838">
        <f t="shared" si="42"/>
        <v>1.0832365145228218</v>
      </c>
      <c r="M81" s="838">
        <f t="shared" si="42"/>
        <v>1.0832365145228218</v>
      </c>
      <c r="N81" s="838">
        <f t="shared" si="42"/>
        <v>1.0828785607196403</v>
      </c>
      <c r="O81" s="838">
        <f t="shared" si="42"/>
        <v>1.0749164681380263</v>
      </c>
      <c r="P81" s="838">
        <f t="shared" si="42"/>
        <v>1.0716897533319836</v>
      </c>
      <c r="Q81" s="838">
        <f t="shared" si="42"/>
        <v>1.0748982240512928</v>
      </c>
      <c r="R81" s="838">
        <f t="shared" si="42"/>
        <v>1.0691705600388326</v>
      </c>
      <c r="S81" s="838">
        <f t="shared" si="42"/>
        <v>1.0762072409735062</v>
      </c>
      <c r="T81" s="838">
        <f t="shared" si="42"/>
        <v>1.0680516272242313</v>
      </c>
      <c r="U81" s="838">
        <f t="shared" si="42"/>
        <v>1.0648591901584594</v>
      </c>
      <c r="V81" s="838">
        <f t="shared" si="42"/>
        <v>1.0598923276428285</v>
      </c>
      <c r="W81" s="838">
        <f t="shared" si="42"/>
        <v>1.0710249603274651</v>
      </c>
      <c r="X81" s="838">
        <f t="shared" si="42"/>
        <v>1.0734026183906267</v>
      </c>
      <c r="Y81" s="838">
        <f t="shared" si="42"/>
        <v>1.0788212012082152</v>
      </c>
      <c r="Z81" s="838">
        <f t="shared" si="42"/>
        <v>1.0784052410243714</v>
      </c>
      <c r="AA81" s="838">
        <f t="shared" si="42"/>
        <v>1.0817366279702065</v>
      </c>
      <c r="AB81" s="838">
        <f t="shared" si="42"/>
        <v>1.0864669191356648</v>
      </c>
      <c r="AC81" s="838">
        <f t="shared" si="42"/>
        <v>1.0875192763447852</v>
      </c>
      <c r="AD81" s="838">
        <f t="shared" si="42"/>
        <v>1.0879857567850981</v>
      </c>
      <c r="AE81" s="838">
        <f t="shared" si="42"/>
        <v>1.088787557749388</v>
      </c>
      <c r="AF81" s="838">
        <f t="shared" si="42"/>
        <v>1.0869367527819942</v>
      </c>
      <c r="AG81" s="838">
        <f t="shared" si="42"/>
        <v>1.0900314316132038</v>
      </c>
      <c r="AH81" s="838">
        <f t="shared" si="42"/>
        <v>1.0945422247635328</v>
      </c>
      <c r="AI81" s="838">
        <f t="shared" si="42"/>
        <v>1.0992792375237375</v>
      </c>
      <c r="AJ81" s="838">
        <f t="shared" si="37"/>
        <v>1.0979471858527385</v>
      </c>
      <c r="AK81" s="839">
        <f t="shared" si="42"/>
        <v>1.0974155601019102</v>
      </c>
      <c r="AN81" s="2" t="s">
        <v>706</v>
      </c>
      <c r="AO81" s="300">
        <v>8.9899999999999994E-2</v>
      </c>
      <c r="AP81" s="300">
        <v>7.2999999999999995E-2</v>
      </c>
      <c r="AQ81" s="300">
        <v>7.0199999999999999E-2</v>
      </c>
      <c r="AR81" s="940">
        <v>8.0399999999999999E-2</v>
      </c>
      <c r="AS81" s="300">
        <v>9.7799999999999998E-2</v>
      </c>
    </row>
    <row r="82" spans="1:45">
      <c r="A82" s="5" t="s">
        <v>565</v>
      </c>
      <c r="B82" s="838" t="str">
        <f t="shared" ref="B82:AK82" si="43">IFERROR(B35/B59,"")</f>
        <v/>
      </c>
      <c r="C82" s="838" t="str">
        <f t="shared" si="43"/>
        <v/>
      </c>
      <c r="D82" s="838" t="str">
        <f t="shared" si="43"/>
        <v/>
      </c>
      <c r="E82" s="838" t="str">
        <f t="shared" si="43"/>
        <v/>
      </c>
      <c r="F82" s="838" t="str">
        <f t="shared" si="43"/>
        <v/>
      </c>
      <c r="G82" s="838" t="str">
        <f t="shared" si="43"/>
        <v/>
      </c>
      <c r="H82" s="838" t="str">
        <f t="shared" si="43"/>
        <v/>
      </c>
      <c r="I82" s="838" t="str">
        <f t="shared" si="43"/>
        <v/>
      </c>
      <c r="J82" s="838" t="str">
        <f t="shared" si="43"/>
        <v/>
      </c>
      <c r="K82" s="838" t="str">
        <f t="shared" si="43"/>
        <v/>
      </c>
      <c r="L82" s="838" t="str">
        <f t="shared" si="43"/>
        <v/>
      </c>
      <c r="M82" s="838" t="str">
        <f t="shared" si="43"/>
        <v/>
      </c>
      <c r="N82" s="838" t="str">
        <f t="shared" si="43"/>
        <v/>
      </c>
      <c r="O82" s="838" t="str">
        <f t="shared" si="43"/>
        <v/>
      </c>
      <c r="P82" s="838" t="str">
        <f t="shared" si="43"/>
        <v/>
      </c>
      <c r="Q82" s="838" t="str">
        <f t="shared" si="43"/>
        <v/>
      </c>
      <c r="R82" s="838" t="str">
        <f t="shared" si="43"/>
        <v/>
      </c>
      <c r="S82" s="838" t="str">
        <f t="shared" si="43"/>
        <v/>
      </c>
      <c r="T82" s="838" t="str">
        <f t="shared" si="43"/>
        <v/>
      </c>
      <c r="U82" s="838" t="str">
        <f t="shared" si="43"/>
        <v/>
      </c>
      <c r="V82" s="838" t="str">
        <f t="shared" si="43"/>
        <v/>
      </c>
      <c r="W82" s="838" t="str">
        <f t="shared" si="43"/>
        <v/>
      </c>
      <c r="X82" s="838" t="str">
        <f t="shared" si="43"/>
        <v/>
      </c>
      <c r="Y82" s="838" t="str">
        <f t="shared" si="43"/>
        <v/>
      </c>
      <c r="Z82" s="838" t="str">
        <f t="shared" si="43"/>
        <v/>
      </c>
      <c r="AA82" s="838" t="str">
        <f t="shared" si="43"/>
        <v/>
      </c>
      <c r="AB82" s="838" t="str">
        <f t="shared" si="43"/>
        <v/>
      </c>
      <c r="AC82" s="838" t="str">
        <f t="shared" si="43"/>
        <v/>
      </c>
      <c r="AD82" s="838" t="str">
        <f t="shared" si="43"/>
        <v/>
      </c>
      <c r="AE82" s="838" t="str">
        <f t="shared" si="43"/>
        <v/>
      </c>
      <c r="AF82" s="838" t="str">
        <f t="shared" si="43"/>
        <v/>
      </c>
      <c r="AG82" s="838" t="str">
        <f t="shared" si="43"/>
        <v/>
      </c>
      <c r="AH82" s="838">
        <f t="shared" si="43"/>
        <v>0</v>
      </c>
      <c r="AI82" s="838">
        <f t="shared" si="43"/>
        <v>1.0115606936416186</v>
      </c>
      <c r="AJ82" s="838">
        <f t="shared" si="37"/>
        <v>1.0336172801947066</v>
      </c>
      <c r="AK82" s="839">
        <f t="shared" si="43"/>
        <v>1.0331168029679942</v>
      </c>
    </row>
    <row r="83" spans="1:45">
      <c r="A83" s="662" t="s">
        <v>49</v>
      </c>
      <c r="B83" s="841">
        <f t="shared" ref="B83:AK83" si="44">IFERROR(B36/B60,"")</f>
        <v>1.0562556080053058</v>
      </c>
      <c r="C83" s="841">
        <f t="shared" si="44"/>
        <v>1.0548098939324408</v>
      </c>
      <c r="D83" s="841">
        <f t="shared" si="44"/>
        <v>1.0550775730613731</v>
      </c>
      <c r="E83" s="841">
        <f t="shared" si="44"/>
        <v>1.0540802664509321</v>
      </c>
      <c r="F83" s="841">
        <f t="shared" si="44"/>
        <v>1.0528723718806732</v>
      </c>
      <c r="G83" s="841">
        <f t="shared" si="44"/>
        <v>1.0535435461768912</v>
      </c>
      <c r="H83" s="841">
        <f t="shared" si="44"/>
        <v>1.0518950806183345</v>
      </c>
      <c r="I83" s="841">
        <f t="shared" si="44"/>
        <v>1.0508830567277547</v>
      </c>
      <c r="J83" s="841">
        <f t="shared" si="44"/>
        <v>1.0520233086451747</v>
      </c>
      <c r="K83" s="841">
        <f t="shared" si="44"/>
        <v>1.0511157306989547</v>
      </c>
      <c r="L83" s="841">
        <f t="shared" si="44"/>
        <v>1.0506499358365546</v>
      </c>
      <c r="M83" s="841">
        <f t="shared" si="44"/>
        <v>1.0489786417312306</v>
      </c>
      <c r="N83" s="841">
        <f t="shared" si="44"/>
        <v>1.05346209107488</v>
      </c>
      <c r="O83" s="841">
        <f t="shared" si="44"/>
        <v>1.0488293010495575</v>
      </c>
      <c r="P83" s="841">
        <f t="shared" si="44"/>
        <v>1.0458554175999275</v>
      </c>
      <c r="Q83" s="841">
        <f t="shared" si="44"/>
        <v>1.0449534944996977</v>
      </c>
      <c r="R83" s="841">
        <f t="shared" si="44"/>
        <v>1.0426982899856119</v>
      </c>
      <c r="S83" s="841">
        <f t="shared" si="44"/>
        <v>1.0417792067975533</v>
      </c>
      <c r="T83" s="841">
        <f t="shared" si="44"/>
        <v>1.0392947436618134</v>
      </c>
      <c r="U83" s="841">
        <f t="shared" si="44"/>
        <v>1.0410282396144399</v>
      </c>
      <c r="V83" s="841">
        <f t="shared" si="44"/>
        <v>1.0389256403809837</v>
      </c>
      <c r="W83" s="841">
        <f t="shared" si="44"/>
        <v>1.0382233324037444</v>
      </c>
      <c r="X83" s="841">
        <f t="shared" si="44"/>
        <v>1.0398662788925226</v>
      </c>
      <c r="Y83" s="841">
        <f t="shared" si="44"/>
        <v>1.0393543577449076</v>
      </c>
      <c r="Z83" s="841">
        <f t="shared" si="44"/>
        <v>1.0396784541392259</v>
      </c>
      <c r="AA83" s="841">
        <f t="shared" si="44"/>
        <v>1.0387809257557143</v>
      </c>
      <c r="AB83" s="841">
        <f t="shared" si="44"/>
        <v>1.0359858241278919</v>
      </c>
      <c r="AC83" s="841">
        <f t="shared" si="44"/>
        <v>1.0370334202427289</v>
      </c>
      <c r="AD83" s="841">
        <f t="shared" si="44"/>
        <v>1.0352474637289357</v>
      </c>
      <c r="AE83" s="841">
        <f t="shared" si="44"/>
        <v>1.0348761998904072</v>
      </c>
      <c r="AF83" s="841">
        <f>IFERROR(AF36/AF60,"")</f>
        <v>1.0327004047230031</v>
      </c>
      <c r="AG83" s="841">
        <f t="shared" si="44"/>
        <v>1.0322242559188892</v>
      </c>
      <c r="AH83" s="841">
        <f t="shared" si="44"/>
        <v>1.0340308376545384</v>
      </c>
      <c r="AI83" s="841">
        <f>IFERROR(AI36/AI60,"")</f>
        <v>1.0317517886251484</v>
      </c>
      <c r="AJ83" s="841">
        <f t="shared" si="37"/>
        <v>1.0293804652128329</v>
      </c>
      <c r="AK83" s="842">
        <f t="shared" si="44"/>
        <v>1.0293558562681351</v>
      </c>
      <c r="AR83" s="1058">
        <f>SUM(AR66:AR72)/AR84</f>
        <v>0.87576640621681867</v>
      </c>
      <c r="AS83" s="1058">
        <f>SUM(AS66:AS72)/AS84</f>
        <v>0.87842784068307311</v>
      </c>
    </row>
    <row r="84" spans="1:45">
      <c r="A84" s="662" t="s">
        <v>664</v>
      </c>
      <c r="B84" s="841">
        <f>IFERROR(B37/B61,"")</f>
        <v>1.0642346200226307</v>
      </c>
      <c r="C84" s="841">
        <f t="shared" ref="C84:AH84" si="45">IFERROR(C37/C61,"")</f>
        <v>1.0619130095346823</v>
      </c>
      <c r="D84" s="841">
        <f t="shared" si="45"/>
        <v>1.0628704859335243</v>
      </c>
      <c r="E84" s="841">
        <f t="shared" si="45"/>
        <v>1.0606350852232636</v>
      </c>
      <c r="F84" s="841">
        <f t="shared" si="45"/>
        <v>1.0588744385108511</v>
      </c>
      <c r="G84" s="841">
        <f t="shared" si="45"/>
        <v>1.0616024176595373</v>
      </c>
      <c r="H84" s="841">
        <f t="shared" si="45"/>
        <v>1.0616620964711136</v>
      </c>
      <c r="I84" s="841">
        <f t="shared" si="45"/>
        <v>1.0599921143965259</v>
      </c>
      <c r="J84" s="841">
        <f t="shared" si="45"/>
        <v>1.0631225317291224</v>
      </c>
      <c r="K84" s="841">
        <f t="shared" si="45"/>
        <v>1.0631965215760035</v>
      </c>
      <c r="L84" s="841">
        <f t="shared" si="45"/>
        <v>1.0620307244174134</v>
      </c>
      <c r="M84" s="841">
        <f t="shared" si="45"/>
        <v>1.0601373747350362</v>
      </c>
      <c r="N84" s="841">
        <f t="shared" si="45"/>
        <v>1.0667524515617497</v>
      </c>
      <c r="O84" s="841">
        <f t="shared" si="45"/>
        <v>1.0613524370931569</v>
      </c>
      <c r="P84" s="841">
        <f t="shared" si="45"/>
        <v>1.0572125804115804</v>
      </c>
      <c r="Q84" s="841">
        <f t="shared" si="45"/>
        <v>1.0551762773593905</v>
      </c>
      <c r="R84" s="841">
        <f t="shared" si="45"/>
        <v>1.0519126148230276</v>
      </c>
      <c r="S84" s="841">
        <f t="shared" si="45"/>
        <v>1.0496445158522589</v>
      </c>
      <c r="T84" s="841">
        <f t="shared" si="45"/>
        <v>1.0470168980272649</v>
      </c>
      <c r="U84" s="841">
        <f t="shared" si="45"/>
        <v>1.0473236935624211</v>
      </c>
      <c r="V84" s="841">
        <f t="shared" si="45"/>
        <v>1.0435843323807314</v>
      </c>
      <c r="W84" s="841">
        <f t="shared" si="45"/>
        <v>1.04063265450749</v>
      </c>
      <c r="X84" s="841">
        <f t="shared" si="45"/>
        <v>1.0427215312130755</v>
      </c>
      <c r="Y84" s="841">
        <f t="shared" si="45"/>
        <v>1.0418606922057303</v>
      </c>
      <c r="Z84" s="841">
        <f t="shared" si="45"/>
        <v>1.0423431429147154</v>
      </c>
      <c r="AA84" s="841">
        <f t="shared" si="45"/>
        <v>1.0408180034985308</v>
      </c>
      <c r="AB84" s="841">
        <f t="shared" si="45"/>
        <v>1.0386253133184375</v>
      </c>
      <c r="AC84" s="841">
        <f t="shared" si="45"/>
        <v>1.0396640806951012</v>
      </c>
      <c r="AD84" s="841">
        <f t="shared" si="45"/>
        <v>1.0376886541911752</v>
      </c>
      <c r="AE84" s="841">
        <f t="shared" si="45"/>
        <v>1.0374352853452233</v>
      </c>
      <c r="AF84" s="841">
        <f t="shared" si="45"/>
        <v>1.0357184660459688</v>
      </c>
      <c r="AG84" s="841">
        <f t="shared" si="45"/>
        <v>1.0355438862621025</v>
      </c>
      <c r="AH84" s="841">
        <f t="shared" si="45"/>
        <v>1.0369023557232626</v>
      </c>
      <c r="AI84" s="841">
        <f>IFERROR(AI37/AI61,"")</f>
        <v>1.0345328872182808</v>
      </c>
      <c r="AJ84" s="841">
        <f t="shared" si="37"/>
        <v>1.0317602338484113</v>
      </c>
      <c r="AK84" s="842">
        <f>IFERROR(AK37/AK61,"")</f>
        <v>1.0329957344001779</v>
      </c>
      <c r="AN84" s="2" t="s">
        <v>802</v>
      </c>
      <c r="AO84" s="95">
        <f>AG61</f>
        <v>277.12906218902998</v>
      </c>
      <c r="AP84" s="95">
        <f t="shared" ref="AP84:AS84" si="46">AH61</f>
        <v>272.02169096056002</v>
      </c>
      <c r="AQ84" s="95">
        <f t="shared" si="46"/>
        <v>254.36487121642952</v>
      </c>
      <c r="AR84" s="95">
        <f t="shared" si="46"/>
        <v>260.91432415989351</v>
      </c>
      <c r="AS84" s="95">
        <f t="shared" si="46"/>
        <v>265.40118726483354</v>
      </c>
    </row>
    <row r="85" spans="1:45">
      <c r="A85" s="79" t="s">
        <v>841</v>
      </c>
      <c r="B85" s="960">
        <f t="shared" ref="B85:P85" si="47">IFERROR(B38/B62,"")</f>
        <v>1.0632254558221839</v>
      </c>
      <c r="C85" s="960">
        <f t="shared" si="47"/>
        <v>1.0664630513404354</v>
      </c>
      <c r="D85" s="960">
        <f t="shared" si="47"/>
        <v>1.0683949129526387</v>
      </c>
      <c r="E85" s="960">
        <f t="shared" si="47"/>
        <v>1.0685503369255254</v>
      </c>
      <c r="F85" s="960">
        <f t="shared" si="47"/>
        <v>1.0656772587634848</v>
      </c>
      <c r="G85" s="960">
        <f t="shared" si="47"/>
        <v>1.0629118480461608</v>
      </c>
      <c r="H85" s="960">
        <f t="shared" si="47"/>
        <v>1.062748264600748</v>
      </c>
      <c r="I85" s="960">
        <f t="shared" si="47"/>
        <v>1.062263324390198</v>
      </c>
      <c r="J85" s="960">
        <f t="shared" si="47"/>
        <v>1.0650197036267068</v>
      </c>
      <c r="K85" s="960">
        <f t="shared" si="47"/>
        <v>1.0678441194890091</v>
      </c>
      <c r="L85" s="960">
        <f t="shared" si="47"/>
        <v>1.0643175447141406</v>
      </c>
      <c r="M85" s="960">
        <f t="shared" si="47"/>
        <v>1.0755670922947624</v>
      </c>
      <c r="N85" s="960">
        <f t="shared" si="47"/>
        <v>1.0788990163643224</v>
      </c>
      <c r="O85" s="960">
        <f t="shared" si="47"/>
        <v>1.0691243040740932</v>
      </c>
      <c r="P85" s="960">
        <f t="shared" si="47"/>
        <v>1.0711183446975194</v>
      </c>
      <c r="Q85" s="960">
        <f t="shared" ref="Q85:AK85" si="48">IFERROR(Q38/Q62,"")</f>
        <v>1.0814929461882863</v>
      </c>
      <c r="R85" s="960">
        <f t="shared" si="48"/>
        <v>1.08092633300956</v>
      </c>
      <c r="S85" s="960">
        <f t="shared" si="48"/>
        <v>1.0955531811931329</v>
      </c>
      <c r="T85" s="960">
        <f t="shared" si="48"/>
        <v>1.101515560171928</v>
      </c>
      <c r="U85" s="960">
        <f t="shared" si="48"/>
        <v>1.1081937465103295</v>
      </c>
      <c r="V85" s="960">
        <f t="shared" si="48"/>
        <v>1.1098938029305014</v>
      </c>
      <c r="W85" s="960">
        <f t="shared" si="48"/>
        <v>1.1100543656252049</v>
      </c>
      <c r="X85" s="960">
        <f t="shared" si="48"/>
        <v>1.0994598825831703</v>
      </c>
      <c r="Y85" s="960">
        <f t="shared" si="48"/>
        <v>1.1060098803739842</v>
      </c>
      <c r="Z85" s="960">
        <f t="shared" si="48"/>
        <v>1.1152936769904254</v>
      </c>
      <c r="AA85" s="960">
        <f t="shared" si="48"/>
        <v>1.1034455678806325</v>
      </c>
      <c r="AB85" s="960">
        <f t="shared" si="48"/>
        <v>1.0784569950082323</v>
      </c>
      <c r="AC85" s="960">
        <f t="shared" si="48"/>
        <v>1.0914870508803614</v>
      </c>
      <c r="AD85" s="960">
        <f t="shared" si="48"/>
        <v>1.0897626533687614</v>
      </c>
      <c r="AE85" s="960">
        <f t="shared" si="48"/>
        <v>1.0708388804001649</v>
      </c>
      <c r="AF85" s="960">
        <f t="shared" si="48"/>
        <v>1.0639210349002428</v>
      </c>
      <c r="AG85" s="960">
        <f t="shared" si="48"/>
        <v>1.0785728823211831</v>
      </c>
      <c r="AH85" s="960">
        <f t="shared" si="48"/>
        <v>1.0780578213939858</v>
      </c>
      <c r="AI85" s="960">
        <f t="shared" si="48"/>
        <v>1.0676114400157202</v>
      </c>
      <c r="AJ85" s="960">
        <f t="shared" si="48"/>
        <v>1.062639720643906</v>
      </c>
      <c r="AK85" s="839">
        <f t="shared" si="48"/>
        <v>1.062627105363448</v>
      </c>
      <c r="AN85" s="2" t="s">
        <v>803</v>
      </c>
      <c r="AO85" s="95">
        <f>'1'!AG16</f>
        <v>319.91890605539993</v>
      </c>
      <c r="AP85" s="95">
        <f>'1'!AH16</f>
        <v>315.00844216483</v>
      </c>
      <c r="AQ85" s="95">
        <f>'1'!AI16</f>
        <v>305.616324626439</v>
      </c>
      <c r="AR85" s="95">
        <f>'1'!AJ16</f>
        <v>311.91392410961191</v>
      </c>
      <c r="AS85" s="95">
        <f>'1'!AK16</f>
        <v>312.29018726483361</v>
      </c>
    </row>
    <row r="86" spans="1:45" ht="18.5">
      <c r="A86" s="79" t="s">
        <v>831</v>
      </c>
      <c r="B86" s="960">
        <f t="shared" ref="B86:P86" si="49">IFERROR(B39/B63,"")</f>
        <v>1.0227900718523912</v>
      </c>
      <c r="C86" s="960">
        <f t="shared" si="49"/>
        <v>1.0222309805069574</v>
      </c>
      <c r="D86" s="960">
        <f t="shared" si="49"/>
        <v>1.0239358406267334</v>
      </c>
      <c r="E86" s="960">
        <f t="shared" si="49"/>
        <v>1.0248434297172999</v>
      </c>
      <c r="F86" s="960">
        <f t="shared" si="49"/>
        <v>1.024103066879694</v>
      </c>
      <c r="G86" s="960">
        <f t="shared" si="49"/>
        <v>1.023748592114029</v>
      </c>
      <c r="H86" s="960">
        <f t="shared" si="49"/>
        <v>1.0231808665082742</v>
      </c>
      <c r="I86" s="960">
        <f t="shared" si="49"/>
        <v>1.0257295302977183</v>
      </c>
      <c r="J86" s="960">
        <f t="shared" si="49"/>
        <v>1.0266296307685829</v>
      </c>
      <c r="K86" s="960">
        <f t="shared" si="49"/>
        <v>1.0257811748878969</v>
      </c>
      <c r="L86" s="960">
        <f t="shared" si="49"/>
        <v>1.0374198384146751</v>
      </c>
      <c r="M86" s="960">
        <f t="shared" si="49"/>
        <v>1.0184874459398519</v>
      </c>
      <c r="N86" s="960">
        <f t="shared" si="49"/>
        <v>1.0234538182109423</v>
      </c>
      <c r="O86" s="960">
        <f t="shared" si="49"/>
        <v>1.021183141522106</v>
      </c>
      <c r="P86" s="960">
        <f t="shared" si="49"/>
        <v>1.0195576630742045</v>
      </c>
      <c r="Q86" s="960">
        <f t="shared" ref="Q86:AK86" si="50">IFERROR(Q39/Q63,"")</f>
        <v>1.0213292689854261</v>
      </c>
      <c r="R86" s="960">
        <f t="shared" si="50"/>
        <v>1.0226145899959505</v>
      </c>
      <c r="S86" s="960">
        <f t="shared" si="50"/>
        <v>1.0217585038516401</v>
      </c>
      <c r="T86" s="960">
        <f t="shared" si="50"/>
        <v>1.0213412083164057</v>
      </c>
      <c r="U86" s="960">
        <f t="shared" si="50"/>
        <v>1.0240876737475768</v>
      </c>
      <c r="V86" s="960">
        <f t="shared" si="50"/>
        <v>1.0235978879984629</v>
      </c>
      <c r="W86" s="960">
        <f t="shared" si="50"/>
        <v>1.0219780368689437</v>
      </c>
      <c r="X86" s="960">
        <f t="shared" si="50"/>
        <v>1.0332770930966497</v>
      </c>
      <c r="Y86" s="960">
        <f t="shared" si="50"/>
        <v>1.0366217499218207</v>
      </c>
      <c r="Z86" s="960">
        <f t="shared" si="50"/>
        <v>1.038403329231681</v>
      </c>
      <c r="AA86" s="960">
        <f t="shared" si="50"/>
        <v>1.0427056199329654</v>
      </c>
      <c r="AB86" s="960">
        <f t="shared" si="50"/>
        <v>1.0469145259910178</v>
      </c>
      <c r="AC86" s="960">
        <f t="shared" si="50"/>
        <v>1.0466952294769631</v>
      </c>
      <c r="AD86" s="960">
        <f t="shared" si="50"/>
        <v>1.0439653146272827</v>
      </c>
      <c r="AE86" s="960">
        <f t="shared" si="50"/>
        <v>1.0517625831021034</v>
      </c>
      <c r="AF86" s="960">
        <f t="shared" si="50"/>
        <v>1.0457989075728895</v>
      </c>
      <c r="AG86" s="960">
        <f t="shared" si="50"/>
        <v>1.0526330809084306</v>
      </c>
      <c r="AH86" s="960">
        <f t="shared" si="50"/>
        <v>1.0434851285563389</v>
      </c>
      <c r="AI86" s="960">
        <f t="shared" si="50"/>
        <v>1.0514559092811371</v>
      </c>
      <c r="AJ86" s="960">
        <f t="shared" si="50"/>
        <v>1.053455251250081</v>
      </c>
      <c r="AK86" s="839">
        <f t="shared" si="50"/>
        <v>1.0576427102888462</v>
      </c>
      <c r="AN86" s="2" t="s">
        <v>805</v>
      </c>
      <c r="AO86" s="95">
        <f>SUM(AO66:AO72)</f>
        <v>242.70032285152399</v>
      </c>
      <c r="AP86" s="95">
        <f t="shared" ref="AP86:AS86" si="51">SUM(AP66:AP72)</f>
        <v>238.46568616425728</v>
      </c>
      <c r="AQ86" s="95">
        <f t="shared" si="51"/>
        <v>222.76420913301638</v>
      </c>
      <c r="AR86" s="95">
        <f t="shared" si="51"/>
        <v>228.5</v>
      </c>
      <c r="AS86" s="95">
        <f t="shared" si="51"/>
        <v>233.13579184377164</v>
      </c>
    </row>
    <row r="87" spans="1:45">
      <c r="A87" s="79" t="s">
        <v>760</v>
      </c>
      <c r="B87" s="960">
        <f>(SUM(B29:B35)-B30-B35)/(SUM(B53:B59)-B54-B59)</f>
        <v>1.061036695268788</v>
      </c>
      <c r="C87" s="960">
        <f t="shared" ref="C87:AK87" si="52">(SUM(C29:C35)-C30-C35)/(SUM(C53:C59)-C54-C59)</f>
        <v>1.0447996368094554</v>
      </c>
      <c r="D87" s="960">
        <f t="shared" si="52"/>
        <v>1.0489632954540626</v>
      </c>
      <c r="E87" s="960">
        <f t="shared" si="52"/>
        <v>1.0436275950521612</v>
      </c>
      <c r="F87" s="960">
        <f t="shared" si="52"/>
        <v>1.0402977129155895</v>
      </c>
      <c r="G87" s="960">
        <f t="shared" si="52"/>
        <v>1.0578710647257401</v>
      </c>
      <c r="H87" s="960">
        <f t="shared" si="52"/>
        <v>1.0617859099454041</v>
      </c>
      <c r="I87" s="960">
        <f t="shared" si="52"/>
        <v>1.0602565336795684</v>
      </c>
      <c r="J87" s="960">
        <f t="shared" si="52"/>
        <v>1.0718748973293948</v>
      </c>
      <c r="K87" s="960">
        <f t="shared" si="52"/>
        <v>1.0725865658375535</v>
      </c>
      <c r="L87" s="960">
        <f t="shared" si="52"/>
        <v>1.0738270986925722</v>
      </c>
      <c r="M87" s="960">
        <f t="shared" si="52"/>
        <v>1.0680314582203572</v>
      </c>
      <c r="N87" s="960">
        <f t="shared" si="52"/>
        <v>1.0912369575373113</v>
      </c>
      <c r="O87" s="960">
        <f t="shared" si="52"/>
        <v>1.0945855286660275</v>
      </c>
      <c r="P87" s="960">
        <f t="shared" si="52"/>
        <v>1.0790689440153733</v>
      </c>
      <c r="Q87" s="960">
        <f t="shared" si="52"/>
        <v>1.0817659471665546</v>
      </c>
      <c r="R87" s="960">
        <f t="shared" si="52"/>
        <v>1.0746966836761023</v>
      </c>
      <c r="S87" s="960">
        <f t="shared" si="52"/>
        <v>1.0721110779771537</v>
      </c>
      <c r="T87" s="960">
        <f t="shared" si="52"/>
        <v>1.0597662856577297</v>
      </c>
      <c r="U87" s="960">
        <f t="shared" si="52"/>
        <v>1.0442817248278022</v>
      </c>
      <c r="V87" s="960">
        <f t="shared" si="52"/>
        <v>1.0370195916721976</v>
      </c>
      <c r="W87" s="960">
        <f t="shared" si="52"/>
        <v>1.0301275209866165</v>
      </c>
      <c r="X87" s="960">
        <f t="shared" si="52"/>
        <v>1.0313111077445702</v>
      </c>
      <c r="Y87" s="960">
        <f t="shared" si="52"/>
        <v>1.029716662899596</v>
      </c>
      <c r="Z87" s="960">
        <f t="shared" si="52"/>
        <v>1.0304792728964072</v>
      </c>
      <c r="AA87" s="960">
        <f t="shared" si="52"/>
        <v>1.0313906853547117</v>
      </c>
      <c r="AB87" s="960">
        <f t="shared" si="52"/>
        <v>1.0344990522949795</v>
      </c>
      <c r="AC87" s="960">
        <f t="shared" si="52"/>
        <v>1.0358679593927151</v>
      </c>
      <c r="AD87" s="960">
        <f t="shared" si="52"/>
        <v>1.032647490153755</v>
      </c>
      <c r="AE87" s="960">
        <f t="shared" si="52"/>
        <v>1.033137433191798</v>
      </c>
      <c r="AF87" s="960">
        <f t="shared" si="52"/>
        <v>1.0332416740885388</v>
      </c>
      <c r="AG87" s="960">
        <f t="shared" si="52"/>
        <v>1.035131141667341</v>
      </c>
      <c r="AH87" s="960">
        <f t="shared" si="52"/>
        <v>1.0374472663082961</v>
      </c>
      <c r="AI87" s="960">
        <f t="shared" si="52"/>
        <v>1.0336807425300296</v>
      </c>
      <c r="AJ87" s="960">
        <f t="shared" si="52"/>
        <v>1.031515392126684</v>
      </c>
      <c r="AK87" s="839">
        <f t="shared" si="52"/>
        <v>1.0346485742844735</v>
      </c>
      <c r="AO87" s="95"/>
      <c r="AP87" s="95"/>
      <c r="AQ87" s="95"/>
      <c r="AR87" s="95"/>
      <c r="AS87" s="95"/>
    </row>
    <row r="88" spans="1:45" ht="18.5">
      <c r="A88" s="1044" t="s">
        <v>834</v>
      </c>
      <c r="B88" s="1000"/>
      <c r="C88" s="1000"/>
      <c r="D88" s="1000"/>
      <c r="E88" s="1000"/>
      <c r="F88" s="1000"/>
      <c r="G88" s="1000"/>
      <c r="H88" s="1000"/>
      <c r="I88" s="1000"/>
      <c r="J88" s="1000"/>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N88" s="2" t="s">
        <v>546</v>
      </c>
      <c r="AO88" s="492">
        <f>AG54</f>
        <v>2.0901959999999997</v>
      </c>
      <c r="AP88" s="492">
        <f t="shared" ref="AP88:AQ88" si="53">AH54</f>
        <v>1.8931669999999998</v>
      </c>
      <c r="AQ88" s="492">
        <f t="shared" si="53"/>
        <v>1.5509999999999999</v>
      </c>
      <c r="AR88" s="492">
        <f>AJ54</f>
        <v>1.6261590000000001</v>
      </c>
      <c r="AS88" s="492">
        <f>AK54</f>
        <v>1.8180236196831046</v>
      </c>
    </row>
    <row r="89" spans="1:45">
      <c r="AJ89" s="1001"/>
    </row>
  </sheetData>
  <sheetProtection algorithmName="SHA-512" hashValue="umdVWaVpQKGBZgVSfXlHQuNyrtB8YvLEosINQejERllqGxS0MIsM1HfbDSwpqEbUngyytzjJkuvPFnuHxcRsjA==" saltValue="Yl3Jfih4XPkjnOBHvGgW1A==" spinCount="100000" sheet="1" objects="1" scenarios="1"/>
  <mergeCells count="1">
    <mergeCell ref="A4:A5"/>
  </mergeCells>
  <phoneticPr fontId="103" type="noConversion"/>
  <conditionalFormatting sqref="AT45:AT51">
    <cfRule type="cellIs" dxfId="0" priority="1" operator="lessThan">
      <formula>0</formula>
    </cfRule>
  </conditionalFormatting>
  <hyperlinks>
    <hyperlink ref="A1" location="Indice!A1" display="Torna indietro" xr:uid="{F7C157F3-0D7B-4F95-9114-036C8BE9F5B4}"/>
    <hyperlink ref="AN63" r:id="rId1" xr:uid="{E054E762-01CF-4374-83E9-834D31988F7F}"/>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0"/>
  <dimension ref="A1:AK70"/>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RowHeight="14.5"/>
  <cols>
    <col min="1" max="1" width="42.81640625" customWidth="1"/>
    <col min="2" max="2" width="6.90625" bestFit="1" customWidth="1"/>
    <col min="3" max="6" width="0.1796875" customWidth="1"/>
    <col min="7" max="7" width="7.36328125" bestFit="1" customWidth="1"/>
    <col min="8" max="11" width="0.1796875" customWidth="1"/>
    <col min="12" max="12" width="7.36328125" bestFit="1" customWidth="1"/>
    <col min="13" max="16" width="0.1796875" customWidth="1"/>
    <col min="17" max="17" width="7.36328125" bestFit="1" customWidth="1"/>
    <col min="18" max="21" width="0.1796875" customWidth="1"/>
    <col min="22" max="22" width="7.36328125" bestFit="1" customWidth="1"/>
    <col min="23" max="26" width="0.1796875" customWidth="1"/>
    <col min="27" max="27" width="8" bestFit="1" customWidth="1"/>
    <col min="28" max="29" width="0.1796875" customWidth="1"/>
    <col min="30" max="31" width="0.1796875" style="306" customWidth="1"/>
    <col min="32" max="34" width="8" style="306" bestFit="1" customWidth="1"/>
    <col min="35" max="35" width="8.6328125" style="306" bestFit="1" customWidth="1"/>
    <col min="36" max="36" width="9" style="306" bestFit="1" customWidth="1"/>
    <col min="37" max="37" width="8" style="306" bestFit="1" customWidth="1"/>
  </cols>
  <sheetData>
    <row r="1" spans="1:37" ht="15.5">
      <c r="A1" s="108" t="s">
        <v>694</v>
      </c>
      <c r="B1" s="546"/>
    </row>
    <row r="2" spans="1:37">
      <c r="L2" s="123"/>
      <c r="AI2" s="943"/>
      <c r="AJ2" s="943"/>
    </row>
    <row r="3" spans="1:37" s="12" customFormat="1" ht="15.5">
      <c r="A3" s="47" t="s">
        <v>794</v>
      </c>
      <c r="AD3" s="47"/>
      <c r="AE3" s="47"/>
      <c r="AF3" s="47"/>
      <c r="AG3" s="47"/>
      <c r="AH3" s="47"/>
      <c r="AI3" s="47"/>
      <c r="AJ3" s="47"/>
      <c r="AK3" s="47"/>
    </row>
    <row r="4" spans="1:37" s="12" customFormat="1" ht="15.5">
      <c r="A4" s="1071" t="s">
        <v>53</v>
      </c>
      <c r="B4" s="48">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v>2023</v>
      </c>
      <c r="AJ4" s="67">
        <v>2024</v>
      </c>
      <c r="AK4" s="799">
        <v>2025</v>
      </c>
    </row>
    <row r="5" spans="1:37" s="12" customFormat="1" ht="15.5">
      <c r="A5" s="1072"/>
      <c r="B5" s="74" t="s">
        <v>116</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c r="AJ5" s="307"/>
      <c r="AK5" s="307"/>
    </row>
    <row r="6" spans="1:37" s="12" customFormat="1" ht="15.5">
      <c r="A6" s="48" t="s">
        <v>1</v>
      </c>
      <c r="B6" s="529">
        <v>31.626000000000001</v>
      </c>
      <c r="C6" s="529">
        <v>42.2395</v>
      </c>
      <c r="D6" s="529">
        <v>42.2</v>
      </c>
      <c r="E6" s="529">
        <v>41.424999999999997</v>
      </c>
      <c r="F6" s="529">
        <v>44.658099999999997</v>
      </c>
      <c r="G6" s="529">
        <v>37.780800000000006</v>
      </c>
      <c r="H6" s="529">
        <v>42.035599999999995</v>
      </c>
      <c r="I6" s="529">
        <v>41.599800000000002</v>
      </c>
      <c r="J6" s="529">
        <v>41.213600000000007</v>
      </c>
      <c r="K6" s="529">
        <v>45.357999999999997</v>
      </c>
      <c r="L6" s="529">
        <v>44.2</v>
      </c>
      <c r="M6" s="529">
        <v>46.810400000000001</v>
      </c>
      <c r="N6" s="529">
        <v>39.519300000000001</v>
      </c>
      <c r="O6" s="529">
        <v>36.668999999999997</v>
      </c>
      <c r="P6" s="529">
        <v>42.337799999999994</v>
      </c>
      <c r="Q6" s="529">
        <v>36.066699999999997</v>
      </c>
      <c r="R6" s="529">
        <v>36.994399999999999</v>
      </c>
      <c r="S6" s="529">
        <v>32.815199999999997</v>
      </c>
      <c r="T6" s="529">
        <v>41.622999999999998</v>
      </c>
      <c r="U6" s="529">
        <v>49.137500000000003</v>
      </c>
      <c r="V6" s="529">
        <v>51.116779999999999</v>
      </c>
      <c r="W6" s="529">
        <v>45.822660000000006</v>
      </c>
      <c r="X6" s="529">
        <v>41.874899999999997</v>
      </c>
      <c r="Y6" s="529">
        <v>52.773400000000002</v>
      </c>
      <c r="Z6" s="529">
        <v>58.545400000000001</v>
      </c>
      <c r="AA6" s="529">
        <v>45.537300000000002</v>
      </c>
      <c r="AB6" s="529">
        <v>42.431800000000003</v>
      </c>
      <c r="AC6" s="529">
        <v>36.198699999999995</v>
      </c>
      <c r="AD6" s="529">
        <v>48.786539999999995</v>
      </c>
      <c r="AE6" s="529">
        <v>46.3185</v>
      </c>
      <c r="AF6" s="529">
        <v>47.55178432772005</v>
      </c>
      <c r="AG6" s="529">
        <v>45.388100000000009</v>
      </c>
      <c r="AH6" s="529">
        <v>28.397599999999997</v>
      </c>
      <c r="AI6" s="529">
        <v>40.517300000000006</v>
      </c>
      <c r="AJ6" s="529">
        <v>53.130800000000001</v>
      </c>
      <c r="AK6" s="531">
        <v>41.959642835529486</v>
      </c>
    </row>
    <row r="7" spans="1:37" s="12" customFormat="1" ht="15.5">
      <c r="A7" s="523" t="s">
        <v>400</v>
      </c>
      <c r="B7" s="532">
        <v>1.0379650279951229</v>
      </c>
      <c r="C7" s="532">
        <v>1.3862999999999999</v>
      </c>
      <c r="D7" s="532">
        <v>1.5433988458980563</v>
      </c>
      <c r="E7" s="532">
        <v>1.5150544358134357</v>
      </c>
      <c r="F7" s="532">
        <v>1.6333</v>
      </c>
      <c r="G7" s="532">
        <v>1.4112</v>
      </c>
      <c r="H7" s="532">
        <v>1.6495</v>
      </c>
      <c r="I7" s="532">
        <v>1.6273</v>
      </c>
      <c r="J7" s="532">
        <v>1.7181999999999999</v>
      </c>
      <c r="K7" s="532">
        <v>1.7619</v>
      </c>
      <c r="L7" s="532">
        <v>1.5529999999999999</v>
      </c>
      <c r="M7" s="532">
        <v>1.6677999999999999</v>
      </c>
      <c r="N7" s="532">
        <v>1.6035999999999999</v>
      </c>
      <c r="O7" s="532">
        <v>1.3</v>
      </c>
      <c r="P7" s="532">
        <v>1.7313000000000001</v>
      </c>
      <c r="Q7" s="532">
        <v>1.5257000000000001</v>
      </c>
      <c r="R7" s="532">
        <v>1.5209000000000001</v>
      </c>
      <c r="S7" s="532">
        <v>1.4157</v>
      </c>
      <c r="T7" s="532">
        <v>1.7697000000000001</v>
      </c>
      <c r="U7" s="532">
        <v>1.9607000000000001</v>
      </c>
      <c r="V7" s="532">
        <v>2.2453400000000001</v>
      </c>
      <c r="W7" s="532">
        <v>2.1899199999999999</v>
      </c>
      <c r="X7" s="532">
        <v>2.0848</v>
      </c>
      <c r="Y7" s="532">
        <v>2.63585</v>
      </c>
      <c r="Z7" s="532">
        <v>3.1483000000000003</v>
      </c>
      <c r="AA7" s="532">
        <v>2.5562</v>
      </c>
      <c r="AB7" s="532">
        <v>2.6389</v>
      </c>
      <c r="AC7" s="532">
        <v>2.3279999999999998</v>
      </c>
      <c r="AD7" s="532">
        <v>3.0362399999999998</v>
      </c>
      <c r="AE7" s="532">
        <v>3.0379</v>
      </c>
      <c r="AF7" s="532">
        <v>3.1613000000000002</v>
      </c>
      <c r="AG7" s="532">
        <v>3.0879000000000003</v>
      </c>
      <c r="AH7" s="532">
        <v>2.0861000000000001</v>
      </c>
      <c r="AI7" s="532">
        <v>2.9449999999999998</v>
      </c>
      <c r="AJ7" s="532">
        <v>3.7019000000000002</v>
      </c>
      <c r="AK7" s="534">
        <v>2.9235472044999624</v>
      </c>
    </row>
    <row r="8" spans="1:37" s="12" customFormat="1" ht="15.5">
      <c r="A8" s="523" t="s">
        <v>401</v>
      </c>
      <c r="B8" s="532">
        <v>4.8776045407734472</v>
      </c>
      <c r="C8" s="532">
        <v>6.5145</v>
      </c>
      <c r="D8" s="532">
        <v>6.7875341763308334</v>
      </c>
      <c r="E8" s="532">
        <v>6.6628815937086436</v>
      </c>
      <c r="F8" s="532">
        <v>7.1829000000000001</v>
      </c>
      <c r="G8" s="532">
        <v>6.0291000000000006</v>
      </c>
      <c r="H8" s="532">
        <v>7.2050000000000001</v>
      </c>
      <c r="I8" s="532">
        <v>6.4971000000000005</v>
      </c>
      <c r="J8" s="532">
        <v>6.6025</v>
      </c>
      <c r="K8" s="532">
        <v>6.8398000000000003</v>
      </c>
      <c r="L8" s="532">
        <v>6.577</v>
      </c>
      <c r="M8" s="532">
        <v>6.9888000000000003</v>
      </c>
      <c r="N8" s="532">
        <v>6.4438999999999993</v>
      </c>
      <c r="O8" s="532">
        <v>5.173</v>
      </c>
      <c r="P8" s="532">
        <v>7.1278000000000006</v>
      </c>
      <c r="Q8" s="532">
        <v>6.0904999999999996</v>
      </c>
      <c r="R8" s="532">
        <v>6.3541000000000007</v>
      </c>
      <c r="S8" s="532">
        <v>5.6843999999999992</v>
      </c>
      <c r="T8" s="532">
        <v>7.3896999999999995</v>
      </c>
      <c r="U8" s="532">
        <v>8.4217000000000013</v>
      </c>
      <c r="V8" s="532">
        <v>8.7116399999999992</v>
      </c>
      <c r="W8" s="532">
        <v>7.8575200000000001</v>
      </c>
      <c r="X8" s="532">
        <v>7.3244999999999996</v>
      </c>
      <c r="Y8" s="532">
        <v>9.3501499999999993</v>
      </c>
      <c r="Z8" s="532">
        <v>10.9931</v>
      </c>
      <c r="AA8" s="532">
        <v>8.3082000000000011</v>
      </c>
      <c r="AB8" s="532">
        <v>8.1752000000000002</v>
      </c>
      <c r="AC8" s="532">
        <v>6.9791999999999996</v>
      </c>
      <c r="AD8" s="532">
        <v>9.0841000000000012</v>
      </c>
      <c r="AE8" s="532">
        <v>8.7227000000000015</v>
      </c>
      <c r="AF8" s="532">
        <v>9.0337000000000014</v>
      </c>
      <c r="AG8" s="532">
        <v>8.5008999999999997</v>
      </c>
      <c r="AH8" s="532">
        <v>5.2543999999999995</v>
      </c>
      <c r="AI8" s="532">
        <v>9.2797999999999998</v>
      </c>
      <c r="AJ8" s="532">
        <v>11.6</v>
      </c>
      <c r="AK8" s="534">
        <v>9.1610112569760282</v>
      </c>
    </row>
    <row r="9" spans="1:37" s="12" customFormat="1" ht="15.5">
      <c r="A9" s="523" t="s">
        <v>402</v>
      </c>
      <c r="B9" s="532">
        <v>25.710430431231426</v>
      </c>
      <c r="C9" s="532">
        <v>34.338699999999996</v>
      </c>
      <c r="D9" s="532">
        <v>33.869066977771105</v>
      </c>
      <c r="E9" s="532">
        <v>33.247063970477924</v>
      </c>
      <c r="F9" s="532">
        <v>35.841900000000003</v>
      </c>
      <c r="G9" s="532">
        <v>30.340499999999999</v>
      </c>
      <c r="H9" s="532">
        <v>33.181100000000001</v>
      </c>
      <c r="I9" s="532">
        <v>33.4754</v>
      </c>
      <c r="J9" s="532">
        <v>32.892900000000004</v>
      </c>
      <c r="K9" s="532">
        <v>36.756300000000003</v>
      </c>
      <c r="L9" s="532">
        <v>36.07</v>
      </c>
      <c r="M9" s="532">
        <v>38.153800000000004</v>
      </c>
      <c r="N9" s="532">
        <v>31.471799999999998</v>
      </c>
      <c r="O9" s="532">
        <v>30.196000000000002</v>
      </c>
      <c r="P9" s="532">
        <v>33.478699999999996</v>
      </c>
      <c r="Q9" s="532">
        <v>28.450500000000002</v>
      </c>
      <c r="R9" s="532">
        <v>29.119400000000002</v>
      </c>
      <c r="S9" s="532">
        <v>25.7151</v>
      </c>
      <c r="T9" s="532">
        <v>32.4636</v>
      </c>
      <c r="U9" s="532">
        <v>38.755099999999999</v>
      </c>
      <c r="V9" s="532">
        <v>40.159800000000004</v>
      </c>
      <c r="W9" s="532">
        <v>35.775220000000004</v>
      </c>
      <c r="X9" s="532">
        <v>32.465600000000002</v>
      </c>
      <c r="Y9" s="532">
        <v>40.787399999999998</v>
      </c>
      <c r="Z9" s="532">
        <v>44.404000000000003</v>
      </c>
      <c r="AA9" s="532">
        <v>34.672899999999998</v>
      </c>
      <c r="AB9" s="532">
        <v>31.617699999999999</v>
      </c>
      <c r="AC9" s="532">
        <v>26.891500000000001</v>
      </c>
      <c r="AD9" s="532">
        <v>36.666199999999996</v>
      </c>
      <c r="AE9" s="532">
        <v>34.557900000000004</v>
      </c>
      <c r="AF9" s="532">
        <v>35.35678432772005</v>
      </c>
      <c r="AG9" s="532">
        <v>33.799300000000002</v>
      </c>
      <c r="AH9" s="532">
        <v>21.057099999999998</v>
      </c>
      <c r="AI9" s="532">
        <v>28.2925</v>
      </c>
      <c r="AJ9" s="532">
        <v>37.828900000000004</v>
      </c>
      <c r="AK9" s="534">
        <v>29.87508437405349</v>
      </c>
    </row>
    <row r="10" spans="1:37" s="12" customFormat="1" ht="15.5">
      <c r="A10" s="48" t="s">
        <v>54</v>
      </c>
      <c r="B10" s="529">
        <v>2E-3</v>
      </c>
      <c r="C10" s="529">
        <v>3.0000000000000001E-3</v>
      </c>
      <c r="D10" s="529">
        <v>2E-3</v>
      </c>
      <c r="E10" s="529">
        <v>4.0000000000000001E-3</v>
      </c>
      <c r="F10" s="529">
        <v>6.3E-3</v>
      </c>
      <c r="G10" s="529">
        <v>9.9000000000000008E-3</v>
      </c>
      <c r="H10" s="529">
        <v>3.27E-2</v>
      </c>
      <c r="I10" s="529">
        <v>0.1178</v>
      </c>
      <c r="J10" s="529">
        <v>0.23169999999999999</v>
      </c>
      <c r="K10" s="529">
        <v>0.40250000000000002</v>
      </c>
      <c r="L10" s="529">
        <v>0.56310000000000004</v>
      </c>
      <c r="M10" s="529">
        <v>1.1785999999999999</v>
      </c>
      <c r="N10" s="529">
        <v>1.4042000000000001</v>
      </c>
      <c r="O10" s="529">
        <v>1.4584000000000001</v>
      </c>
      <c r="P10" s="529">
        <v>1.8465</v>
      </c>
      <c r="Q10" s="529">
        <v>2.3433999999999999</v>
      </c>
      <c r="R10" s="529">
        <v>2.9706999999999999</v>
      </c>
      <c r="S10" s="529">
        <v>4.0343999999999998</v>
      </c>
      <c r="T10" s="529">
        <v>4.8613</v>
      </c>
      <c r="U10" s="529">
        <v>6.5428999999999995</v>
      </c>
      <c r="V10" s="529">
        <v>9.1258999999999997</v>
      </c>
      <c r="W10" s="529">
        <v>9.8563999999999989</v>
      </c>
      <c r="X10" s="529">
        <v>13.4071</v>
      </c>
      <c r="Y10" s="529">
        <v>14.897</v>
      </c>
      <c r="Z10" s="529">
        <v>15.1783</v>
      </c>
      <c r="AA10" s="529">
        <v>14.8439</v>
      </c>
      <c r="AB10" s="529">
        <v>17.688700000000001</v>
      </c>
      <c r="AC10" s="529">
        <v>17.741900000000001</v>
      </c>
      <c r="AD10" s="529">
        <v>17.7164</v>
      </c>
      <c r="AE10" s="529">
        <v>20.202000000000002</v>
      </c>
      <c r="AF10" s="529">
        <v>18.761557</v>
      </c>
      <c r="AG10" s="529">
        <v>20.927299999999999</v>
      </c>
      <c r="AH10" s="529">
        <v>20.494199999999999</v>
      </c>
      <c r="AI10" s="529">
        <v>23.640499999999999</v>
      </c>
      <c r="AJ10" s="529">
        <v>22.321900000000003</v>
      </c>
      <c r="AK10" s="535">
        <v>21.589421379950434</v>
      </c>
    </row>
    <row r="11" spans="1:37" s="12" customFormat="1" ht="15.5">
      <c r="A11" s="48" t="s">
        <v>55</v>
      </c>
      <c r="B11" s="529">
        <v>4.0000000000000001E-3</v>
      </c>
      <c r="C11" s="529">
        <v>5.0000000000000001E-3</v>
      </c>
      <c r="D11" s="529">
        <v>8.9999999999999993E-3</v>
      </c>
      <c r="E11" s="529">
        <v>1.0999999999999999E-2</v>
      </c>
      <c r="F11" s="529">
        <v>1.0999999999999999E-2</v>
      </c>
      <c r="G11" s="529">
        <v>1.2999999999999999E-2</v>
      </c>
      <c r="H11" s="529">
        <v>1.4E-2</v>
      </c>
      <c r="I11" s="529">
        <v>1.4999999999999999E-2</v>
      </c>
      <c r="J11" s="529">
        <v>1.6E-2</v>
      </c>
      <c r="K11" s="529">
        <v>1.7000000000000001E-2</v>
      </c>
      <c r="L11" s="529">
        <v>1.7999999999999999E-2</v>
      </c>
      <c r="M11" s="529">
        <v>1.9E-2</v>
      </c>
      <c r="N11" s="529">
        <v>2.1000000000000001E-2</v>
      </c>
      <c r="O11" s="529">
        <v>2.4E-2</v>
      </c>
      <c r="P11" s="529">
        <v>2.9000000000000001E-2</v>
      </c>
      <c r="Q11" s="529">
        <v>3.1E-2</v>
      </c>
      <c r="R11" s="529">
        <v>3.5000000000000003E-2</v>
      </c>
      <c r="S11" s="529">
        <v>3.9E-2</v>
      </c>
      <c r="T11" s="529">
        <v>0.193</v>
      </c>
      <c r="U11" s="529">
        <v>0.67649999999999999</v>
      </c>
      <c r="V11" s="529">
        <v>1.9056999999999999</v>
      </c>
      <c r="W11" s="529">
        <v>10.7957</v>
      </c>
      <c r="X11" s="529">
        <v>18.861699999999999</v>
      </c>
      <c r="Y11" s="529">
        <v>21.5886</v>
      </c>
      <c r="Z11" s="529">
        <v>22.3064</v>
      </c>
      <c r="AA11" s="529">
        <v>22.9422</v>
      </c>
      <c r="AB11" s="529">
        <v>22.104299999999999</v>
      </c>
      <c r="AC11" s="529">
        <v>24.377700000000001</v>
      </c>
      <c r="AD11" s="529">
        <v>22.6538</v>
      </c>
      <c r="AE11" s="529">
        <v>23.6889</v>
      </c>
      <c r="AF11" s="529">
        <v>24.941504000000002</v>
      </c>
      <c r="AG11" s="529">
        <v>25.039000000000001</v>
      </c>
      <c r="AH11" s="529">
        <v>28.121500000000001</v>
      </c>
      <c r="AI11" s="859">
        <v>30.711099999999998</v>
      </c>
      <c r="AJ11" s="529">
        <v>35.993099999999998</v>
      </c>
      <c r="AK11" s="535">
        <v>45.000999999999998</v>
      </c>
    </row>
    <row r="12" spans="1:37" s="12" customFormat="1" ht="15.5">
      <c r="A12" s="48" t="s">
        <v>2</v>
      </c>
      <c r="B12" s="529">
        <v>3.222</v>
      </c>
      <c r="C12" s="529">
        <v>3.1819999999999999</v>
      </c>
      <c r="D12" s="529">
        <v>3.4590000000000001</v>
      </c>
      <c r="E12" s="529">
        <v>3.6669999999999998</v>
      </c>
      <c r="F12" s="529">
        <v>3.4173</v>
      </c>
      <c r="G12" s="529">
        <v>3.4356</v>
      </c>
      <c r="H12" s="529">
        <v>3.7624</v>
      </c>
      <c r="I12" s="529">
        <v>3.9051999999999998</v>
      </c>
      <c r="J12" s="529">
        <v>4.2137000000000002</v>
      </c>
      <c r="K12" s="529">
        <v>4.4026999999999994</v>
      </c>
      <c r="L12" s="529">
        <v>4.7051999999999996</v>
      </c>
      <c r="M12" s="529">
        <v>4.5066000000000006</v>
      </c>
      <c r="N12" s="529">
        <v>4.6623000000000001</v>
      </c>
      <c r="O12" s="529">
        <v>5.3404999999999996</v>
      </c>
      <c r="P12" s="529">
        <v>5.4373000000000005</v>
      </c>
      <c r="Q12" s="529">
        <v>5.3244999999999996</v>
      </c>
      <c r="R12" s="529">
        <v>5.5273999999999992</v>
      </c>
      <c r="S12" s="529">
        <v>5.5691000000000006</v>
      </c>
      <c r="T12" s="529">
        <v>5.5202999999999998</v>
      </c>
      <c r="U12" s="529">
        <v>5.3418000000000001</v>
      </c>
      <c r="V12" s="529">
        <v>5.3758999999999997</v>
      </c>
      <c r="W12" s="529">
        <v>5.6543000000000001</v>
      </c>
      <c r="X12" s="529">
        <v>5.5916999999999994</v>
      </c>
      <c r="Y12" s="529">
        <v>5.6592000000000002</v>
      </c>
      <c r="Z12" s="529">
        <v>5.9163000000000006</v>
      </c>
      <c r="AA12" s="529">
        <v>6.1849999999999996</v>
      </c>
      <c r="AB12" s="529">
        <v>6.2886000000000006</v>
      </c>
      <c r="AC12" s="529">
        <v>6.2012</v>
      </c>
      <c r="AD12" s="529">
        <v>6.1053999999999995</v>
      </c>
      <c r="AE12" s="529">
        <v>6.0748999999999995</v>
      </c>
      <c r="AF12" s="529">
        <v>6.0261120000000004</v>
      </c>
      <c r="AG12" s="529">
        <v>5.9138000000000002</v>
      </c>
      <c r="AH12" s="529">
        <v>5.8369</v>
      </c>
      <c r="AI12" s="529">
        <v>5.6921999999999997</v>
      </c>
      <c r="AJ12" s="529">
        <v>5.6749999999999998</v>
      </c>
      <c r="AK12" s="535">
        <v>5.6592895448422063</v>
      </c>
    </row>
    <row r="13" spans="1:37" s="12" customFormat="1" ht="15.5">
      <c r="A13" s="48" t="s">
        <v>147</v>
      </c>
      <c r="B13" s="529">
        <v>5.1499999999999997E-2</v>
      </c>
      <c r="C13" s="529">
        <v>0.10180000000000002</v>
      </c>
      <c r="D13" s="529">
        <v>9.1999999999999998E-2</v>
      </c>
      <c r="E13" s="529">
        <v>0.104</v>
      </c>
      <c r="F13" s="529">
        <v>0.19034999999999999</v>
      </c>
      <c r="G13" s="529">
        <v>0.3029</v>
      </c>
      <c r="H13" s="529">
        <v>0.48410000000000003</v>
      </c>
      <c r="I13" s="529">
        <v>0.69415000000000004</v>
      </c>
      <c r="J13" s="529">
        <v>0.99650000000000005</v>
      </c>
      <c r="K13" s="529">
        <v>1.4958</v>
      </c>
      <c r="L13" s="529">
        <v>1.5045500000000001</v>
      </c>
      <c r="M13" s="529">
        <v>1.9579500000000001</v>
      </c>
      <c r="N13" s="529">
        <v>2.7085500000000002</v>
      </c>
      <c r="O13" s="529">
        <v>3.5870500000000001</v>
      </c>
      <c r="P13" s="529">
        <v>4.4988999999999999</v>
      </c>
      <c r="Q13" s="529">
        <v>4.8450499999999996</v>
      </c>
      <c r="R13" s="529">
        <v>5.2863000000000007</v>
      </c>
      <c r="S13" s="529">
        <v>5.4412500000000001</v>
      </c>
      <c r="T13" s="529">
        <v>5.9663500000000003</v>
      </c>
      <c r="U13" s="529">
        <v>7.5567199999999994</v>
      </c>
      <c r="V13" s="529">
        <v>9.4400899999999996</v>
      </c>
      <c r="W13" s="529">
        <v>10.8324</v>
      </c>
      <c r="X13" s="529">
        <v>12.487</v>
      </c>
      <c r="Y13" s="529">
        <v>17.090199999999999</v>
      </c>
      <c r="Z13" s="529">
        <v>18.732599999999998</v>
      </c>
      <c r="AA13" s="529">
        <v>19.395700000000001</v>
      </c>
      <c r="AB13" s="529">
        <v>19.508599999999998</v>
      </c>
      <c r="AC13" s="529">
        <v>19.3782</v>
      </c>
      <c r="AD13" s="529">
        <v>19.1526</v>
      </c>
      <c r="AE13" s="529">
        <v>19.562699999999996</v>
      </c>
      <c r="AF13" s="529">
        <f>SUM(AF14,AF26)</f>
        <v>19.633800000000001</v>
      </c>
      <c r="AG13" s="529">
        <f>SUM(AG14,AG26)</f>
        <v>19.070779999999999</v>
      </c>
      <c r="AH13" s="529">
        <f>SUM(AH14,AH26)</f>
        <v>17.6158</v>
      </c>
      <c r="AI13" s="529">
        <f>SUM(AI14,AI26)</f>
        <v>16.017499999999998</v>
      </c>
      <c r="AJ13" s="529">
        <f>SUM(AJ14,AJ26)</f>
        <v>17.236709999999999</v>
      </c>
      <c r="AK13" s="535">
        <v>18.117104498137053</v>
      </c>
    </row>
    <row r="14" spans="1:37" s="12" customFormat="1" ht="15.5">
      <c r="A14" s="528" t="s">
        <v>403</v>
      </c>
      <c r="B14" s="158">
        <f>SUM(B15,B18)</f>
        <v>0</v>
      </c>
      <c r="C14" s="530">
        <v>6.3150000000000012E-2</v>
      </c>
      <c r="D14" s="530">
        <v>0</v>
      </c>
      <c r="E14" s="530">
        <v>0</v>
      </c>
      <c r="F14" s="530">
        <v>0.09</v>
      </c>
      <c r="G14" s="530">
        <v>0.12575</v>
      </c>
      <c r="H14" s="530">
        <v>0.25414999999999999</v>
      </c>
      <c r="I14" s="530">
        <v>0.41910000000000003</v>
      </c>
      <c r="J14" s="530">
        <v>0.64075000000000004</v>
      </c>
      <c r="K14" s="530">
        <v>0.87784999999999991</v>
      </c>
      <c r="L14" s="530">
        <v>0.80025000000000002</v>
      </c>
      <c r="M14" s="530">
        <v>0.90349999999999997</v>
      </c>
      <c r="N14" s="530">
        <v>1.681</v>
      </c>
      <c r="O14" s="530">
        <v>2.1905000000000001</v>
      </c>
      <c r="P14" s="530">
        <v>2.3285499999999999</v>
      </c>
      <c r="Q14" s="530">
        <v>2.4571999999999998</v>
      </c>
      <c r="R14" s="530">
        <v>3.1551500000000003</v>
      </c>
      <c r="S14" s="530">
        <v>3.4166500000000006</v>
      </c>
      <c r="T14" s="530">
        <v>3.8968000000000003</v>
      </c>
      <c r="U14" s="530">
        <v>5.1778000000000004</v>
      </c>
      <c r="V14" s="530">
        <v>6.1892100000000001</v>
      </c>
      <c r="W14" s="530">
        <v>6.6080399999999999</v>
      </c>
      <c r="X14" s="530">
        <v>7.2943999999999996</v>
      </c>
      <c r="Y14" s="530">
        <v>9.6193999999999988</v>
      </c>
      <c r="Z14" s="530">
        <v>9.9095999999999993</v>
      </c>
      <c r="AA14" s="530">
        <v>9.8281000000000009</v>
      </c>
      <c r="AB14" s="530">
        <v>9.8147000000000002</v>
      </c>
      <c r="AC14" s="530">
        <v>9.3997000000000011</v>
      </c>
      <c r="AD14" s="530">
        <v>9.0241000000000007</v>
      </c>
      <c r="AE14" s="530">
        <v>9.0239999999999991</v>
      </c>
      <c r="AF14" s="530">
        <f t="shared" ref="AF14:AK14" si="0">SUM(AF15,AF18,AF23)</f>
        <v>8.8986000000000001</v>
      </c>
      <c r="AG14" s="530">
        <f t="shared" si="0"/>
        <v>9.0036799999999992</v>
      </c>
      <c r="AH14" s="530">
        <f t="shared" si="0"/>
        <v>8.1684999999999999</v>
      </c>
      <c r="AI14" s="530">
        <f t="shared" si="0"/>
        <v>6.7284000000000006</v>
      </c>
      <c r="AJ14" s="530">
        <f>SUM(AJ15,AJ18,AJ23)</f>
        <v>7.3951099999999999</v>
      </c>
      <c r="AK14" s="536">
        <f t="shared" si="0"/>
        <v>0</v>
      </c>
    </row>
    <row r="15" spans="1:37" s="12" customFormat="1" ht="15.5">
      <c r="A15" s="527" t="s">
        <v>404</v>
      </c>
      <c r="B15" s="158">
        <f>SUM(B16:B17)</f>
        <v>0</v>
      </c>
      <c r="C15" s="530">
        <v>5.5450000000000006E-2</v>
      </c>
      <c r="D15" s="530">
        <v>0</v>
      </c>
      <c r="E15" s="530">
        <v>0</v>
      </c>
      <c r="F15" s="530">
        <v>6.9000000000000006E-2</v>
      </c>
      <c r="G15" s="530">
        <v>9.0549999999999992E-2</v>
      </c>
      <c r="H15" s="530">
        <v>0.12815000000000001</v>
      </c>
      <c r="I15" s="530">
        <v>0.12279999999999999</v>
      </c>
      <c r="J15" s="530">
        <v>0.18815000000000001</v>
      </c>
      <c r="K15" s="530">
        <v>0.33665</v>
      </c>
      <c r="L15" s="530">
        <v>0.27605000000000002</v>
      </c>
      <c r="M15" s="530">
        <v>0.3085</v>
      </c>
      <c r="N15" s="530">
        <v>0.89680000000000004</v>
      </c>
      <c r="O15" s="530">
        <v>1.3397000000000001</v>
      </c>
      <c r="P15" s="530">
        <v>1.36385</v>
      </c>
      <c r="Q15" s="530">
        <v>1.4901</v>
      </c>
      <c r="R15" s="530">
        <v>2.0606499999999999</v>
      </c>
      <c r="S15" s="530">
        <v>2.2571500000000002</v>
      </c>
      <c r="T15" s="530">
        <v>2.5634999999999999</v>
      </c>
      <c r="U15" s="530">
        <v>2.9039999999999999</v>
      </c>
      <c r="V15" s="530">
        <v>2.6053099999999998</v>
      </c>
      <c r="W15" s="530">
        <v>2.8683500000000004</v>
      </c>
      <c r="X15" s="530">
        <v>2.7596999999999996</v>
      </c>
      <c r="Y15" s="530">
        <v>3.3712</v>
      </c>
      <c r="Z15" s="530">
        <v>3.2875000000000001</v>
      </c>
      <c r="AA15" s="530">
        <v>3.2965</v>
      </c>
      <c r="AB15" s="530">
        <v>3.4433999999999996</v>
      </c>
      <c r="AC15" s="530">
        <v>3.3584999999999998</v>
      </c>
      <c r="AD15" s="530">
        <v>3.3069999999999999</v>
      </c>
      <c r="AE15" s="530">
        <v>3.2191000000000001</v>
      </c>
      <c r="AF15" s="530">
        <f t="shared" ref="AF15:AK15" si="1">SUM(AF16:AF17)</f>
        <v>3.2446999999999999</v>
      </c>
      <c r="AG15" s="530">
        <f t="shared" si="1"/>
        <v>3.4795999999999996</v>
      </c>
      <c r="AH15" s="530">
        <f t="shared" si="1"/>
        <v>3.2702</v>
      </c>
      <c r="AI15" s="530">
        <f t="shared" si="1"/>
        <v>2.6341000000000001</v>
      </c>
      <c r="AJ15" s="530">
        <f>SUM(AJ16:AJ17)</f>
        <v>3.1545100000000001</v>
      </c>
      <c r="AK15" s="536">
        <f t="shared" si="1"/>
        <v>0</v>
      </c>
    </row>
    <row r="16" spans="1:37" s="12" customFormat="1" ht="15.5">
      <c r="A16" s="524" t="s">
        <v>416</v>
      </c>
      <c r="B16" s="532">
        <v>0</v>
      </c>
      <c r="C16" s="532">
        <v>5.5450000000000006E-2</v>
      </c>
      <c r="D16" s="532">
        <v>0</v>
      </c>
      <c r="E16" s="532">
        <v>0</v>
      </c>
      <c r="F16" s="532">
        <v>6.6599999999999993E-2</v>
      </c>
      <c r="G16" s="532">
        <v>7.7049999999999993E-2</v>
      </c>
      <c r="H16" s="532">
        <v>0.11155</v>
      </c>
      <c r="I16" s="532">
        <v>0.10829999999999999</v>
      </c>
      <c r="J16" s="532">
        <v>0.12965000000000002</v>
      </c>
      <c r="K16" s="532">
        <v>0.11755</v>
      </c>
      <c r="L16" s="532">
        <v>0.13325000000000001</v>
      </c>
      <c r="M16" s="532">
        <v>0.1565</v>
      </c>
      <c r="N16" s="532">
        <v>0.21109999999999998</v>
      </c>
      <c r="O16" s="532">
        <v>0.29599999999999999</v>
      </c>
      <c r="P16" s="532">
        <v>0.36125000000000002</v>
      </c>
      <c r="Q16" s="532">
        <v>0.41560000000000002</v>
      </c>
      <c r="R16" s="532">
        <v>0.54764999999999997</v>
      </c>
      <c r="S16" s="532">
        <v>0.59095000000000009</v>
      </c>
      <c r="T16" s="532">
        <v>0.63479999999999992</v>
      </c>
      <c r="U16" s="532">
        <v>0.79970000000000008</v>
      </c>
      <c r="V16" s="532">
        <v>1.0622100000000001</v>
      </c>
      <c r="W16" s="532">
        <v>1.20068</v>
      </c>
      <c r="X16" s="532">
        <v>1.2147000000000001</v>
      </c>
      <c r="Y16" s="532">
        <v>1.2390999999999999</v>
      </c>
      <c r="Z16" s="532">
        <v>1.2767999999999999</v>
      </c>
      <c r="AA16" s="532">
        <v>1.2199</v>
      </c>
      <c r="AB16" s="532">
        <v>1.2202999999999999</v>
      </c>
      <c r="AC16" s="532">
        <v>1.1620999999999999</v>
      </c>
      <c r="AD16" s="532">
        <v>1.1415</v>
      </c>
      <c r="AE16" s="532">
        <v>1.0900000000000001</v>
      </c>
      <c r="AF16" s="532">
        <v>1.0677999999999999</v>
      </c>
      <c r="AG16" s="532">
        <v>1.0944</v>
      </c>
      <c r="AH16" s="532">
        <v>1.0045999999999999</v>
      </c>
      <c r="AI16" s="532">
        <v>1.0056</v>
      </c>
      <c r="AJ16" s="532">
        <v>0.95599999999999996</v>
      </c>
      <c r="AK16" s="534">
        <v>0</v>
      </c>
    </row>
    <row r="17" spans="1:37" s="12" customFormat="1" ht="15.5">
      <c r="A17" s="525" t="s">
        <v>406</v>
      </c>
      <c r="B17" s="532">
        <v>0</v>
      </c>
      <c r="C17" s="532">
        <v>0</v>
      </c>
      <c r="D17" s="532">
        <v>0</v>
      </c>
      <c r="E17" s="532">
        <v>0</v>
      </c>
      <c r="F17" s="532">
        <v>2.3999999999999998E-3</v>
      </c>
      <c r="G17" s="532">
        <v>1.35E-2</v>
      </c>
      <c r="H17" s="532">
        <v>1.66E-2</v>
      </c>
      <c r="I17" s="532">
        <v>1.4500000000000001E-2</v>
      </c>
      <c r="J17" s="532">
        <v>5.8500000000000003E-2</v>
      </c>
      <c r="K17" s="532">
        <v>0.21909999999999999</v>
      </c>
      <c r="L17" s="532">
        <v>0.14280000000000001</v>
      </c>
      <c r="M17" s="532">
        <v>0.152</v>
      </c>
      <c r="N17" s="532">
        <v>0.68570000000000009</v>
      </c>
      <c r="O17" s="532">
        <v>1.0437000000000001</v>
      </c>
      <c r="P17" s="532">
        <v>1.0025999999999999</v>
      </c>
      <c r="Q17" s="532">
        <v>1.0745</v>
      </c>
      <c r="R17" s="532">
        <v>1.5129999999999999</v>
      </c>
      <c r="S17" s="532">
        <v>1.6662000000000001</v>
      </c>
      <c r="T17" s="532">
        <v>1.9287000000000001</v>
      </c>
      <c r="U17" s="532">
        <v>2.1043000000000003</v>
      </c>
      <c r="V17" s="532">
        <v>1.5430999999999999</v>
      </c>
      <c r="W17" s="532">
        <v>1.66767</v>
      </c>
      <c r="X17" s="532">
        <v>1.5449999999999999</v>
      </c>
      <c r="Y17" s="532">
        <v>2.1320999999999999</v>
      </c>
      <c r="Z17" s="532">
        <v>2.0106999999999999</v>
      </c>
      <c r="AA17" s="532">
        <v>2.0766</v>
      </c>
      <c r="AB17" s="532">
        <v>2.2231000000000001</v>
      </c>
      <c r="AC17" s="532">
        <v>2.1964000000000001</v>
      </c>
      <c r="AD17" s="532">
        <v>2.1655000000000002</v>
      </c>
      <c r="AE17" s="532">
        <v>2.1290999999999998</v>
      </c>
      <c r="AF17" s="532">
        <v>2.1769000000000003</v>
      </c>
      <c r="AG17" s="532">
        <v>2.3851999999999998</v>
      </c>
      <c r="AH17" s="532">
        <v>2.2656000000000001</v>
      </c>
      <c r="AI17" s="532">
        <v>1.6285000000000001</v>
      </c>
      <c r="AJ17" s="532">
        <v>2.1985100000000002</v>
      </c>
      <c r="AK17" s="534">
        <v>0</v>
      </c>
    </row>
    <row r="18" spans="1:37" s="12" customFormat="1" ht="15.5">
      <c r="A18" s="527" t="s">
        <v>407</v>
      </c>
      <c r="B18" s="158">
        <f>SUM(B19:B22)</f>
        <v>0</v>
      </c>
      <c r="C18" s="530">
        <v>7.7000000000000002E-3</v>
      </c>
      <c r="D18" s="530">
        <v>0</v>
      </c>
      <c r="E18" s="530">
        <v>0</v>
      </c>
      <c r="F18" s="530">
        <v>2.1000000000000001E-2</v>
      </c>
      <c r="G18" s="530">
        <v>3.5200000000000002E-2</v>
      </c>
      <c r="H18" s="530">
        <v>0.126</v>
      </c>
      <c r="I18" s="530">
        <v>0.29630000000000001</v>
      </c>
      <c r="J18" s="530">
        <v>0.4526</v>
      </c>
      <c r="K18" s="530">
        <v>0.5411999999999999</v>
      </c>
      <c r="L18" s="530">
        <v>0.5242</v>
      </c>
      <c r="M18" s="530">
        <v>0.59499999999999997</v>
      </c>
      <c r="N18" s="530">
        <v>0.78420000000000001</v>
      </c>
      <c r="O18" s="530">
        <v>0.85080000000000011</v>
      </c>
      <c r="P18" s="530">
        <v>0.96469999999999989</v>
      </c>
      <c r="Q18" s="530">
        <v>0.96709999999999996</v>
      </c>
      <c r="R18" s="530">
        <v>1.0945000000000003</v>
      </c>
      <c r="S18" s="530">
        <v>1.1595000000000002</v>
      </c>
      <c r="T18" s="530">
        <v>1.2907999999999999</v>
      </c>
      <c r="U18" s="530">
        <v>1.2995999999999999</v>
      </c>
      <c r="V18" s="530">
        <v>1.4512</v>
      </c>
      <c r="W18" s="530">
        <v>1.8684899999999998</v>
      </c>
      <c r="X18" s="530">
        <v>2.1607000000000003</v>
      </c>
      <c r="Y18" s="530">
        <v>3.4349000000000003</v>
      </c>
      <c r="Z18" s="530">
        <v>3.5379</v>
      </c>
      <c r="AA18" s="530">
        <v>3.1389999999999998</v>
      </c>
      <c r="AB18" s="530">
        <v>3.0731999999999999</v>
      </c>
      <c r="AC18" s="530">
        <v>2.9611000000000005</v>
      </c>
      <c r="AD18" s="530">
        <v>2.8958000000000004</v>
      </c>
      <c r="AE18" s="530">
        <v>2.863</v>
      </c>
      <c r="AF18" s="530">
        <f t="shared" ref="AF18:AK18" si="2">SUM(AF19:AF22)</f>
        <v>2.7271999999999998</v>
      </c>
      <c r="AG18" s="530">
        <f t="shared" si="2"/>
        <v>2.5086000000000004</v>
      </c>
      <c r="AH18" s="530">
        <f t="shared" si="2"/>
        <v>2.4031000000000002</v>
      </c>
      <c r="AI18" s="530">
        <f t="shared" si="2"/>
        <v>2.0804999999999998</v>
      </c>
      <c r="AJ18" s="530">
        <f>SUM(AJ19:AJ22)</f>
        <v>2.0351999999999997</v>
      </c>
      <c r="AK18" s="536">
        <f t="shared" si="2"/>
        <v>0</v>
      </c>
    </row>
    <row r="19" spans="1:37" s="12" customFormat="1" ht="15.5">
      <c r="A19" s="525" t="s">
        <v>408</v>
      </c>
      <c r="B19" s="532">
        <v>0</v>
      </c>
      <c r="C19" s="532">
        <v>7.7000000000000002E-3</v>
      </c>
      <c r="D19" s="532">
        <v>0</v>
      </c>
      <c r="E19" s="532">
        <v>0</v>
      </c>
      <c r="F19" s="532">
        <v>2.1000000000000001E-2</v>
      </c>
      <c r="G19" s="532">
        <v>3.5099999999999999E-2</v>
      </c>
      <c r="H19" s="532">
        <v>0.12590000000000001</v>
      </c>
      <c r="I19" s="532">
        <v>0.29610000000000003</v>
      </c>
      <c r="J19" s="532">
        <v>0.45200000000000001</v>
      </c>
      <c r="K19" s="532">
        <v>0.53959999999999997</v>
      </c>
      <c r="L19" s="532">
        <v>0.52349999999999997</v>
      </c>
      <c r="M19" s="532">
        <v>0.59379999999999999</v>
      </c>
      <c r="N19" s="532">
        <v>0.7792</v>
      </c>
      <c r="O19" s="532">
        <v>0.84320000000000006</v>
      </c>
      <c r="P19" s="532">
        <v>0.95599999999999996</v>
      </c>
      <c r="Q19" s="532">
        <v>0.95150000000000001</v>
      </c>
      <c r="R19" s="532">
        <v>1.0619000000000001</v>
      </c>
      <c r="S19" s="532">
        <v>1.1134000000000002</v>
      </c>
      <c r="T19" s="532">
        <v>1.202</v>
      </c>
      <c r="U19" s="532">
        <v>1.1777</v>
      </c>
      <c r="V19" s="532">
        <v>1.1974</v>
      </c>
      <c r="W19" s="532">
        <v>1.27349</v>
      </c>
      <c r="X19" s="532">
        <v>1.2104999999999999</v>
      </c>
      <c r="Y19" s="532">
        <v>1.2741</v>
      </c>
      <c r="Z19" s="532">
        <v>1.2297</v>
      </c>
      <c r="AA19" s="532">
        <v>1.0570999999999999</v>
      </c>
      <c r="AB19" s="532">
        <v>0.9927999999999999</v>
      </c>
      <c r="AC19" s="532">
        <v>0.88460000000000005</v>
      </c>
      <c r="AD19" s="532">
        <v>0.83750000000000002</v>
      </c>
      <c r="AE19" s="532">
        <v>0.79870000000000008</v>
      </c>
      <c r="AF19" s="532">
        <v>0.66479999999999995</v>
      </c>
      <c r="AG19" s="532">
        <v>0.61760000000000004</v>
      </c>
      <c r="AH19" s="532">
        <v>0.61139999999999994</v>
      </c>
      <c r="AI19" s="532">
        <v>0.53939999999999999</v>
      </c>
      <c r="AJ19" s="532">
        <v>0.49164999999999998</v>
      </c>
      <c r="AK19" s="534">
        <v>0</v>
      </c>
    </row>
    <row r="20" spans="1:37" s="12" customFormat="1" ht="15.5">
      <c r="A20" s="525" t="s">
        <v>409</v>
      </c>
      <c r="B20" s="532">
        <v>0</v>
      </c>
      <c r="C20" s="532">
        <v>0</v>
      </c>
      <c r="D20" s="532">
        <v>0</v>
      </c>
      <c r="E20" s="532">
        <v>0</v>
      </c>
      <c r="F20" s="532">
        <v>0</v>
      </c>
      <c r="G20" s="532">
        <v>1E-4</v>
      </c>
      <c r="H20" s="532">
        <v>1E-4</v>
      </c>
      <c r="I20" s="532">
        <v>2.0000000000000001E-4</v>
      </c>
      <c r="J20" s="532">
        <v>5.9999999999999995E-4</v>
      </c>
      <c r="K20" s="532">
        <v>5.0000000000000001E-4</v>
      </c>
      <c r="L20" s="532">
        <v>2.9999999999999997E-4</v>
      </c>
      <c r="M20" s="532">
        <v>1E-4</v>
      </c>
      <c r="N20" s="532">
        <v>0</v>
      </c>
      <c r="O20" s="532">
        <v>0</v>
      </c>
      <c r="P20" s="532">
        <v>0</v>
      </c>
      <c r="Q20" s="532">
        <v>0</v>
      </c>
      <c r="R20" s="532">
        <v>0</v>
      </c>
      <c r="S20" s="532">
        <v>0</v>
      </c>
      <c r="T20" s="532">
        <v>2.3999999999999998E-3</v>
      </c>
      <c r="U20" s="532">
        <v>3.3E-3</v>
      </c>
      <c r="V20" s="532">
        <v>1.1599999999999999E-2</v>
      </c>
      <c r="W20" s="532">
        <v>1.9300000000000001E-2</v>
      </c>
      <c r="X20" s="532">
        <v>1.2199999999999999E-2</v>
      </c>
      <c r="Y20" s="532">
        <v>1.4500000000000001E-2</v>
      </c>
      <c r="Z20" s="532">
        <v>1.7600000000000001E-2</v>
      </c>
      <c r="AA20" s="532">
        <v>2.06E-2</v>
      </c>
      <c r="AB20" s="532">
        <v>2.0199999999999999E-2</v>
      </c>
      <c r="AC20" s="532">
        <v>1.77E-2</v>
      </c>
      <c r="AD20" s="532">
        <v>1.7500000000000002E-2</v>
      </c>
      <c r="AE20" s="532">
        <v>1.6199999999999999E-2</v>
      </c>
      <c r="AF20" s="532">
        <v>1.4E-2</v>
      </c>
      <c r="AG20" s="532">
        <v>1.7000000000000001E-2</v>
      </c>
      <c r="AH20" s="532">
        <v>1.6199999999999999E-2</v>
      </c>
      <c r="AI20" s="532">
        <v>1.54E-2</v>
      </c>
      <c r="AJ20" s="532">
        <v>1.6399999999999998E-2</v>
      </c>
      <c r="AK20" s="534">
        <v>0</v>
      </c>
    </row>
    <row r="21" spans="1:37" s="12" customFormat="1" ht="15.5">
      <c r="A21" s="525" t="s">
        <v>410</v>
      </c>
      <c r="B21" s="532">
        <v>0</v>
      </c>
      <c r="C21" s="532">
        <v>0</v>
      </c>
      <c r="D21" s="532">
        <v>0</v>
      </c>
      <c r="E21" s="532">
        <v>0</v>
      </c>
      <c r="F21" s="532">
        <v>0</v>
      </c>
      <c r="G21" s="532">
        <v>0</v>
      </c>
      <c r="H21" s="532">
        <v>0</v>
      </c>
      <c r="I21" s="532">
        <v>0</v>
      </c>
      <c r="J21" s="532">
        <v>0</v>
      </c>
      <c r="K21" s="532">
        <v>8.0000000000000004E-4</v>
      </c>
      <c r="L21" s="532">
        <v>2.0000000000000001E-4</v>
      </c>
      <c r="M21" s="532">
        <v>1.1000000000000001E-3</v>
      </c>
      <c r="N21" s="532">
        <v>5.0000000000000001E-3</v>
      </c>
      <c r="O21" s="532">
        <v>3.5000000000000001E-3</v>
      </c>
      <c r="P21" s="532">
        <v>6.3E-3</v>
      </c>
      <c r="Q21" s="532">
        <v>8.8000000000000005E-3</v>
      </c>
      <c r="R21" s="532">
        <v>1.6199999999999999E-2</v>
      </c>
      <c r="S21" s="532">
        <v>2.0899999999999998E-2</v>
      </c>
      <c r="T21" s="532">
        <v>4.4299999999999999E-2</v>
      </c>
      <c r="U21" s="532">
        <v>4.4299999999999999E-2</v>
      </c>
      <c r="V21" s="532">
        <v>0.1003</v>
      </c>
      <c r="W21" s="532">
        <v>0.1338</v>
      </c>
      <c r="X21" s="532">
        <v>0.1474</v>
      </c>
      <c r="Y21" s="532">
        <v>0.33189999999999997</v>
      </c>
      <c r="Z21" s="532">
        <v>0.39610000000000001</v>
      </c>
      <c r="AA21" s="532">
        <v>0.38950000000000001</v>
      </c>
      <c r="AB21" s="532">
        <v>0.40629999999999999</v>
      </c>
      <c r="AC21" s="532">
        <v>0.40849999999999997</v>
      </c>
      <c r="AD21" s="532">
        <v>0.42</v>
      </c>
      <c r="AE21" s="532">
        <v>0.42330000000000001</v>
      </c>
      <c r="AF21" s="532">
        <v>0.43019999999999997</v>
      </c>
      <c r="AG21" s="532">
        <v>0.39500000000000002</v>
      </c>
      <c r="AH21" s="532">
        <v>0.37580000000000002</v>
      </c>
      <c r="AI21" s="532">
        <v>0.31660000000000005</v>
      </c>
      <c r="AJ21" s="532">
        <v>0.31330000000000002</v>
      </c>
      <c r="AK21" s="534">
        <v>0</v>
      </c>
    </row>
    <row r="22" spans="1:37" s="12" customFormat="1" ht="15.5">
      <c r="A22" s="525" t="s">
        <v>411</v>
      </c>
      <c r="B22" s="532">
        <v>0</v>
      </c>
      <c r="C22" s="532">
        <v>0</v>
      </c>
      <c r="D22" s="532">
        <v>0</v>
      </c>
      <c r="E22" s="532">
        <v>0</v>
      </c>
      <c r="F22" s="532">
        <v>0</v>
      </c>
      <c r="G22" s="532">
        <v>0</v>
      </c>
      <c r="H22" s="532">
        <v>0</v>
      </c>
      <c r="I22" s="532">
        <v>0</v>
      </c>
      <c r="J22" s="532">
        <v>0</v>
      </c>
      <c r="K22" s="532">
        <v>2.9999999999999997E-4</v>
      </c>
      <c r="L22" s="532">
        <v>2.0000000000000001E-4</v>
      </c>
      <c r="M22" s="532">
        <v>0</v>
      </c>
      <c r="N22" s="532">
        <v>0</v>
      </c>
      <c r="O22" s="532">
        <v>4.0999999999999995E-3</v>
      </c>
      <c r="P22" s="532">
        <v>2.3999999999999998E-3</v>
      </c>
      <c r="Q22" s="532">
        <v>6.7999999999999996E-3</v>
      </c>
      <c r="R22" s="532">
        <v>1.6399999999999998E-2</v>
      </c>
      <c r="S22" s="532">
        <v>2.52E-2</v>
      </c>
      <c r="T22" s="532">
        <v>4.2099999999999999E-2</v>
      </c>
      <c r="U22" s="532">
        <v>7.4299999999999991E-2</v>
      </c>
      <c r="V22" s="532">
        <v>0.1419</v>
      </c>
      <c r="W22" s="532">
        <v>0.44189999999999996</v>
      </c>
      <c r="X22" s="532">
        <v>0.79059999999999997</v>
      </c>
      <c r="Y22" s="532">
        <v>1.8144</v>
      </c>
      <c r="Z22" s="532">
        <v>1.8945000000000001</v>
      </c>
      <c r="AA22" s="532">
        <v>1.6718</v>
      </c>
      <c r="AB22" s="532">
        <v>1.6539000000000001</v>
      </c>
      <c r="AC22" s="532">
        <v>1.6502999999999999</v>
      </c>
      <c r="AD22" s="532">
        <v>1.6208</v>
      </c>
      <c r="AE22" s="532">
        <v>1.6248</v>
      </c>
      <c r="AF22" s="532">
        <v>1.6182000000000001</v>
      </c>
      <c r="AG22" s="532">
        <v>1.4790000000000001</v>
      </c>
      <c r="AH22" s="532">
        <v>1.3996999999999999</v>
      </c>
      <c r="AI22" s="532">
        <v>1.2090999999999998</v>
      </c>
      <c r="AJ22" s="532">
        <v>1.2138499999999999</v>
      </c>
      <c r="AK22" s="534">
        <v>0</v>
      </c>
    </row>
    <row r="23" spans="1:37" s="12" customFormat="1" ht="15.5">
      <c r="A23" s="527" t="s">
        <v>412</v>
      </c>
      <c r="B23" s="533">
        <v>0</v>
      </c>
      <c r="C23" s="530">
        <v>0</v>
      </c>
      <c r="D23" s="530">
        <v>0</v>
      </c>
      <c r="E23" s="530">
        <v>0</v>
      </c>
      <c r="F23" s="530">
        <v>0</v>
      </c>
      <c r="G23" s="530">
        <v>0</v>
      </c>
      <c r="H23" s="530">
        <v>0</v>
      </c>
      <c r="I23" s="530">
        <v>0</v>
      </c>
      <c r="J23" s="530">
        <v>0</v>
      </c>
      <c r="K23" s="530">
        <v>0</v>
      </c>
      <c r="L23" s="530">
        <v>0</v>
      </c>
      <c r="M23" s="530">
        <v>0</v>
      </c>
      <c r="N23" s="530">
        <v>0</v>
      </c>
      <c r="O23" s="530">
        <v>0</v>
      </c>
      <c r="P23" s="530">
        <v>0</v>
      </c>
      <c r="Q23" s="530">
        <v>0</v>
      </c>
      <c r="R23" s="530">
        <v>0</v>
      </c>
      <c r="S23" s="530">
        <v>0</v>
      </c>
      <c r="T23" s="530">
        <v>4.2500000000000003E-2</v>
      </c>
      <c r="U23" s="530">
        <v>0.97420000000000007</v>
      </c>
      <c r="V23" s="530">
        <v>2.1326999999999998</v>
      </c>
      <c r="W23" s="530">
        <v>1.8711999999999998</v>
      </c>
      <c r="X23" s="530">
        <v>2.3740000000000001</v>
      </c>
      <c r="Y23" s="530">
        <v>2.8132999999999999</v>
      </c>
      <c r="Z23" s="530">
        <v>3.0841999999999996</v>
      </c>
      <c r="AA23" s="530">
        <v>3.3925999999999998</v>
      </c>
      <c r="AB23" s="530">
        <v>3.2981000000000003</v>
      </c>
      <c r="AC23" s="530">
        <v>3.0800999999999998</v>
      </c>
      <c r="AD23" s="530">
        <v>2.8212999999999999</v>
      </c>
      <c r="AE23" s="530">
        <v>2.9419</v>
      </c>
      <c r="AF23" s="530">
        <f t="shared" ref="AF23:AK23" si="3">SUM(AF24:AF25)</f>
        <v>2.9267000000000003</v>
      </c>
      <c r="AG23" s="530">
        <f t="shared" si="3"/>
        <v>3.0154799999999997</v>
      </c>
      <c r="AH23" s="530">
        <f t="shared" si="3"/>
        <v>2.4952000000000001</v>
      </c>
      <c r="AI23" s="530">
        <f t="shared" si="3"/>
        <v>2.0138000000000003</v>
      </c>
      <c r="AJ23" s="530">
        <f>SUM(AJ24:AJ25)</f>
        <v>2.2054</v>
      </c>
      <c r="AK23" s="536">
        <f t="shared" si="3"/>
        <v>0</v>
      </c>
    </row>
    <row r="24" spans="1:37" s="12" customFormat="1" ht="15.5">
      <c r="A24" s="525" t="s">
        <v>413</v>
      </c>
      <c r="B24" s="532">
        <v>0</v>
      </c>
      <c r="C24" s="532">
        <v>0</v>
      </c>
      <c r="D24" s="532">
        <v>0</v>
      </c>
      <c r="E24" s="532">
        <v>0</v>
      </c>
      <c r="F24" s="532">
        <v>0</v>
      </c>
      <c r="G24" s="532">
        <v>0</v>
      </c>
      <c r="H24" s="532">
        <v>0</v>
      </c>
      <c r="I24" s="532">
        <v>0</v>
      </c>
      <c r="J24" s="532">
        <v>0</v>
      </c>
      <c r="K24" s="532">
        <v>0</v>
      </c>
      <c r="L24" s="532">
        <v>0</v>
      </c>
      <c r="M24" s="532">
        <v>0</v>
      </c>
      <c r="N24" s="532">
        <v>0</v>
      </c>
      <c r="O24" s="532">
        <v>0</v>
      </c>
      <c r="P24" s="532">
        <v>0</v>
      </c>
      <c r="Q24" s="532">
        <v>0</v>
      </c>
      <c r="R24" s="532">
        <v>0</v>
      </c>
      <c r="S24" s="532">
        <v>0</v>
      </c>
      <c r="T24" s="532">
        <v>1.3099999999999999E-2</v>
      </c>
      <c r="U24" s="532">
        <v>0.58299999999999996</v>
      </c>
      <c r="V24" s="532">
        <v>1.7590999999999999</v>
      </c>
      <c r="W24" s="532">
        <v>1.7090999999999998</v>
      </c>
      <c r="X24" s="532">
        <v>2.0514999999999999</v>
      </c>
      <c r="Y24" s="532">
        <v>2.3741999999999996</v>
      </c>
      <c r="Z24" s="532">
        <v>2.5790999999999999</v>
      </c>
      <c r="AA24" s="532">
        <v>2.84</v>
      </c>
      <c r="AB24" s="532">
        <v>2.7599</v>
      </c>
      <c r="AC24" s="532">
        <v>2.5556000000000001</v>
      </c>
      <c r="AD24" s="532">
        <v>2.2942</v>
      </c>
      <c r="AE24" s="532">
        <v>2.4169999999999998</v>
      </c>
      <c r="AF24" s="532">
        <v>2.4399000000000002</v>
      </c>
      <c r="AG24" s="532">
        <v>2.5301399999999998</v>
      </c>
      <c r="AH24" s="532">
        <v>2.089</v>
      </c>
      <c r="AI24" s="532">
        <v>1.8565</v>
      </c>
      <c r="AJ24" s="532">
        <v>2.0376500000000002</v>
      </c>
      <c r="AK24" s="534">
        <v>0</v>
      </c>
    </row>
    <row r="25" spans="1:37" s="12" customFormat="1" ht="15.5">
      <c r="A25" s="525" t="s">
        <v>414</v>
      </c>
      <c r="B25" s="532">
        <v>0</v>
      </c>
      <c r="C25" s="532">
        <v>0</v>
      </c>
      <c r="D25" s="532">
        <v>0</v>
      </c>
      <c r="E25" s="532">
        <v>0</v>
      </c>
      <c r="F25" s="532">
        <v>0</v>
      </c>
      <c r="G25" s="532">
        <v>0</v>
      </c>
      <c r="H25" s="532">
        <v>0</v>
      </c>
      <c r="I25" s="532">
        <v>0</v>
      </c>
      <c r="J25" s="532">
        <v>0</v>
      </c>
      <c r="K25" s="532">
        <v>0</v>
      </c>
      <c r="L25" s="532">
        <v>0</v>
      </c>
      <c r="M25" s="532">
        <v>0</v>
      </c>
      <c r="N25" s="532">
        <v>0</v>
      </c>
      <c r="O25" s="532">
        <v>0</v>
      </c>
      <c r="P25" s="532">
        <v>0</v>
      </c>
      <c r="Q25" s="532">
        <v>0</v>
      </c>
      <c r="R25" s="532">
        <v>0</v>
      </c>
      <c r="S25" s="532">
        <v>0</v>
      </c>
      <c r="T25" s="532">
        <v>2.9399999999999999E-2</v>
      </c>
      <c r="U25" s="532">
        <v>0.39119999999999999</v>
      </c>
      <c r="V25" s="532">
        <v>0.37360000000000004</v>
      </c>
      <c r="W25" s="532">
        <v>0.16209999999999999</v>
      </c>
      <c r="X25" s="532">
        <v>0.32250000000000001</v>
      </c>
      <c r="Y25" s="532">
        <v>0.43910000000000005</v>
      </c>
      <c r="Z25" s="532">
        <v>0.50509999999999999</v>
      </c>
      <c r="AA25" s="532">
        <v>0.55259999999999998</v>
      </c>
      <c r="AB25" s="532">
        <v>0.53820000000000001</v>
      </c>
      <c r="AC25" s="532">
        <v>0.52449999999999997</v>
      </c>
      <c r="AD25" s="532">
        <v>0.52710000000000001</v>
      </c>
      <c r="AE25" s="532">
        <v>0.52489999999999992</v>
      </c>
      <c r="AF25" s="532">
        <v>0.48680000000000001</v>
      </c>
      <c r="AG25" s="532">
        <v>0.48533999999999999</v>
      </c>
      <c r="AH25" s="532">
        <v>0.40620000000000001</v>
      </c>
      <c r="AI25" s="532">
        <v>0.15730000000000002</v>
      </c>
      <c r="AJ25" s="532">
        <v>0.16775000000000001</v>
      </c>
      <c r="AK25" s="534">
        <v>0</v>
      </c>
    </row>
    <row r="26" spans="1:37" s="12" customFormat="1" ht="15.5">
      <c r="A26" s="526" t="s">
        <v>415</v>
      </c>
      <c r="B26" s="530">
        <v>0</v>
      </c>
      <c r="C26" s="530">
        <v>3.8649999999999997E-2</v>
      </c>
      <c r="D26" s="530">
        <v>0</v>
      </c>
      <c r="E26" s="530">
        <v>0</v>
      </c>
      <c r="F26" s="530">
        <v>0.10034999999999999</v>
      </c>
      <c r="G26" s="530">
        <v>0.17714999999999997</v>
      </c>
      <c r="H26" s="530">
        <v>0.22995000000000002</v>
      </c>
      <c r="I26" s="530">
        <v>0.27505000000000002</v>
      </c>
      <c r="J26" s="530">
        <v>0.35575000000000001</v>
      </c>
      <c r="K26" s="530">
        <v>0.61795</v>
      </c>
      <c r="L26" s="530">
        <v>0.70429999999999993</v>
      </c>
      <c r="M26" s="530">
        <v>1.0544500000000001</v>
      </c>
      <c r="N26" s="530">
        <v>1.02755</v>
      </c>
      <c r="O26" s="530">
        <v>1.3965500000000002</v>
      </c>
      <c r="P26" s="530">
        <v>2.17035</v>
      </c>
      <c r="Q26" s="530">
        <v>2.3878499999999998</v>
      </c>
      <c r="R26" s="530">
        <v>2.1311499999999999</v>
      </c>
      <c r="S26" s="530">
        <v>2.0246</v>
      </c>
      <c r="T26" s="530">
        <v>2.06955</v>
      </c>
      <c r="U26" s="530">
        <v>2.3789199999999995</v>
      </c>
      <c r="V26" s="530">
        <v>3.25088</v>
      </c>
      <c r="W26" s="530">
        <v>4.2243599999999999</v>
      </c>
      <c r="X26" s="530">
        <v>5.1926000000000005</v>
      </c>
      <c r="Y26" s="530">
        <v>7.4708000000000006</v>
      </c>
      <c r="Z26" s="530">
        <v>8.8230000000000004</v>
      </c>
      <c r="AA26" s="530">
        <v>9.5676000000000005</v>
      </c>
      <c r="AB26" s="530">
        <v>9.6938999999999993</v>
      </c>
      <c r="AC26" s="530">
        <v>9.9785000000000004</v>
      </c>
      <c r="AD26" s="530">
        <v>10.128500000000001</v>
      </c>
      <c r="AE26" s="530">
        <v>10.538699999999999</v>
      </c>
      <c r="AF26" s="530">
        <f t="shared" ref="AF26:AK26" si="4">SUM(AF27,AF30,AF35)</f>
        <v>10.735200000000001</v>
      </c>
      <c r="AG26" s="530">
        <f t="shared" si="4"/>
        <v>10.0671</v>
      </c>
      <c r="AH26" s="530">
        <f t="shared" si="4"/>
        <v>9.4472999999999985</v>
      </c>
      <c r="AI26" s="530">
        <f t="shared" si="4"/>
        <v>9.2890999999999995</v>
      </c>
      <c r="AJ26" s="530">
        <f>SUM(AJ27,AJ30,AJ35)</f>
        <v>9.8415999999999997</v>
      </c>
      <c r="AK26" s="536">
        <f t="shared" si="4"/>
        <v>0</v>
      </c>
    </row>
    <row r="27" spans="1:37" s="12" customFormat="1" ht="15.5">
      <c r="A27" s="527" t="s">
        <v>404</v>
      </c>
      <c r="B27" s="530">
        <v>0</v>
      </c>
      <c r="C27" s="530">
        <v>3.6449999999999996E-2</v>
      </c>
      <c r="D27" s="530">
        <v>0</v>
      </c>
      <c r="E27" s="530">
        <v>0</v>
      </c>
      <c r="F27" s="530">
        <v>8.5750000000000007E-2</v>
      </c>
      <c r="G27" s="530">
        <v>0.10975</v>
      </c>
      <c r="H27" s="530">
        <v>0.14895000000000003</v>
      </c>
      <c r="I27" s="530">
        <v>0.19855</v>
      </c>
      <c r="J27" s="530">
        <v>0.31455</v>
      </c>
      <c r="K27" s="530">
        <v>0.57645000000000002</v>
      </c>
      <c r="L27" s="530">
        <v>0.6623</v>
      </c>
      <c r="M27" s="530">
        <v>0.96514999999999995</v>
      </c>
      <c r="N27" s="530">
        <v>0.86875000000000002</v>
      </c>
      <c r="O27" s="530">
        <v>1.21445</v>
      </c>
      <c r="P27" s="530">
        <v>1.96485</v>
      </c>
      <c r="Q27" s="530">
        <v>2.1569499999999997</v>
      </c>
      <c r="R27" s="530">
        <v>1.8893499999999999</v>
      </c>
      <c r="S27" s="530">
        <v>1.7367999999999999</v>
      </c>
      <c r="T27" s="530">
        <v>1.73875</v>
      </c>
      <c r="U27" s="530">
        <v>1.53989</v>
      </c>
      <c r="V27" s="530">
        <v>1.70224</v>
      </c>
      <c r="W27" s="530">
        <v>1.8618400000000002</v>
      </c>
      <c r="X27" s="530">
        <v>1.9858000000000002</v>
      </c>
      <c r="Y27" s="530">
        <v>2.5135000000000001</v>
      </c>
      <c r="Z27" s="530">
        <v>2.9054000000000002</v>
      </c>
      <c r="AA27" s="530">
        <v>2.9935999999999998</v>
      </c>
      <c r="AB27" s="530">
        <v>3.0966000000000005</v>
      </c>
      <c r="AC27" s="530">
        <v>3.2570000000000001</v>
      </c>
      <c r="AD27" s="530">
        <v>3.2553000000000001</v>
      </c>
      <c r="AE27" s="530">
        <v>3.3896999999999999</v>
      </c>
      <c r="AF27" s="530">
        <f t="shared" ref="AF27:AK27" si="5">SUM(AF28:AF29)</f>
        <v>3.5551999999999997</v>
      </c>
      <c r="AG27" s="530">
        <f t="shared" si="5"/>
        <v>3.3582000000000005</v>
      </c>
      <c r="AH27" s="530">
        <f t="shared" si="5"/>
        <v>3.4132999999999996</v>
      </c>
      <c r="AI27" s="530">
        <f t="shared" si="5"/>
        <v>3.1412</v>
      </c>
      <c r="AJ27" s="530">
        <f>SUM(AJ28:AJ29)</f>
        <v>3.2343999999999999</v>
      </c>
      <c r="AK27" s="536">
        <f t="shared" si="5"/>
        <v>0</v>
      </c>
    </row>
    <row r="28" spans="1:37" s="12" customFormat="1" ht="15.5">
      <c r="A28" s="524" t="s">
        <v>405</v>
      </c>
      <c r="B28" s="532">
        <v>0</v>
      </c>
      <c r="C28" s="532">
        <v>3.415E-2</v>
      </c>
      <c r="D28" s="532">
        <v>0</v>
      </c>
      <c r="E28" s="532">
        <v>0</v>
      </c>
      <c r="F28" s="532">
        <v>2.7649999999999997E-2</v>
      </c>
      <c r="G28" s="532">
        <v>7.1500000000000001E-3</v>
      </c>
      <c r="H28" s="532">
        <v>8.5500000000000003E-3</v>
      </c>
      <c r="I28" s="532">
        <v>1.7749999999999998E-2</v>
      </c>
      <c r="J28" s="532">
        <v>0.10245</v>
      </c>
      <c r="K28" s="532">
        <v>0.20895</v>
      </c>
      <c r="L28" s="532">
        <v>0.26850000000000002</v>
      </c>
      <c r="M28" s="532">
        <v>0.47275</v>
      </c>
      <c r="N28" s="532">
        <v>0.50285000000000002</v>
      </c>
      <c r="O28" s="532">
        <v>0.60994999999999999</v>
      </c>
      <c r="P28" s="532">
        <v>0.77704999999999991</v>
      </c>
      <c r="Q28" s="532">
        <v>0.89424999999999999</v>
      </c>
      <c r="R28" s="532">
        <v>0.91064999999999996</v>
      </c>
      <c r="S28" s="532">
        <v>0.92149999999999999</v>
      </c>
      <c r="T28" s="532">
        <v>0.92135</v>
      </c>
      <c r="U28" s="532">
        <v>0.81647999999999998</v>
      </c>
      <c r="V28" s="532">
        <v>0.98574000000000006</v>
      </c>
      <c r="W28" s="532">
        <v>1.01712</v>
      </c>
      <c r="X28" s="532">
        <v>0.96160000000000001</v>
      </c>
      <c r="Y28" s="532">
        <v>0.98180000000000001</v>
      </c>
      <c r="Z28" s="532">
        <v>1.1662000000000001</v>
      </c>
      <c r="AA28" s="532">
        <v>1.2081</v>
      </c>
      <c r="AB28" s="532">
        <v>1.2309000000000001</v>
      </c>
      <c r="AC28" s="532">
        <v>1.2602</v>
      </c>
      <c r="AD28" s="532">
        <v>1.2625</v>
      </c>
      <c r="AE28" s="532">
        <v>1.3222</v>
      </c>
      <c r="AF28" s="532">
        <v>1.3115999999999999</v>
      </c>
      <c r="AG28" s="532">
        <v>1.2139000000000002</v>
      </c>
      <c r="AH28" s="532">
        <v>1.3210999999999999</v>
      </c>
      <c r="AI28" s="532">
        <v>1.3306</v>
      </c>
      <c r="AJ28" s="532">
        <v>1.2927</v>
      </c>
      <c r="AK28" s="534">
        <v>0</v>
      </c>
    </row>
    <row r="29" spans="1:37" s="12" customFormat="1" ht="15.5">
      <c r="A29" s="525" t="s">
        <v>406</v>
      </c>
      <c r="B29" s="532">
        <v>0</v>
      </c>
      <c r="C29" s="532">
        <v>2.3E-3</v>
      </c>
      <c r="D29" s="532">
        <v>0</v>
      </c>
      <c r="E29" s="532">
        <v>0</v>
      </c>
      <c r="F29" s="532">
        <v>5.8099999999999999E-2</v>
      </c>
      <c r="G29" s="532">
        <v>0.1026</v>
      </c>
      <c r="H29" s="532">
        <v>0.1404</v>
      </c>
      <c r="I29" s="532">
        <v>0.18080000000000002</v>
      </c>
      <c r="J29" s="532">
        <v>0.21209999999999998</v>
      </c>
      <c r="K29" s="532">
        <v>0.36749999999999999</v>
      </c>
      <c r="L29" s="532">
        <v>0.39380000000000004</v>
      </c>
      <c r="M29" s="532">
        <v>0.4924</v>
      </c>
      <c r="N29" s="532">
        <v>0.3659</v>
      </c>
      <c r="O29" s="532">
        <v>0.60450000000000004</v>
      </c>
      <c r="P29" s="532">
        <v>1.1878</v>
      </c>
      <c r="Q29" s="532">
        <v>1.2627000000000002</v>
      </c>
      <c r="R29" s="532">
        <v>0.97870000000000001</v>
      </c>
      <c r="S29" s="532">
        <v>0.81529999999999991</v>
      </c>
      <c r="T29" s="532">
        <v>0.81740000000000002</v>
      </c>
      <c r="U29" s="532">
        <v>0.72341</v>
      </c>
      <c r="V29" s="532">
        <v>0.71650000000000003</v>
      </c>
      <c r="W29" s="532">
        <v>0.84472000000000003</v>
      </c>
      <c r="X29" s="532">
        <v>1.0242</v>
      </c>
      <c r="Y29" s="532">
        <v>1.5317000000000001</v>
      </c>
      <c r="Z29" s="532">
        <v>1.7392000000000001</v>
      </c>
      <c r="AA29" s="532">
        <v>1.7855000000000001</v>
      </c>
      <c r="AB29" s="532">
        <v>1.8657000000000001</v>
      </c>
      <c r="AC29" s="532">
        <v>1.9967999999999999</v>
      </c>
      <c r="AD29" s="532">
        <v>1.9927999999999999</v>
      </c>
      <c r="AE29" s="532">
        <v>2.0674999999999999</v>
      </c>
      <c r="AF29" s="532">
        <v>2.2435999999999998</v>
      </c>
      <c r="AG29" s="532">
        <v>2.1443000000000003</v>
      </c>
      <c r="AH29" s="532">
        <v>2.0921999999999996</v>
      </c>
      <c r="AI29" s="532">
        <v>1.8106</v>
      </c>
      <c r="AJ29" s="532">
        <v>1.9417</v>
      </c>
      <c r="AK29" s="534">
        <v>0</v>
      </c>
    </row>
    <row r="30" spans="1:37" s="12" customFormat="1" ht="15.5">
      <c r="A30" s="527" t="s">
        <v>407</v>
      </c>
      <c r="B30" s="530">
        <v>0</v>
      </c>
      <c r="C30" s="530">
        <v>2.2000000000000001E-3</v>
      </c>
      <c r="D30" s="530">
        <v>0</v>
      </c>
      <c r="E30" s="530">
        <v>0</v>
      </c>
      <c r="F30" s="530">
        <v>1.46E-2</v>
      </c>
      <c r="G30" s="530">
        <v>6.7399999999999988E-2</v>
      </c>
      <c r="H30" s="530">
        <v>8.1000000000000003E-2</v>
      </c>
      <c r="I30" s="530">
        <v>7.6500000000000012E-2</v>
      </c>
      <c r="J30" s="530">
        <v>4.1200000000000001E-2</v>
      </c>
      <c r="K30" s="530">
        <v>4.1500000000000002E-2</v>
      </c>
      <c r="L30" s="530">
        <v>4.200000000000001E-2</v>
      </c>
      <c r="M30" s="530">
        <v>8.929999999999999E-2</v>
      </c>
      <c r="N30" s="530">
        <v>0.15880000000000002</v>
      </c>
      <c r="O30" s="530">
        <v>0.18210000000000001</v>
      </c>
      <c r="P30" s="530">
        <v>0.20549999999999999</v>
      </c>
      <c r="Q30" s="530">
        <v>0.23089999999999999</v>
      </c>
      <c r="R30" s="530">
        <v>0.24179999999999999</v>
      </c>
      <c r="S30" s="530">
        <v>0.2878</v>
      </c>
      <c r="T30" s="530">
        <v>0.30869999999999997</v>
      </c>
      <c r="U30" s="530">
        <v>0.36540999999999996</v>
      </c>
      <c r="V30" s="530">
        <v>0.60292000000000001</v>
      </c>
      <c r="W30" s="530">
        <v>1.5361999999999998</v>
      </c>
      <c r="X30" s="530">
        <v>2.4591999999999996</v>
      </c>
      <c r="Y30" s="530">
        <v>4.0128000000000004</v>
      </c>
      <c r="Z30" s="530">
        <v>4.6606999999999994</v>
      </c>
      <c r="AA30" s="530">
        <v>5.0728999999999997</v>
      </c>
      <c r="AB30" s="530">
        <v>5.1853999999999996</v>
      </c>
      <c r="AC30" s="530">
        <v>5.3380000000000001</v>
      </c>
      <c r="AD30" s="530">
        <v>5.4038000000000004</v>
      </c>
      <c r="AE30" s="530">
        <v>5.4138999999999999</v>
      </c>
      <c r="AF30" s="530">
        <f t="shared" ref="AF30:AK30" si="6">SUM(AF31:AF34)</f>
        <v>5.4393000000000002</v>
      </c>
      <c r="AG30" s="530">
        <f t="shared" si="6"/>
        <v>5.6156000000000006</v>
      </c>
      <c r="AH30" s="530">
        <f t="shared" si="6"/>
        <v>5.4409999999999998</v>
      </c>
      <c r="AI30" s="530">
        <f t="shared" si="6"/>
        <v>5.4032</v>
      </c>
      <c r="AJ30" s="530">
        <f>SUM(AJ31:AJ34)</f>
        <v>5.4606999999999992</v>
      </c>
      <c r="AK30" s="536">
        <f t="shared" si="6"/>
        <v>0</v>
      </c>
    </row>
    <row r="31" spans="1:37" s="12" customFormat="1" ht="15.5">
      <c r="A31" s="525" t="s">
        <v>408</v>
      </c>
      <c r="B31" s="532">
        <v>0</v>
      </c>
      <c r="C31" s="532">
        <v>0</v>
      </c>
      <c r="D31" s="532">
        <v>0</v>
      </c>
      <c r="E31" s="532">
        <v>0</v>
      </c>
      <c r="F31" s="532">
        <v>3.3999999999999998E-3</v>
      </c>
      <c r="G31" s="532">
        <v>5.3800000000000001E-2</v>
      </c>
      <c r="H31" s="532">
        <v>6.7900000000000002E-2</v>
      </c>
      <c r="I31" s="532">
        <v>6.4500000000000002E-2</v>
      </c>
      <c r="J31" s="532">
        <v>2.6800000000000001E-2</v>
      </c>
      <c r="K31" s="532">
        <v>2.6800000000000001E-2</v>
      </c>
      <c r="L31" s="532">
        <v>2.7800000000000002E-2</v>
      </c>
      <c r="M31" s="532">
        <v>7.0800000000000002E-2</v>
      </c>
      <c r="N31" s="532">
        <v>4.2799999999999998E-2</v>
      </c>
      <c r="O31" s="532">
        <v>6.7299999999999999E-2</v>
      </c>
      <c r="P31" s="532">
        <v>8.2400000000000001E-2</v>
      </c>
      <c r="Q31" s="532">
        <v>0.1008</v>
      </c>
      <c r="R31" s="532">
        <v>0.1149</v>
      </c>
      <c r="S31" s="532">
        <v>0.13390000000000002</v>
      </c>
      <c r="T31" s="532">
        <v>0.15309999999999999</v>
      </c>
      <c r="U31" s="532">
        <v>0.19515000000000002</v>
      </c>
      <c r="V31" s="532">
        <v>0.21739</v>
      </c>
      <c r="W31" s="532">
        <v>0.25459999999999999</v>
      </c>
      <c r="X31" s="532">
        <v>0.27650000000000002</v>
      </c>
      <c r="Y31" s="532">
        <v>0.34699999999999998</v>
      </c>
      <c r="Z31" s="532">
        <v>0.40820000000000001</v>
      </c>
      <c r="AA31" s="532">
        <v>0.46989999999999998</v>
      </c>
      <c r="AB31" s="532">
        <v>0.48360000000000003</v>
      </c>
      <c r="AC31" s="532">
        <v>0.54120000000000001</v>
      </c>
      <c r="AD31" s="532">
        <v>0.54400000000000004</v>
      </c>
      <c r="AE31" s="532">
        <v>0.52649999999999997</v>
      </c>
      <c r="AF31" s="532">
        <v>0.47870000000000001</v>
      </c>
      <c r="AG31" s="532">
        <v>0.441</v>
      </c>
      <c r="AH31" s="532">
        <v>0.37769999999999998</v>
      </c>
      <c r="AI31" s="532">
        <v>0.40579999999999999</v>
      </c>
      <c r="AJ31" s="532">
        <v>0.4148</v>
      </c>
      <c r="AK31" s="534">
        <v>0</v>
      </c>
    </row>
    <row r="32" spans="1:37" s="12" customFormat="1" ht="15.5">
      <c r="A32" s="525" t="s">
        <v>409</v>
      </c>
      <c r="B32" s="532">
        <v>0</v>
      </c>
      <c r="C32" s="532">
        <v>8.9999999999999998E-4</v>
      </c>
      <c r="D32" s="532">
        <v>0</v>
      </c>
      <c r="E32" s="532">
        <v>0</v>
      </c>
      <c r="F32" s="532">
        <v>2.3999999999999998E-3</v>
      </c>
      <c r="G32" s="532">
        <v>2.8999999999999998E-3</v>
      </c>
      <c r="H32" s="532">
        <v>3.0999999999999999E-3</v>
      </c>
      <c r="I32" s="532">
        <v>2.7000000000000001E-3</v>
      </c>
      <c r="J32" s="532">
        <v>4.2000000000000006E-3</v>
      </c>
      <c r="K32" s="532">
        <v>5.7999999999999996E-3</v>
      </c>
      <c r="L32" s="532">
        <v>5.7999999999999996E-3</v>
      </c>
      <c r="M32" s="532">
        <v>4.4999999999999997E-3</v>
      </c>
      <c r="N32" s="532">
        <v>2.8E-3</v>
      </c>
      <c r="O32" s="532">
        <v>2.7000000000000001E-3</v>
      </c>
      <c r="P32" s="532">
        <v>1.1999999999999999E-3</v>
      </c>
      <c r="Q32" s="532">
        <v>3.2000000000000002E-3</v>
      </c>
      <c r="R32" s="532">
        <v>3.3E-3</v>
      </c>
      <c r="S32" s="532">
        <v>8.9999999999999993E-3</v>
      </c>
      <c r="T32" s="532">
        <v>1.24E-2</v>
      </c>
      <c r="U32" s="532">
        <v>1.6760000000000001E-2</v>
      </c>
      <c r="V32" s="532">
        <v>1.6590000000000001E-2</v>
      </c>
      <c r="W32" s="532">
        <v>4.3200000000000002E-2</v>
      </c>
      <c r="X32" s="532">
        <v>6.83E-2</v>
      </c>
      <c r="Y32" s="532">
        <v>9.5599999999999991E-2</v>
      </c>
      <c r="Z32" s="532">
        <v>0.10340000000000001</v>
      </c>
      <c r="AA32" s="532">
        <v>0.107</v>
      </c>
      <c r="AB32" s="532">
        <v>0.10829999999999999</v>
      </c>
      <c r="AC32" s="532">
        <v>0.1187</v>
      </c>
      <c r="AD32" s="532">
        <v>0.1087</v>
      </c>
      <c r="AE32" s="532">
        <v>0.1158</v>
      </c>
      <c r="AF32" s="532">
        <v>0.1167</v>
      </c>
      <c r="AG32" s="532">
        <v>0.107</v>
      </c>
      <c r="AH32" s="532">
        <v>9.9500000000000005E-2</v>
      </c>
      <c r="AI32" s="532">
        <v>0.10299999999999999</v>
      </c>
      <c r="AJ32" s="532">
        <v>0.1095</v>
      </c>
      <c r="AK32" s="534">
        <v>0</v>
      </c>
    </row>
    <row r="33" spans="1:37" s="12" customFormat="1" ht="15.5">
      <c r="A33" s="525" t="s">
        <v>410</v>
      </c>
      <c r="B33" s="532">
        <v>0</v>
      </c>
      <c r="C33" s="532">
        <v>1.2999999999999999E-3</v>
      </c>
      <c r="D33" s="532">
        <v>0</v>
      </c>
      <c r="E33" s="532">
        <v>0</v>
      </c>
      <c r="F33" s="532">
        <v>6.3E-3</v>
      </c>
      <c r="G33" s="532">
        <v>8.0999999999999996E-3</v>
      </c>
      <c r="H33" s="532">
        <v>7.6E-3</v>
      </c>
      <c r="I33" s="532">
        <v>6.9000000000000008E-3</v>
      </c>
      <c r="J33" s="532">
        <v>5.7000000000000002E-3</v>
      </c>
      <c r="K33" s="532">
        <v>5.5999999999999999E-3</v>
      </c>
      <c r="L33" s="532">
        <v>4.7000000000000002E-3</v>
      </c>
      <c r="M33" s="532">
        <v>8.6999999999999994E-3</v>
      </c>
      <c r="N33" s="532">
        <v>1.1300000000000001E-2</v>
      </c>
      <c r="O33" s="532">
        <v>9.6999999999999986E-3</v>
      </c>
      <c r="P33" s="532">
        <v>1.2199999999999999E-2</v>
      </c>
      <c r="Q33" s="532">
        <v>1.6899999999999998E-2</v>
      </c>
      <c r="R33" s="532">
        <v>2.8500000000000001E-2</v>
      </c>
      <c r="S33" s="532">
        <v>3.2399999999999998E-2</v>
      </c>
      <c r="T33" s="532">
        <v>2.5499999999999998E-2</v>
      </c>
      <c r="U33" s="532">
        <v>4.41E-2</v>
      </c>
      <c r="V33" s="532">
        <v>0.12068999999999999</v>
      </c>
      <c r="W33" s="532">
        <v>0.22775000000000001</v>
      </c>
      <c r="X33" s="532">
        <v>0.37119999999999997</v>
      </c>
      <c r="Y33" s="532">
        <v>0.4849</v>
      </c>
      <c r="Z33" s="532">
        <v>0.59260000000000002</v>
      </c>
      <c r="AA33" s="532">
        <v>0.67770000000000008</v>
      </c>
      <c r="AB33" s="532">
        <v>0.75320000000000009</v>
      </c>
      <c r="AC33" s="532">
        <v>0.7853</v>
      </c>
      <c r="AD33" s="532">
        <v>0.81729999999999992</v>
      </c>
      <c r="AE33" s="532">
        <v>0.83140000000000003</v>
      </c>
      <c r="AF33" s="532">
        <v>0.86350000000000005</v>
      </c>
      <c r="AG33" s="532">
        <v>0.90189999999999992</v>
      </c>
      <c r="AH33" s="532">
        <v>0.9012</v>
      </c>
      <c r="AI33" s="532">
        <v>0.90979999999999994</v>
      </c>
      <c r="AJ33" s="532">
        <v>0.89239999999999997</v>
      </c>
      <c r="AK33" s="534">
        <v>0</v>
      </c>
    </row>
    <row r="34" spans="1:37" s="12" customFormat="1" ht="15.5">
      <c r="A34" s="525" t="s">
        <v>411</v>
      </c>
      <c r="B34" s="532">
        <v>0</v>
      </c>
      <c r="C34" s="532">
        <v>0</v>
      </c>
      <c r="D34" s="532">
        <v>0</v>
      </c>
      <c r="E34" s="532">
        <v>0</v>
      </c>
      <c r="F34" s="532">
        <v>2.5000000000000001E-3</v>
      </c>
      <c r="G34" s="532">
        <v>2.5999999999999999E-3</v>
      </c>
      <c r="H34" s="532">
        <v>2.3999999999999998E-3</v>
      </c>
      <c r="I34" s="532">
        <v>2.3999999999999998E-3</v>
      </c>
      <c r="J34" s="532">
        <v>4.4999999999999997E-3</v>
      </c>
      <c r="K34" s="532">
        <v>3.3E-3</v>
      </c>
      <c r="L34" s="532">
        <v>3.7000000000000002E-3</v>
      </c>
      <c r="M34" s="532">
        <v>5.3E-3</v>
      </c>
      <c r="N34" s="532">
        <v>0.1019</v>
      </c>
      <c r="O34" s="532">
        <v>0.1024</v>
      </c>
      <c r="P34" s="532">
        <v>0.10970000000000001</v>
      </c>
      <c r="Q34" s="532">
        <v>0.11</v>
      </c>
      <c r="R34" s="532">
        <v>9.509999999999999E-2</v>
      </c>
      <c r="S34" s="532">
        <v>0.1125</v>
      </c>
      <c r="T34" s="532">
        <v>0.1177</v>
      </c>
      <c r="U34" s="532">
        <v>0.10940000000000001</v>
      </c>
      <c r="V34" s="532">
        <v>0.24825</v>
      </c>
      <c r="W34" s="532">
        <v>1.01065</v>
      </c>
      <c r="X34" s="532">
        <v>1.7432000000000001</v>
      </c>
      <c r="Y34" s="532">
        <v>3.0853000000000002</v>
      </c>
      <c r="Z34" s="532">
        <v>3.5565000000000002</v>
      </c>
      <c r="AA34" s="532">
        <v>3.8183000000000002</v>
      </c>
      <c r="AB34" s="532">
        <v>3.8403</v>
      </c>
      <c r="AC34" s="532">
        <v>3.8928000000000003</v>
      </c>
      <c r="AD34" s="532">
        <v>3.9338000000000002</v>
      </c>
      <c r="AE34" s="532">
        <v>3.9401999999999999</v>
      </c>
      <c r="AF34" s="532">
        <v>3.9803999999999999</v>
      </c>
      <c r="AG34" s="532">
        <v>4.1657000000000002</v>
      </c>
      <c r="AH34" s="532">
        <v>4.0625999999999998</v>
      </c>
      <c r="AI34" s="532">
        <v>3.9845999999999999</v>
      </c>
      <c r="AJ34" s="532">
        <v>4.0439999999999996</v>
      </c>
      <c r="AK34" s="534">
        <v>0</v>
      </c>
    </row>
    <row r="35" spans="1:37" s="12" customFormat="1" ht="15.5">
      <c r="A35" s="527" t="s">
        <v>412</v>
      </c>
      <c r="B35" s="530">
        <v>0</v>
      </c>
      <c r="C35" s="530">
        <v>0</v>
      </c>
      <c r="D35" s="530">
        <v>0</v>
      </c>
      <c r="E35" s="530">
        <v>0</v>
      </c>
      <c r="F35" s="530">
        <v>0</v>
      </c>
      <c r="G35" s="530">
        <v>0</v>
      </c>
      <c r="H35" s="530">
        <v>0</v>
      </c>
      <c r="I35" s="530">
        <v>0</v>
      </c>
      <c r="J35" s="530">
        <v>0</v>
      </c>
      <c r="K35" s="530">
        <v>0</v>
      </c>
      <c r="L35" s="530">
        <v>0</v>
      </c>
      <c r="M35" s="530">
        <v>0</v>
      </c>
      <c r="N35" s="530">
        <v>0</v>
      </c>
      <c r="O35" s="530">
        <v>0</v>
      </c>
      <c r="P35" s="530">
        <v>0</v>
      </c>
      <c r="Q35" s="530">
        <v>0</v>
      </c>
      <c r="R35" s="530">
        <v>0</v>
      </c>
      <c r="S35" s="530">
        <v>0</v>
      </c>
      <c r="T35" s="530">
        <v>2.2100000000000002E-2</v>
      </c>
      <c r="U35" s="530">
        <v>0.47361999999999999</v>
      </c>
      <c r="V35" s="530">
        <v>0.94572000000000001</v>
      </c>
      <c r="W35" s="530">
        <v>0.82632000000000005</v>
      </c>
      <c r="X35" s="530">
        <v>0.74760000000000004</v>
      </c>
      <c r="Y35" s="530">
        <v>0.94450000000000001</v>
      </c>
      <c r="Z35" s="530">
        <v>1.2569000000000001</v>
      </c>
      <c r="AA35" s="530">
        <v>1.5010999999999999</v>
      </c>
      <c r="AB35" s="530">
        <v>1.4119000000000002</v>
      </c>
      <c r="AC35" s="530">
        <v>1.3835</v>
      </c>
      <c r="AD35" s="530">
        <v>1.4694</v>
      </c>
      <c r="AE35" s="530">
        <v>1.7351000000000001</v>
      </c>
      <c r="AF35" s="530">
        <f t="shared" ref="AF35:AK35" si="7">SUM(AF36:AF37)</f>
        <v>1.7406999999999999</v>
      </c>
      <c r="AG35" s="530">
        <f t="shared" si="7"/>
        <v>1.0932999999999999</v>
      </c>
      <c r="AH35" s="530">
        <f t="shared" si="7"/>
        <v>0.59299999999999997</v>
      </c>
      <c r="AI35" s="530">
        <f t="shared" si="7"/>
        <v>0.74470000000000014</v>
      </c>
      <c r="AJ35" s="530">
        <f>SUM(AJ36:AJ37)</f>
        <v>1.1465000000000001</v>
      </c>
      <c r="AK35" s="536">
        <f t="shared" si="7"/>
        <v>0</v>
      </c>
    </row>
    <row r="36" spans="1:37" s="12" customFormat="1" ht="15.5">
      <c r="A36" s="525" t="s">
        <v>413</v>
      </c>
      <c r="B36" s="532">
        <v>0</v>
      </c>
      <c r="C36" s="532">
        <v>0</v>
      </c>
      <c r="D36" s="532">
        <v>0</v>
      </c>
      <c r="E36" s="532">
        <v>0</v>
      </c>
      <c r="F36" s="532">
        <v>0</v>
      </c>
      <c r="G36" s="532">
        <v>0</v>
      </c>
      <c r="H36" s="532">
        <v>0</v>
      </c>
      <c r="I36" s="532">
        <v>0</v>
      </c>
      <c r="J36" s="532">
        <v>0</v>
      </c>
      <c r="K36" s="532">
        <v>0</v>
      </c>
      <c r="L36" s="532">
        <v>0</v>
      </c>
      <c r="M36" s="532">
        <v>0</v>
      </c>
      <c r="N36" s="532">
        <v>0</v>
      </c>
      <c r="O36" s="532">
        <v>0</v>
      </c>
      <c r="P36" s="532">
        <v>0</v>
      </c>
      <c r="Q36" s="532">
        <v>0</v>
      </c>
      <c r="R36" s="532">
        <v>0</v>
      </c>
      <c r="S36" s="532">
        <v>0</v>
      </c>
      <c r="T36" s="532">
        <v>1.7000000000000001E-2</v>
      </c>
      <c r="U36" s="532">
        <v>0.46655999999999997</v>
      </c>
      <c r="V36" s="532">
        <v>0.92250999999999994</v>
      </c>
      <c r="W36" s="532">
        <v>0.82211999999999996</v>
      </c>
      <c r="X36" s="532">
        <v>0.70450000000000002</v>
      </c>
      <c r="Y36" s="532">
        <v>0.87279999999999991</v>
      </c>
      <c r="Z36" s="532">
        <v>1.1429</v>
      </c>
      <c r="AA36" s="532">
        <v>1.3497999999999999</v>
      </c>
      <c r="AB36" s="532">
        <v>1.1719999999999999</v>
      </c>
      <c r="AC36" s="532">
        <v>1.1445999999999998</v>
      </c>
      <c r="AD36" s="532">
        <v>1.2095</v>
      </c>
      <c r="AE36" s="532">
        <v>1.4979</v>
      </c>
      <c r="AF36" s="532">
        <v>1.4918</v>
      </c>
      <c r="AG36" s="532">
        <v>0.93929999999999991</v>
      </c>
      <c r="AH36" s="532">
        <v>0.52079999999999993</v>
      </c>
      <c r="AI36" s="532">
        <v>0.6352000000000001</v>
      </c>
      <c r="AJ36" s="532">
        <v>0.97899999999999998</v>
      </c>
      <c r="AK36" s="534">
        <v>0</v>
      </c>
    </row>
    <row r="37" spans="1:37" s="12" customFormat="1" ht="15.5">
      <c r="A37" s="525" t="s">
        <v>414</v>
      </c>
      <c r="B37" s="532">
        <v>0</v>
      </c>
      <c r="C37" s="532">
        <v>0</v>
      </c>
      <c r="D37" s="532">
        <v>0</v>
      </c>
      <c r="E37" s="532">
        <v>0</v>
      </c>
      <c r="F37" s="532">
        <v>0</v>
      </c>
      <c r="G37" s="532">
        <v>0</v>
      </c>
      <c r="H37" s="532">
        <v>0</v>
      </c>
      <c r="I37" s="532">
        <v>0</v>
      </c>
      <c r="J37" s="532">
        <v>0</v>
      </c>
      <c r="K37" s="532">
        <v>0</v>
      </c>
      <c r="L37" s="532">
        <v>0</v>
      </c>
      <c r="M37" s="532">
        <v>0</v>
      </c>
      <c r="N37" s="532">
        <v>0</v>
      </c>
      <c r="O37" s="532">
        <v>0</v>
      </c>
      <c r="P37" s="532">
        <v>0</v>
      </c>
      <c r="Q37" s="532">
        <v>0</v>
      </c>
      <c r="R37" s="532">
        <v>0</v>
      </c>
      <c r="S37" s="532">
        <v>0</v>
      </c>
      <c r="T37" s="532">
        <v>5.0999999999999995E-3</v>
      </c>
      <c r="U37" s="532">
        <v>7.0599999999999994E-3</v>
      </c>
      <c r="V37" s="532">
        <v>2.3210000000000001E-2</v>
      </c>
      <c r="W37" s="532">
        <v>4.2000000000000006E-3</v>
      </c>
      <c r="X37" s="532">
        <v>4.3099999999999999E-2</v>
      </c>
      <c r="Y37" s="532">
        <v>7.17E-2</v>
      </c>
      <c r="Z37" s="532">
        <v>0.114</v>
      </c>
      <c r="AA37" s="532">
        <v>0.15130000000000002</v>
      </c>
      <c r="AB37" s="532">
        <v>0.2399</v>
      </c>
      <c r="AC37" s="532">
        <v>0.2389</v>
      </c>
      <c r="AD37" s="532">
        <v>0.25989999999999996</v>
      </c>
      <c r="AE37" s="532">
        <v>0.23719999999999999</v>
      </c>
      <c r="AF37" s="532">
        <v>0.24890000000000001</v>
      </c>
      <c r="AG37" s="532">
        <v>0.154</v>
      </c>
      <c r="AH37" s="532">
        <v>7.22E-2</v>
      </c>
      <c r="AI37" s="532">
        <v>0.1095</v>
      </c>
      <c r="AJ37" s="532">
        <v>0.16750000000000001</v>
      </c>
      <c r="AK37" s="534">
        <v>0</v>
      </c>
    </row>
    <row r="38" spans="1:37" s="12" customFormat="1" ht="15.5">
      <c r="A38" s="48" t="s">
        <v>359</v>
      </c>
      <c r="B38" s="529">
        <v>0</v>
      </c>
      <c r="C38" s="529">
        <v>0</v>
      </c>
      <c r="D38" s="529">
        <v>0</v>
      </c>
      <c r="E38" s="529">
        <v>0</v>
      </c>
      <c r="F38" s="529">
        <v>0</v>
      </c>
      <c r="G38" s="529">
        <v>0</v>
      </c>
      <c r="H38" s="529">
        <v>0</v>
      </c>
      <c r="I38" s="529">
        <v>0</v>
      </c>
      <c r="J38" s="529">
        <v>0</v>
      </c>
      <c r="K38" s="529">
        <v>0</v>
      </c>
      <c r="L38" s="529">
        <v>0</v>
      </c>
      <c r="M38" s="529">
        <v>0</v>
      </c>
      <c r="N38" s="529">
        <v>0</v>
      </c>
      <c r="O38" s="529">
        <v>0</v>
      </c>
      <c r="P38" s="529">
        <v>0</v>
      </c>
      <c r="Q38" s="529">
        <v>0</v>
      </c>
      <c r="R38" s="529">
        <v>0</v>
      </c>
      <c r="S38" s="529">
        <v>0</v>
      </c>
      <c r="T38" s="529">
        <v>0</v>
      </c>
      <c r="U38" s="529">
        <v>0</v>
      </c>
      <c r="V38" s="529">
        <v>0</v>
      </c>
      <c r="W38" s="529">
        <v>0</v>
      </c>
      <c r="X38" s="529">
        <v>0</v>
      </c>
      <c r="Y38" s="529">
        <v>0</v>
      </c>
      <c r="Z38" s="529">
        <v>0</v>
      </c>
      <c r="AA38" s="529">
        <v>0</v>
      </c>
      <c r="AB38" s="529">
        <v>0</v>
      </c>
      <c r="AC38" s="529">
        <v>1.6399999999999998E-2</v>
      </c>
      <c r="AD38" s="529">
        <v>0.05</v>
      </c>
      <c r="AE38" s="529">
        <v>0</v>
      </c>
      <c r="AF38" s="529">
        <v>0</v>
      </c>
      <c r="AG38" s="529">
        <v>0</v>
      </c>
      <c r="AH38" s="529">
        <v>0</v>
      </c>
      <c r="AI38" s="529">
        <v>0</v>
      </c>
      <c r="AJ38" s="529">
        <v>0</v>
      </c>
      <c r="AK38" s="535">
        <v>0</v>
      </c>
    </row>
    <row r="39" spans="1:37" s="12" customFormat="1" ht="15.5">
      <c r="A39" s="48" t="s">
        <v>9</v>
      </c>
      <c r="B39" s="529">
        <v>34.905500000000004</v>
      </c>
      <c r="C39" s="529">
        <v>45.531300000000002</v>
      </c>
      <c r="D39" s="529">
        <v>45.762</v>
      </c>
      <c r="E39" s="529">
        <v>45.210999999999999</v>
      </c>
      <c r="F39" s="529">
        <v>48.283050000000003</v>
      </c>
      <c r="G39" s="529">
        <v>41.542200000000001</v>
      </c>
      <c r="H39" s="529">
        <v>46.328799999999994</v>
      </c>
      <c r="I39" s="529">
        <v>46.331950000000006</v>
      </c>
      <c r="J39" s="529">
        <v>46.671500000000002</v>
      </c>
      <c r="K39" s="529">
        <v>51.676000000000002</v>
      </c>
      <c r="L39" s="529">
        <v>50.990850000000002</v>
      </c>
      <c r="M39" s="529">
        <v>54.472549999999998</v>
      </c>
      <c r="N39" s="529">
        <v>48.315350000000009</v>
      </c>
      <c r="O39" s="529">
        <v>47.078950000000006</v>
      </c>
      <c r="P39" s="529">
        <v>54.149500000000003</v>
      </c>
      <c r="Q39" s="529">
        <v>48.610649999999993</v>
      </c>
      <c r="R39" s="529">
        <v>50.813800000000001</v>
      </c>
      <c r="S39" s="529">
        <v>47.898949999999999</v>
      </c>
      <c r="T39" s="529">
        <v>58.163950000000007</v>
      </c>
      <c r="U39" s="529">
        <v>69.255420000000001</v>
      </c>
      <c r="V39" s="529">
        <v>76.964370000000002</v>
      </c>
      <c r="W39" s="529">
        <v>82.961460000000002</v>
      </c>
      <c r="X39" s="529">
        <v>92.222399999999993</v>
      </c>
      <c r="Y39" s="529">
        <v>112.00839999999999</v>
      </c>
      <c r="Z39" s="529">
        <v>120.679</v>
      </c>
      <c r="AA39" s="529">
        <v>108.9041</v>
      </c>
      <c r="AB39" s="529">
        <v>108.02200000000001</v>
      </c>
      <c r="AC39" s="529">
        <v>103.91409999999999</v>
      </c>
      <c r="AD39" s="529">
        <v>114.46473999999999</v>
      </c>
      <c r="AE39" s="529">
        <v>115.84699999999998</v>
      </c>
      <c r="AF39" s="529">
        <f t="shared" ref="AF39:AK39" si="8">AF6+AF10+AF11+AF12+AF13+AF38</f>
        <v>116.91475732772005</v>
      </c>
      <c r="AG39" s="529">
        <f t="shared" si="8"/>
        <v>116.33898000000001</v>
      </c>
      <c r="AH39" s="529">
        <f t="shared" si="8"/>
        <v>100.46600000000001</v>
      </c>
      <c r="AI39" s="529">
        <f t="shared" si="8"/>
        <v>116.57860000000001</v>
      </c>
      <c r="AJ39" s="529">
        <f>AJ6+AJ10+AJ11+AJ12+AJ13+AJ38</f>
        <v>134.35750999999999</v>
      </c>
      <c r="AK39" s="535">
        <f t="shared" si="8"/>
        <v>132.32645825845918</v>
      </c>
    </row>
    <row r="40" spans="1:37" ht="33" customHeight="1">
      <c r="A40" s="1073" t="s">
        <v>360</v>
      </c>
      <c r="B40" s="1073"/>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3"/>
      <c r="Y40" s="1073"/>
      <c r="Z40" s="1073"/>
      <c r="AA40" s="1073"/>
      <c r="AB40" s="1073"/>
      <c r="AC40" s="1073"/>
      <c r="AD40" s="1073"/>
      <c r="AE40" s="1073"/>
      <c r="AF40"/>
      <c r="AG40"/>
      <c r="AH40"/>
      <c r="AI40"/>
      <c r="AJ40"/>
      <c r="AK40"/>
    </row>
    <row r="42" spans="1:37">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row>
    <row r="43" spans="1:37" ht="15.5">
      <c r="A43" s="47" t="s">
        <v>797</v>
      </c>
      <c r="Z43" s="147"/>
    </row>
    <row r="44" spans="1:37" ht="15.5">
      <c r="A44" s="1071" t="s">
        <v>53</v>
      </c>
      <c r="B44" s="72">
        <v>1990</v>
      </c>
      <c r="C44" s="73">
        <v>1991</v>
      </c>
      <c r="D44" s="73">
        <v>1992</v>
      </c>
      <c r="E44" s="73">
        <v>1993</v>
      </c>
      <c r="F44" s="73">
        <v>1994</v>
      </c>
      <c r="G44" s="67">
        <v>1995</v>
      </c>
      <c r="H44" s="73">
        <v>1996</v>
      </c>
      <c r="I44" s="73">
        <v>1997</v>
      </c>
      <c r="J44" s="73">
        <v>1998</v>
      </c>
      <c r="K44" s="73">
        <v>1999</v>
      </c>
      <c r="L44" s="67">
        <v>2000</v>
      </c>
      <c r="M44" s="73">
        <v>2001</v>
      </c>
      <c r="N44" s="73">
        <v>2002</v>
      </c>
      <c r="O44" s="73">
        <v>2003</v>
      </c>
      <c r="P44" s="73">
        <v>2004</v>
      </c>
      <c r="Q44" s="67">
        <v>2005</v>
      </c>
      <c r="R44" s="67">
        <v>2006</v>
      </c>
      <c r="S44" s="67">
        <v>2007</v>
      </c>
      <c r="T44" s="67">
        <v>2008</v>
      </c>
      <c r="U44" s="67">
        <v>2009</v>
      </c>
      <c r="V44" s="67">
        <v>2010</v>
      </c>
      <c r="W44" s="67">
        <v>2011</v>
      </c>
      <c r="X44" s="67">
        <v>2012</v>
      </c>
      <c r="Y44" s="67">
        <v>2013</v>
      </c>
      <c r="Z44" s="67">
        <v>2014</v>
      </c>
      <c r="AA44" s="67">
        <v>2015</v>
      </c>
      <c r="AB44" s="67">
        <v>2016</v>
      </c>
      <c r="AC44" s="67">
        <v>2017</v>
      </c>
      <c r="AD44" s="67">
        <v>2018</v>
      </c>
      <c r="AE44" s="67">
        <v>2019</v>
      </c>
      <c r="AF44" s="67">
        <v>2020</v>
      </c>
      <c r="AG44" s="67">
        <v>2021</v>
      </c>
      <c r="AH44" s="67">
        <v>2022</v>
      </c>
      <c r="AI44" s="67">
        <v>2023</v>
      </c>
      <c r="AJ44" s="67">
        <v>2024</v>
      </c>
      <c r="AK44" s="799">
        <v>2025</v>
      </c>
    </row>
    <row r="45" spans="1:37" ht="15.5">
      <c r="A45" s="1072"/>
      <c r="B45" s="74" t="s">
        <v>148</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row>
    <row r="46" spans="1:37" ht="15.5">
      <c r="A46" s="48" t="s">
        <v>1</v>
      </c>
      <c r="B46" s="150">
        <v>18.966000000000001</v>
      </c>
      <c r="C46" s="151" t="s">
        <v>149</v>
      </c>
      <c r="D46" s="151" t="s">
        <v>149</v>
      </c>
      <c r="E46" s="151" t="s">
        <v>149</v>
      </c>
      <c r="F46" s="151" t="s">
        <v>149</v>
      </c>
      <c r="G46" s="150">
        <v>20.073</v>
      </c>
      <c r="H46" s="151" t="s">
        <v>149</v>
      </c>
      <c r="I46" s="151" t="s">
        <v>149</v>
      </c>
      <c r="J46" s="151" t="s">
        <v>149</v>
      </c>
      <c r="K46" s="151" t="s">
        <v>149</v>
      </c>
      <c r="L46" s="150">
        <v>20.658300000000001</v>
      </c>
      <c r="M46" s="151" t="s">
        <v>149</v>
      </c>
      <c r="N46" s="151" t="s">
        <v>149</v>
      </c>
      <c r="O46" s="151" t="s">
        <v>149</v>
      </c>
      <c r="P46" s="151" t="s">
        <v>149</v>
      </c>
      <c r="Q46" s="150">
        <v>21.3428</v>
      </c>
      <c r="R46" s="150">
        <v>21.429099999999998</v>
      </c>
      <c r="S46" s="150">
        <v>21.4756</v>
      </c>
      <c r="T46" s="150">
        <v>21.640499999999999</v>
      </c>
      <c r="U46" s="150">
        <v>21.738499999999998</v>
      </c>
      <c r="V46" s="150">
        <v>21.8932</v>
      </c>
      <c r="W46" s="150">
        <v>22.109300000000001</v>
      </c>
      <c r="X46" s="150">
        <v>22.248999999999999</v>
      </c>
      <c r="Y46" s="150">
        <v>22.382899999999999</v>
      </c>
      <c r="Z46" s="150">
        <v>22.4345</v>
      </c>
      <c r="AA46" s="150">
        <v>22.560300000000002</v>
      </c>
      <c r="AB46" s="150">
        <v>22.658000000000001</v>
      </c>
      <c r="AC46" s="150">
        <v>22.837900000000001</v>
      </c>
      <c r="AD46" s="150">
        <v>22.910499999999999</v>
      </c>
      <c r="AE46" s="150">
        <v>22.9573</v>
      </c>
      <c r="AF46" s="150">
        <v>23.0809</v>
      </c>
      <c r="AG46" s="150">
        <v>23.147300000000001</v>
      </c>
      <c r="AH46" s="150">
        <v>23.209599999999998</v>
      </c>
      <c r="AI46" s="150">
        <v>24.209599999999998</v>
      </c>
      <c r="AJ46" s="150">
        <v>24.209599999999998</v>
      </c>
      <c r="AK46" s="311">
        <f>AJ46*(1+AJ46/AI46-1)</f>
        <v>24.209599999999998</v>
      </c>
    </row>
    <row r="47" spans="1:37" ht="15.5">
      <c r="A47" s="138" t="s">
        <v>424</v>
      </c>
      <c r="B47" s="152">
        <f>6.188/0.9855</f>
        <v>6.2790461694571276</v>
      </c>
      <c r="C47" s="151" t="s">
        <v>149</v>
      </c>
      <c r="D47" s="151" t="s">
        <v>149</v>
      </c>
      <c r="E47" s="151" t="s">
        <v>149</v>
      </c>
      <c r="F47" s="151" t="s">
        <v>149</v>
      </c>
      <c r="G47" s="150">
        <f>6.88/0.9855</f>
        <v>6.981227803145611</v>
      </c>
      <c r="H47" s="151" t="s">
        <v>149</v>
      </c>
      <c r="I47" s="151" t="s">
        <v>149</v>
      </c>
      <c r="J47" s="151" t="s">
        <v>149</v>
      </c>
      <c r="K47" s="151" t="s">
        <v>149</v>
      </c>
      <c r="L47" s="150">
        <v>7.0631000000000004</v>
      </c>
      <c r="M47" s="151" t="s">
        <v>149</v>
      </c>
      <c r="N47" s="151" t="s">
        <v>149</v>
      </c>
      <c r="O47" s="151" t="s">
        <v>149</v>
      </c>
      <c r="P47" s="151" t="s">
        <v>149</v>
      </c>
      <c r="Q47" s="150">
        <v>7.2111000000000001</v>
      </c>
      <c r="R47" s="150">
        <v>7.6590999999999996</v>
      </c>
      <c r="S47" s="150">
        <v>7.6590999999999996</v>
      </c>
      <c r="T47" s="150">
        <v>7.6590999999999996</v>
      </c>
      <c r="U47" s="150">
        <v>7.6590999999999996</v>
      </c>
      <c r="V47" s="150">
        <v>7.6590999999999996</v>
      </c>
      <c r="W47" s="150">
        <v>7.6590999999999996</v>
      </c>
      <c r="X47" s="150">
        <v>7.6691000000000003</v>
      </c>
      <c r="Y47" s="150">
        <v>7.6691000000000003</v>
      </c>
      <c r="Z47" s="150">
        <v>7.6691000000000003</v>
      </c>
      <c r="AA47" s="150">
        <v>7.6691000000000003</v>
      </c>
      <c r="AB47" s="150">
        <v>7.3785999999999996</v>
      </c>
      <c r="AC47" s="150">
        <v>7.3937999999999997</v>
      </c>
      <c r="AD47" s="150">
        <v>7.3937999999999997</v>
      </c>
      <c r="AE47" s="150">
        <v>7.3217999999999996</v>
      </c>
      <c r="AF47" s="150">
        <v>7.3285</v>
      </c>
      <c r="AG47" s="150">
        <v>7.2934999999999999</v>
      </c>
      <c r="AH47" s="150">
        <v>7.2979000000000003</v>
      </c>
      <c r="AI47" s="150">
        <v>8.2979000000000003</v>
      </c>
      <c r="AJ47" s="150">
        <v>8.2979000000000003</v>
      </c>
      <c r="AK47" s="311">
        <f>AJ47*(1+AJ47/AI47-1)</f>
        <v>8.2979000000000003</v>
      </c>
    </row>
    <row r="48" spans="1:37" ht="15.5">
      <c r="A48" s="48" t="s">
        <v>54</v>
      </c>
      <c r="B48" s="150">
        <f>0.003/0.99685</f>
        <v>3.0094798615639263E-3</v>
      </c>
      <c r="C48" s="151" t="s">
        <v>149</v>
      </c>
      <c r="D48" s="151" t="s">
        <v>149</v>
      </c>
      <c r="E48" s="151" t="s">
        <v>149</v>
      </c>
      <c r="F48" s="151" t="s">
        <v>149</v>
      </c>
      <c r="G48" s="150">
        <f>0.022/0.99685</f>
        <v>2.2069518984802125E-2</v>
      </c>
      <c r="H48" s="151" t="s">
        <v>149</v>
      </c>
      <c r="I48" s="151" t="s">
        <v>149</v>
      </c>
      <c r="J48" s="151" t="s">
        <v>149</v>
      </c>
      <c r="K48" s="151" t="s">
        <v>149</v>
      </c>
      <c r="L48" s="150">
        <v>0.36343500000000001</v>
      </c>
      <c r="M48" s="151" t="s">
        <v>149</v>
      </c>
      <c r="N48" s="151" t="s">
        <v>149</v>
      </c>
      <c r="O48" s="151" t="s">
        <v>149</v>
      </c>
      <c r="P48" s="151" t="s">
        <v>149</v>
      </c>
      <c r="Q48" s="150">
        <v>1.6389549999999999</v>
      </c>
      <c r="R48" s="150">
        <v>1.9082870000000001</v>
      </c>
      <c r="S48" s="150">
        <v>2.7141280000000001</v>
      </c>
      <c r="T48" s="150">
        <v>3.5375779999999999</v>
      </c>
      <c r="U48" s="150">
        <v>4.8979379999999999</v>
      </c>
      <c r="V48" s="150">
        <v>5.8142810000000003</v>
      </c>
      <c r="W48" s="150">
        <v>6.9361459999999999</v>
      </c>
      <c r="X48" s="150">
        <v>8.1194009999999999</v>
      </c>
      <c r="Y48" s="150">
        <v>8.5608080000000015</v>
      </c>
      <c r="Z48" s="150">
        <v>8.7030770000000004</v>
      </c>
      <c r="AA48" s="150">
        <v>9.1619440000000001</v>
      </c>
      <c r="AB48" s="150">
        <v>9.4099339999999998</v>
      </c>
      <c r="AC48" s="150">
        <v>9.7658559999999994</v>
      </c>
      <c r="AD48" s="150">
        <v>10.26469</v>
      </c>
      <c r="AE48" s="150">
        <v>10.714754000000001</v>
      </c>
      <c r="AF48" s="150">
        <v>10.906855999999999</v>
      </c>
      <c r="AG48" s="150">
        <v>11.289804999999999</v>
      </c>
      <c r="AH48" s="150">
        <v>11.85843</v>
      </c>
      <c r="AI48" s="150">
        <v>12.335542999999999</v>
      </c>
      <c r="AJ48" s="150">
        <v>12.9903</v>
      </c>
      <c r="AK48" s="654">
        <v>13.5253</v>
      </c>
    </row>
    <row r="49" spans="1:37" ht="15.5">
      <c r="A49" s="48" t="s">
        <v>55</v>
      </c>
      <c r="B49" s="150">
        <v>4.0000000000000001E-3</v>
      </c>
      <c r="C49" s="151" t="s">
        <v>149</v>
      </c>
      <c r="D49" s="151" t="s">
        <v>149</v>
      </c>
      <c r="E49" s="151" t="s">
        <v>149</v>
      </c>
      <c r="F49" s="151" t="s">
        <v>149</v>
      </c>
      <c r="G49" s="150">
        <v>1.6E-2</v>
      </c>
      <c r="H49" s="151" t="s">
        <v>149</v>
      </c>
      <c r="I49" s="151" t="s">
        <v>149</v>
      </c>
      <c r="J49" s="151" t="s">
        <v>149</v>
      </c>
      <c r="K49" s="151" t="s">
        <v>149</v>
      </c>
      <c r="L49" s="150">
        <v>1.9E-2</v>
      </c>
      <c r="M49" s="151" t="s">
        <v>149</v>
      </c>
      <c r="N49" s="151" t="s">
        <v>149</v>
      </c>
      <c r="O49" s="151" t="s">
        <v>149</v>
      </c>
      <c r="P49" s="151" t="s">
        <v>149</v>
      </c>
      <c r="Q49" s="150">
        <v>3.4000000000000002E-2</v>
      </c>
      <c r="R49" s="150">
        <v>4.4999999999999998E-2</v>
      </c>
      <c r="S49" s="150">
        <v>0.11</v>
      </c>
      <c r="T49" s="150">
        <v>0.48299999999999998</v>
      </c>
      <c r="U49" s="150">
        <v>1.264</v>
      </c>
      <c r="V49" s="150">
        <v>3.5920000000000001</v>
      </c>
      <c r="W49" s="150">
        <v>13.131</v>
      </c>
      <c r="X49" s="150">
        <v>16.785</v>
      </c>
      <c r="Y49" s="150">
        <v>18.185465000000001</v>
      </c>
      <c r="Z49" s="150">
        <v>18.594377000000001</v>
      </c>
      <c r="AA49" s="150">
        <v>18.892130000000002</v>
      </c>
      <c r="AB49" s="150">
        <v>19.283173000000001</v>
      </c>
      <c r="AC49" s="150">
        <v>19.682293000000001</v>
      </c>
      <c r="AD49" s="150">
        <v>20.107588</v>
      </c>
      <c r="AE49" s="150">
        <v>20.865275</v>
      </c>
      <c r="AF49" s="150">
        <v>21.650034999999999</v>
      </c>
      <c r="AG49" s="150">
        <v>22.594258999999997</v>
      </c>
      <c r="AH49" s="150">
        <v>25.063919000000002</v>
      </c>
      <c r="AI49" s="150">
        <v>30.319418000000002</v>
      </c>
      <c r="AJ49" s="150">
        <v>37.002139999999997</v>
      </c>
      <c r="AK49" s="654">
        <v>43.687139999999999</v>
      </c>
    </row>
    <row r="50" spans="1:37" ht="15.5">
      <c r="A50" s="48" t="s">
        <v>2</v>
      </c>
      <c r="B50" s="150">
        <v>0.51400000000000001</v>
      </c>
      <c r="C50" s="151" t="s">
        <v>149</v>
      </c>
      <c r="D50" s="151" t="s">
        <v>149</v>
      </c>
      <c r="E50" s="151" t="s">
        <v>149</v>
      </c>
      <c r="F50" s="151" t="s">
        <v>149</v>
      </c>
      <c r="G50" s="150">
        <v>0.495</v>
      </c>
      <c r="H50" s="151" t="s">
        <v>149</v>
      </c>
      <c r="I50" s="151" t="s">
        <v>149</v>
      </c>
      <c r="J50" s="151" t="s">
        <v>149</v>
      </c>
      <c r="K50" s="151" t="s">
        <v>149</v>
      </c>
      <c r="L50" s="150">
        <v>0.62649999999999995</v>
      </c>
      <c r="M50" s="151" t="s">
        <v>149</v>
      </c>
      <c r="N50" s="151" t="s">
        <v>149</v>
      </c>
      <c r="O50" s="151" t="s">
        <v>149</v>
      </c>
      <c r="P50" s="151" t="s">
        <v>149</v>
      </c>
      <c r="Q50" s="150">
        <v>0.71099999999999997</v>
      </c>
      <c r="R50" s="150">
        <v>0.71099999999999997</v>
      </c>
      <c r="S50" s="150">
        <v>0.71099999999999997</v>
      </c>
      <c r="T50" s="150">
        <v>0.71099999999999997</v>
      </c>
      <c r="U50" s="150">
        <v>0.73699999999999999</v>
      </c>
      <c r="V50" s="150">
        <v>0.77200000000000002</v>
      </c>
      <c r="W50" s="150">
        <v>0.77200000000000002</v>
      </c>
      <c r="X50" s="150">
        <v>0.77200000000000002</v>
      </c>
      <c r="Y50" s="150">
        <v>0.77298999999999995</v>
      </c>
      <c r="Z50" s="150">
        <v>0.82099</v>
      </c>
      <c r="AA50" s="150">
        <v>0.82099</v>
      </c>
      <c r="AB50" s="150">
        <v>0.81459000000000004</v>
      </c>
      <c r="AC50" s="150">
        <v>0.81308999999999998</v>
      </c>
      <c r="AD50" s="150">
        <v>0.81308999999999998</v>
      </c>
      <c r="AE50" s="150">
        <v>0.81308999999999998</v>
      </c>
      <c r="AF50" s="150">
        <v>0.81708999999999998</v>
      </c>
      <c r="AG50" s="150">
        <v>0.81708999999999998</v>
      </c>
      <c r="AH50" s="150">
        <v>0.81708999999999998</v>
      </c>
      <c r="AI50" s="150">
        <v>0.81708999999999998</v>
      </c>
      <c r="AJ50" s="150">
        <v>0.81708999999999998</v>
      </c>
      <c r="AK50" s="654">
        <v>0.82008999999999999</v>
      </c>
    </row>
    <row r="51" spans="1:37" ht="15.5">
      <c r="A51" s="48" t="s">
        <v>147</v>
      </c>
      <c r="B51" s="150">
        <f>B13/($L$13/$L$51)</f>
        <v>2.344727858828221E-2</v>
      </c>
      <c r="C51" s="151" t="s">
        <v>149</v>
      </c>
      <c r="D51" s="151" t="s">
        <v>149</v>
      </c>
      <c r="E51" s="151" t="s">
        <v>149</v>
      </c>
      <c r="F51" s="151" t="s">
        <v>149</v>
      </c>
      <c r="G51" s="150">
        <f>G13/($L$13/$L$51)</f>
        <v>0.13790642105612974</v>
      </c>
      <c r="H51" s="151" t="s">
        <v>149</v>
      </c>
      <c r="I51" s="151" t="s">
        <v>149</v>
      </c>
      <c r="J51" s="151" t="s">
        <v>149</v>
      </c>
      <c r="K51" s="151" t="s">
        <v>149</v>
      </c>
      <c r="L51" s="150">
        <v>0.685002</v>
      </c>
      <c r="M51" s="151" t="s">
        <v>149</v>
      </c>
      <c r="N51" s="151" t="s">
        <v>149</v>
      </c>
      <c r="O51" s="151" t="s">
        <v>149</v>
      </c>
      <c r="P51" s="151" t="s">
        <v>149</v>
      </c>
      <c r="Q51" s="150">
        <v>1.19485</v>
      </c>
      <c r="R51" s="150">
        <v>1.255525</v>
      </c>
      <c r="S51" s="150">
        <v>1.3368820000000001</v>
      </c>
      <c r="T51" s="150">
        <v>1.555342</v>
      </c>
      <c r="U51" s="150">
        <v>2.018554</v>
      </c>
      <c r="V51" s="150">
        <v>2.3515450000000002</v>
      </c>
      <c r="W51" s="150">
        <v>2.8253300000000001</v>
      </c>
      <c r="X51" s="150">
        <v>3.8015729999999999</v>
      </c>
      <c r="Y51" s="150">
        <v>4.0334219999999998</v>
      </c>
      <c r="Z51" s="150">
        <v>4.0436360000000002</v>
      </c>
      <c r="AA51" s="150">
        <v>4.0565369999999996</v>
      </c>
      <c r="AB51" s="150">
        <v>4.1240800000000002</v>
      </c>
      <c r="AC51" s="150">
        <v>4.1350340000000001</v>
      </c>
      <c r="AD51" s="150">
        <v>4.1803960000000009</v>
      </c>
      <c r="AE51" s="150">
        <v>4.1197410000000003</v>
      </c>
      <c r="AF51" s="150">
        <v>4.1059310000000009</v>
      </c>
      <c r="AG51" s="150">
        <v>4.1060245599999998</v>
      </c>
      <c r="AH51" s="150">
        <v>4.0500929999999995</v>
      </c>
      <c r="AI51" s="150">
        <v>4.0787599999999999</v>
      </c>
      <c r="AJ51" s="150">
        <v>4.0619750000000003</v>
      </c>
      <c r="AK51" s="654">
        <v>4.0493702911035054</v>
      </c>
    </row>
    <row r="52" spans="1:37" ht="15.5">
      <c r="A52" s="48" t="s">
        <v>9</v>
      </c>
      <c r="B52" s="153">
        <f>SUM(B46,B48:B51)</f>
        <v>19.510456758449848</v>
      </c>
      <c r="C52" s="154" t="s">
        <v>149</v>
      </c>
      <c r="D52" s="154" t="s">
        <v>149</v>
      </c>
      <c r="E52" s="154" t="s">
        <v>149</v>
      </c>
      <c r="F52" s="154" t="s">
        <v>149</v>
      </c>
      <c r="G52" s="153">
        <f>SUM(G46,G48:G51)</f>
        <v>20.743975940040933</v>
      </c>
      <c r="H52" s="154" t="s">
        <v>149</v>
      </c>
      <c r="I52" s="154" t="s">
        <v>149</v>
      </c>
      <c r="J52" s="154" t="s">
        <v>149</v>
      </c>
      <c r="K52" s="154" t="s">
        <v>149</v>
      </c>
      <c r="L52" s="153">
        <f>SUM(L46,L48:L51)</f>
        <v>22.352236999999999</v>
      </c>
      <c r="M52" s="154" t="s">
        <v>149</v>
      </c>
      <c r="N52" s="154" t="s">
        <v>149</v>
      </c>
      <c r="O52" s="154" t="s">
        <v>149</v>
      </c>
      <c r="P52" s="154" t="s">
        <v>149</v>
      </c>
      <c r="Q52" s="153">
        <f t="shared" ref="Q52:AE52" si="9">SUM(Q46,Q48:Q51)</f>
        <v>24.921604999999996</v>
      </c>
      <c r="R52" s="153">
        <f t="shared" si="9"/>
        <v>25.348911999999999</v>
      </c>
      <c r="S52" s="153">
        <f t="shared" si="9"/>
        <v>26.347609999999996</v>
      </c>
      <c r="T52" s="153">
        <f t="shared" si="9"/>
        <v>27.927419999999998</v>
      </c>
      <c r="U52" s="153">
        <f t="shared" si="9"/>
        <v>30.655991999999998</v>
      </c>
      <c r="V52" s="153">
        <f t="shared" si="9"/>
        <v>34.423026</v>
      </c>
      <c r="W52" s="153">
        <f t="shared" si="9"/>
        <v>45.773775999999998</v>
      </c>
      <c r="X52" s="153">
        <f t="shared" si="9"/>
        <v>51.726973999999998</v>
      </c>
      <c r="Y52" s="153">
        <f t="shared" si="9"/>
        <v>53.935585000000003</v>
      </c>
      <c r="Z52" s="153">
        <f t="shared" si="9"/>
        <v>54.596580000000003</v>
      </c>
      <c r="AA52" s="153">
        <f t="shared" si="9"/>
        <v>55.491901000000006</v>
      </c>
      <c r="AB52" s="153">
        <f t="shared" si="9"/>
        <v>56.289777000000001</v>
      </c>
      <c r="AC52" s="153">
        <f t="shared" si="9"/>
        <v>57.234173000000006</v>
      </c>
      <c r="AD52" s="153">
        <f t="shared" si="9"/>
        <v>58.276264000000005</v>
      </c>
      <c r="AE52" s="153">
        <f t="shared" si="9"/>
        <v>59.47016</v>
      </c>
      <c r="AF52" s="153">
        <f t="shared" ref="AF52:AK52" si="10">SUM(AF46,AF48:AF51)</f>
        <v>60.560811999999991</v>
      </c>
      <c r="AG52" s="153">
        <f t="shared" si="10"/>
        <v>61.954478559999998</v>
      </c>
      <c r="AH52" s="153">
        <f t="shared" si="10"/>
        <v>64.999132000000003</v>
      </c>
      <c r="AI52" s="153">
        <f t="shared" si="10"/>
        <v>71.760410999999991</v>
      </c>
      <c r="AJ52" s="153">
        <f>SUM(AJ46,AJ48:AJ51)</f>
        <v>79.081104999999994</v>
      </c>
      <c r="AK52" s="655">
        <f t="shared" si="10"/>
        <v>86.291500291103489</v>
      </c>
    </row>
    <row r="53" spans="1:37">
      <c r="B53" s="134"/>
    </row>
    <row r="54" spans="1:37">
      <c r="B54" s="90"/>
      <c r="G54" s="90"/>
      <c r="L54" s="90"/>
      <c r="Q54" s="147"/>
    </row>
    <row r="56" spans="1:37" ht="15.5">
      <c r="A56" s="47" t="s">
        <v>248</v>
      </c>
    </row>
    <row r="57" spans="1:37" ht="15.5">
      <c r="A57" s="1071" t="s">
        <v>53</v>
      </c>
      <c r="B57" s="72">
        <v>1990</v>
      </c>
      <c r="C57" s="73">
        <v>1991</v>
      </c>
      <c r="D57" s="73">
        <v>1992</v>
      </c>
      <c r="E57" s="73">
        <v>1993</v>
      </c>
      <c r="F57" s="73">
        <v>1994</v>
      </c>
      <c r="G57" s="67">
        <v>1995</v>
      </c>
      <c r="H57" s="73">
        <v>1996</v>
      </c>
      <c r="I57" s="73">
        <v>1997</v>
      </c>
      <c r="J57" s="73">
        <v>1998</v>
      </c>
      <c r="K57" s="73">
        <v>1999</v>
      </c>
      <c r="L57" s="67">
        <v>2000</v>
      </c>
      <c r="M57" s="73">
        <v>2001</v>
      </c>
      <c r="N57" s="73">
        <v>2002</v>
      </c>
      <c r="O57" s="73">
        <v>2003</v>
      </c>
      <c r="P57" s="73">
        <v>2004</v>
      </c>
      <c r="Q57" s="67">
        <v>2005</v>
      </c>
      <c r="R57" s="67">
        <v>2006</v>
      </c>
      <c r="S57" s="67">
        <v>2007</v>
      </c>
      <c r="T57" s="67">
        <v>2008</v>
      </c>
      <c r="U57" s="67">
        <v>2009</v>
      </c>
      <c r="V57" s="67">
        <v>2010</v>
      </c>
      <c r="W57" s="67">
        <v>2011</v>
      </c>
      <c r="X57" s="67">
        <v>2012</v>
      </c>
      <c r="Y57" s="67">
        <v>2013</v>
      </c>
      <c r="Z57" s="67">
        <v>2014</v>
      </c>
      <c r="AA57" s="67">
        <v>2015</v>
      </c>
      <c r="AB57" s="67">
        <v>2016</v>
      </c>
      <c r="AC57" s="67">
        <v>2017</v>
      </c>
      <c r="AD57" s="67">
        <v>2018</v>
      </c>
      <c r="AE57" s="67">
        <v>2019</v>
      </c>
      <c r="AF57" s="67">
        <v>2020</v>
      </c>
      <c r="AG57" s="67">
        <v>2021</v>
      </c>
      <c r="AH57" s="67">
        <v>2022</v>
      </c>
      <c r="AI57" s="67">
        <v>2023</v>
      </c>
      <c r="AJ57" s="67">
        <v>2024</v>
      </c>
      <c r="AK57" s="310">
        <v>2025</v>
      </c>
    </row>
    <row r="58" spans="1:37" ht="18">
      <c r="A58" s="1072"/>
      <c r="B58" s="87" t="s">
        <v>249</v>
      </c>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308"/>
    </row>
    <row r="59" spans="1:37" ht="15.5">
      <c r="A59" s="48" t="s">
        <v>327</v>
      </c>
      <c r="B59" s="259">
        <f t="shared" ref="B59:AF59" si="11">B6/(B46-B47)*1000</f>
        <v>2492.7969646947731</v>
      </c>
      <c r="C59" s="259"/>
      <c r="D59" s="259"/>
      <c r="E59" s="259"/>
      <c r="F59" s="259"/>
      <c r="G59" s="259">
        <f t="shared" si="11"/>
        <v>2885.8430647821492</v>
      </c>
      <c r="H59" s="259"/>
      <c r="I59" s="259"/>
      <c r="J59" s="259"/>
      <c r="K59" s="259"/>
      <c r="L59" s="259">
        <f t="shared" si="11"/>
        <v>3251.147463810757</v>
      </c>
      <c r="M59" s="259"/>
      <c r="N59" s="259"/>
      <c r="O59" s="259"/>
      <c r="P59" s="259"/>
      <c r="Q59" s="259">
        <f t="shared" si="11"/>
        <v>2552.1840967470293</v>
      </c>
      <c r="R59" s="259">
        <f t="shared" si="11"/>
        <v>2686.5940450254175</v>
      </c>
      <c r="S59" s="259">
        <f t="shared" si="11"/>
        <v>2375.0732819454993</v>
      </c>
      <c r="T59" s="259">
        <f t="shared" si="11"/>
        <v>2977.0266210822947</v>
      </c>
      <c r="U59" s="259">
        <f t="shared" si="11"/>
        <v>3490.0279841470519</v>
      </c>
      <c r="V59" s="259">
        <f t="shared" si="11"/>
        <v>3591.1494228648098</v>
      </c>
      <c r="W59" s="259">
        <f t="shared" si="11"/>
        <v>3171.0744487965562</v>
      </c>
      <c r="X59" s="259">
        <f t="shared" si="11"/>
        <v>2872.0978881885335</v>
      </c>
      <c r="Y59" s="259">
        <f t="shared" si="11"/>
        <v>3586.6601421794512</v>
      </c>
      <c r="Z59" s="259">
        <f t="shared" si="11"/>
        <v>3965.0398905549464</v>
      </c>
      <c r="AA59" s="259">
        <f t="shared" si="11"/>
        <v>3058.0006983990543</v>
      </c>
      <c r="AB59" s="259">
        <f t="shared" si="11"/>
        <v>2777.0593086115946</v>
      </c>
      <c r="AC59" s="259">
        <f t="shared" si="11"/>
        <v>2343.8529924048657</v>
      </c>
      <c r="AD59" s="259">
        <f t="shared" si="11"/>
        <v>3144.1311619094263</v>
      </c>
      <c r="AE59" s="259">
        <f t="shared" si="11"/>
        <v>2962.3932717214034</v>
      </c>
      <c r="AF59" s="259">
        <f t="shared" si="11"/>
        <v>3018.7009171757986</v>
      </c>
      <c r="AG59" s="259">
        <f>AG6/(AG46-AG47)*1000</f>
        <v>2862.916146286695</v>
      </c>
      <c r="AH59" s="259">
        <f>AH6/(AH46-AH47)*1000</f>
        <v>1784.6993093132726</v>
      </c>
      <c r="AI59" s="259">
        <f>AI6/(AI46-AI47)*1000</f>
        <v>2546.3841072921191</v>
      </c>
      <c r="AJ59" s="259">
        <f>AJ6/(AJ46-AJ47)*1000</f>
        <v>3339.1026728759343</v>
      </c>
      <c r="AK59" s="312">
        <f>AK6/(AK46-AK47)*1000</f>
        <v>2637.0307908978607</v>
      </c>
    </row>
    <row r="60" spans="1:37" ht="15.5">
      <c r="A60" s="48" t="s">
        <v>54</v>
      </c>
      <c r="B60" s="259">
        <f t="shared" ref="B60:AF60" si="12">B10/B48*1000</f>
        <v>664.56666666666661</v>
      </c>
      <c r="C60" s="259"/>
      <c r="D60" s="259"/>
      <c r="E60" s="259"/>
      <c r="F60" s="259"/>
      <c r="G60" s="259">
        <f t="shared" si="12"/>
        <v>448.58250000000004</v>
      </c>
      <c r="H60" s="259"/>
      <c r="I60" s="259"/>
      <c r="J60" s="259"/>
      <c r="K60" s="259"/>
      <c r="L60" s="259">
        <f t="shared" si="12"/>
        <v>1549.3829708200917</v>
      </c>
      <c r="M60" s="259"/>
      <c r="N60" s="259"/>
      <c r="O60" s="259"/>
      <c r="P60" s="259"/>
      <c r="Q60" s="259">
        <f t="shared" si="12"/>
        <v>1429.8135092177638</v>
      </c>
      <c r="R60" s="259">
        <f t="shared" si="12"/>
        <v>1556.7364867024717</v>
      </c>
      <c r="S60" s="259">
        <f t="shared" si="12"/>
        <v>1486.4442649720277</v>
      </c>
      <c r="T60" s="259">
        <f t="shared" si="12"/>
        <v>1374.1887811378292</v>
      </c>
      <c r="U60" s="259">
        <f t="shared" si="12"/>
        <v>1335.8478608753314</v>
      </c>
      <c r="V60" s="259">
        <f t="shared" si="12"/>
        <v>1569.5663831865024</v>
      </c>
      <c r="W60" s="259">
        <f t="shared" si="12"/>
        <v>1421.0196844184075</v>
      </c>
      <c r="X60" s="259">
        <f t="shared" si="12"/>
        <v>1651.2424992927436</v>
      </c>
      <c r="Y60" s="259">
        <f t="shared" si="12"/>
        <v>1740.1394821610295</v>
      </c>
      <c r="Z60" s="259">
        <f t="shared" si="12"/>
        <v>1744.0153637615754</v>
      </c>
      <c r="AA60" s="259">
        <f t="shared" si="12"/>
        <v>1620.1692566555744</v>
      </c>
      <c r="AB60" s="259">
        <f t="shared" si="12"/>
        <v>1879.7900176558094</v>
      </c>
      <c r="AC60" s="259">
        <f t="shared" si="12"/>
        <v>1816.7275863989805</v>
      </c>
      <c r="AD60" s="259">
        <f t="shared" si="12"/>
        <v>1725.9556791291311</v>
      </c>
      <c r="AE60" s="259">
        <f t="shared" si="12"/>
        <v>1885.4375938075666</v>
      </c>
      <c r="AF60" s="259">
        <f t="shared" si="12"/>
        <v>1720.1617954798342</v>
      </c>
      <c r="AG60" s="259">
        <f t="shared" ref="AG60:AH63" si="13">AG10/AG48*1000</f>
        <v>1853.6458335639986</v>
      </c>
      <c r="AH60" s="259">
        <f t="shared" si="13"/>
        <v>1728.2388984039201</v>
      </c>
      <c r="AI60" s="259">
        <f t="shared" ref="AI60:AK63" si="14">AI10/AI48*1000</f>
        <v>1916.453941265496</v>
      </c>
      <c r="AJ60" s="259">
        <f t="shared" si="14"/>
        <v>1718.3513852643898</v>
      </c>
      <c r="AK60" s="312">
        <f t="shared" si="14"/>
        <v>1596.2249547108333</v>
      </c>
    </row>
    <row r="61" spans="1:37" ht="15.5">
      <c r="A61" s="48" t="s">
        <v>55</v>
      </c>
      <c r="B61" s="259">
        <f t="shared" ref="B61:AF61" si="15">B11/B49*1000</f>
        <v>1000</v>
      </c>
      <c r="C61" s="259"/>
      <c r="D61" s="259"/>
      <c r="E61" s="259"/>
      <c r="F61" s="259"/>
      <c r="G61" s="259">
        <f t="shared" si="15"/>
        <v>812.5</v>
      </c>
      <c r="H61" s="259"/>
      <c r="I61" s="259"/>
      <c r="J61" s="259"/>
      <c r="K61" s="259"/>
      <c r="L61" s="259">
        <f t="shared" si="15"/>
        <v>947.36842105263156</v>
      </c>
      <c r="M61" s="259"/>
      <c r="N61" s="259"/>
      <c r="O61" s="259"/>
      <c r="P61" s="259"/>
      <c r="Q61" s="259">
        <f t="shared" si="15"/>
        <v>911.76470588235293</v>
      </c>
      <c r="R61" s="259">
        <f t="shared" si="15"/>
        <v>777.77777777777794</v>
      </c>
      <c r="S61" s="259">
        <f t="shared" si="15"/>
        <v>354.54545454545456</v>
      </c>
      <c r="T61" s="259">
        <f t="shared" si="15"/>
        <v>399.5859213250518</v>
      </c>
      <c r="U61" s="259">
        <f t="shared" si="15"/>
        <v>535.20569620253161</v>
      </c>
      <c r="V61" s="259">
        <f t="shared" si="15"/>
        <v>530.54008908685967</v>
      </c>
      <c r="W61" s="259">
        <f t="shared" si="15"/>
        <v>822.15368212626606</v>
      </c>
      <c r="X61" s="259">
        <f t="shared" si="15"/>
        <v>1123.723562704796</v>
      </c>
      <c r="Y61" s="259">
        <f t="shared" si="15"/>
        <v>1187.1348904193542</v>
      </c>
      <c r="Z61" s="259">
        <f t="shared" si="15"/>
        <v>1199.6314799898914</v>
      </c>
      <c r="AA61" s="259">
        <f t="shared" si="15"/>
        <v>1214.3786857278665</v>
      </c>
      <c r="AB61" s="259">
        <f t="shared" si="15"/>
        <v>1146.2999372561765</v>
      </c>
      <c r="AC61" s="259">
        <f t="shared" si="15"/>
        <v>1238.5599584357371</v>
      </c>
      <c r="AD61" s="259">
        <f t="shared" si="15"/>
        <v>1126.6294097531736</v>
      </c>
      <c r="AE61" s="259">
        <f t="shared" si="15"/>
        <v>1135.3265173835475</v>
      </c>
      <c r="AF61" s="259">
        <f t="shared" si="15"/>
        <v>1152.0306549158006</v>
      </c>
      <c r="AG61" s="259">
        <f t="shared" si="13"/>
        <v>1108.2018666777258</v>
      </c>
      <c r="AH61" s="259">
        <f t="shared" si="13"/>
        <v>1121.9913374281173</v>
      </c>
      <c r="AI61" s="259">
        <f t="shared" si="14"/>
        <v>1012.9185197420345</v>
      </c>
      <c r="AJ61" s="259">
        <f t="shared" si="14"/>
        <v>972.73022587342246</v>
      </c>
      <c r="AK61" s="312">
        <f t="shared" si="14"/>
        <v>1030.0742964634444</v>
      </c>
    </row>
    <row r="62" spans="1:37" ht="15.5">
      <c r="A62" s="48" t="s">
        <v>2</v>
      </c>
      <c r="B62" s="259">
        <f t="shared" ref="B62:AF62" si="16">B12/B50*1000</f>
        <v>6268.4824902723731</v>
      </c>
      <c r="C62" s="259"/>
      <c r="D62" s="259"/>
      <c r="E62" s="259"/>
      <c r="F62" s="259"/>
      <c r="G62" s="259">
        <f t="shared" si="16"/>
        <v>6940.6060606060601</v>
      </c>
      <c r="H62" s="259"/>
      <c r="I62" s="259"/>
      <c r="J62" s="259"/>
      <c r="K62" s="259"/>
      <c r="L62" s="259">
        <f t="shared" si="16"/>
        <v>7510.2952913008776</v>
      </c>
      <c r="M62" s="259"/>
      <c r="N62" s="259"/>
      <c r="O62" s="259"/>
      <c r="P62" s="259"/>
      <c r="Q62" s="259">
        <f t="shared" si="16"/>
        <v>7488.7482419127982</v>
      </c>
      <c r="R62" s="259">
        <f t="shared" si="16"/>
        <v>7774.1209563994371</v>
      </c>
      <c r="S62" s="259">
        <f t="shared" si="16"/>
        <v>7832.7707454289748</v>
      </c>
      <c r="T62" s="259">
        <f t="shared" si="16"/>
        <v>7764.1350210970468</v>
      </c>
      <c r="U62" s="259">
        <f t="shared" si="16"/>
        <v>7248.0325644504746</v>
      </c>
      <c r="V62" s="259">
        <f t="shared" si="16"/>
        <v>6963.6010362694296</v>
      </c>
      <c r="W62" s="259">
        <f t="shared" si="16"/>
        <v>7324.2227979274612</v>
      </c>
      <c r="X62" s="259">
        <f t="shared" si="16"/>
        <v>7243.1347150259053</v>
      </c>
      <c r="Y62" s="259">
        <f t="shared" si="16"/>
        <v>7321.1813865638633</v>
      </c>
      <c r="Z62" s="259">
        <f t="shared" si="16"/>
        <v>7206.2997113241336</v>
      </c>
      <c r="AA62" s="259">
        <f t="shared" si="16"/>
        <v>7533.5874980206827</v>
      </c>
      <c r="AB62" s="259">
        <f t="shared" si="16"/>
        <v>7719.9572791220126</v>
      </c>
      <c r="AC62" s="259">
        <f t="shared" si="16"/>
        <v>7626.707990505357</v>
      </c>
      <c r="AD62" s="259">
        <f t="shared" si="16"/>
        <v>7508.8858551943813</v>
      </c>
      <c r="AE62" s="259">
        <f t="shared" si="16"/>
        <v>7471.3746325744996</v>
      </c>
      <c r="AF62" s="259">
        <f t="shared" si="16"/>
        <v>7375.0896474072633</v>
      </c>
      <c r="AG62" s="259">
        <f t="shared" si="13"/>
        <v>7237.6360009301306</v>
      </c>
      <c r="AH62" s="259">
        <f t="shared" si="13"/>
        <v>7143.5215214970203</v>
      </c>
      <c r="AI62" s="259">
        <f t="shared" si="14"/>
        <v>6966.4296466729484</v>
      </c>
      <c r="AJ62" s="259">
        <f t="shared" si="14"/>
        <v>6945.3793339778967</v>
      </c>
      <c r="AK62" s="312">
        <f t="shared" si="14"/>
        <v>6900.8152091138863</v>
      </c>
    </row>
    <row r="63" spans="1:37" ht="15.5">
      <c r="A63" s="48" t="s">
        <v>147</v>
      </c>
      <c r="B63" s="259">
        <f t="shared" ref="B63:AF63" si="17">B13/B51*1000</f>
        <v>2196.4169447680442</v>
      </c>
      <c r="C63" s="259"/>
      <c r="D63" s="259"/>
      <c r="E63" s="259"/>
      <c r="F63" s="259"/>
      <c r="G63" s="259">
        <f t="shared" si="17"/>
        <v>2196.4169447680442</v>
      </c>
      <c r="H63" s="259"/>
      <c r="I63" s="259"/>
      <c r="J63" s="259"/>
      <c r="K63" s="259"/>
      <c r="L63" s="259">
        <f t="shared" si="17"/>
        <v>2196.4169447680442</v>
      </c>
      <c r="M63" s="259"/>
      <c r="N63" s="259"/>
      <c r="O63" s="259"/>
      <c r="P63" s="259"/>
      <c r="Q63" s="259">
        <f t="shared" si="17"/>
        <v>4054.9441352471022</v>
      </c>
      <c r="R63" s="259">
        <f t="shared" si="17"/>
        <v>4210.4298998426957</v>
      </c>
      <c r="S63" s="259">
        <f t="shared" si="17"/>
        <v>4070.1049157666871</v>
      </c>
      <c r="T63" s="259">
        <f t="shared" si="17"/>
        <v>3836.0373474129806</v>
      </c>
      <c r="U63" s="259">
        <f t="shared" si="17"/>
        <v>3743.6303413235414</v>
      </c>
      <c r="V63" s="259">
        <f t="shared" si="17"/>
        <v>4014.4203066494574</v>
      </c>
      <c r="W63" s="259">
        <f t="shared" si="17"/>
        <v>3834.0300071142128</v>
      </c>
      <c r="X63" s="259">
        <f t="shared" si="17"/>
        <v>3284.6929415797094</v>
      </c>
      <c r="Y63" s="259">
        <f t="shared" si="17"/>
        <v>4237.1465222334782</v>
      </c>
      <c r="Z63" s="259">
        <f t="shared" si="17"/>
        <v>4632.6128266738151</v>
      </c>
      <c r="AA63" s="259">
        <f t="shared" si="17"/>
        <v>4781.3442845461541</v>
      </c>
      <c r="AB63" s="259">
        <f t="shared" si="17"/>
        <v>4730.4126011134595</v>
      </c>
      <c r="AC63" s="259">
        <f t="shared" si="17"/>
        <v>4686.3459889326177</v>
      </c>
      <c r="AD63" s="259">
        <f t="shared" si="17"/>
        <v>4581.5276830233297</v>
      </c>
      <c r="AE63" s="259">
        <f t="shared" si="17"/>
        <v>4748.5266670890223</v>
      </c>
      <c r="AF63" s="259">
        <f t="shared" si="17"/>
        <v>4781.8144045771833</v>
      </c>
      <c r="AG63" s="259">
        <f t="shared" si="13"/>
        <v>4644.5849802710391</v>
      </c>
      <c r="AH63" s="259">
        <f t="shared" si="13"/>
        <v>4349.4803699569375</v>
      </c>
      <c r="AI63" s="259">
        <f t="shared" si="14"/>
        <v>3927.0513587462851</v>
      </c>
      <c r="AJ63" s="259">
        <f t="shared" si="14"/>
        <v>4243.4308433705273</v>
      </c>
      <c r="AK63" s="312">
        <f t="shared" si="14"/>
        <v>4474.0547778355703</v>
      </c>
    </row>
    <row r="64" spans="1:37" ht="15.5">
      <c r="A64" s="48" t="s">
        <v>9</v>
      </c>
      <c r="B64" s="259">
        <f t="shared" ref="B64:AD64" si="18">B39/B52*1000</f>
        <v>1789.0662649341955</v>
      </c>
      <c r="C64" s="259"/>
      <c r="D64" s="259"/>
      <c r="E64" s="259"/>
      <c r="F64" s="259"/>
      <c r="G64" s="259">
        <f t="shared" si="18"/>
        <v>2002.6151264383905</v>
      </c>
      <c r="H64" s="259"/>
      <c r="I64" s="259"/>
      <c r="J64" s="259"/>
      <c r="K64" s="259"/>
      <c r="L64" s="259">
        <f t="shared" si="18"/>
        <v>2281.2414703727418</v>
      </c>
      <c r="M64" s="259"/>
      <c r="N64" s="259"/>
      <c r="O64" s="259"/>
      <c r="P64" s="259"/>
      <c r="Q64" s="259">
        <f t="shared" si="18"/>
        <v>1950.5425112066418</v>
      </c>
      <c r="R64" s="259">
        <f t="shared" si="18"/>
        <v>2004.5751865011011</v>
      </c>
      <c r="S64" s="259">
        <f t="shared" si="18"/>
        <v>1817.9618568818958</v>
      </c>
      <c r="T64" s="259">
        <f t="shared" si="18"/>
        <v>2082.6825392392138</v>
      </c>
      <c r="U64" s="259">
        <f t="shared" si="18"/>
        <v>2259.1152816062845</v>
      </c>
      <c r="V64" s="259">
        <f t="shared" si="18"/>
        <v>2235.8397544713239</v>
      </c>
      <c r="W64" s="259">
        <f t="shared" si="18"/>
        <v>1812.4233403859889</v>
      </c>
      <c r="X64" s="259">
        <f t="shared" si="18"/>
        <v>1782.8686441236637</v>
      </c>
      <c r="Y64" s="259">
        <f t="shared" si="18"/>
        <v>2076.7068717248549</v>
      </c>
      <c r="Z64" s="259">
        <f t="shared" si="18"/>
        <v>2210.3765473954595</v>
      </c>
      <c r="AA64" s="259">
        <f t="shared" si="18"/>
        <v>1962.5224228667169</v>
      </c>
      <c r="AB64" s="259">
        <f t="shared" si="18"/>
        <v>1919.0340725634783</v>
      </c>
      <c r="AC64" s="259">
        <f t="shared" si="18"/>
        <v>1815.5953786560344</v>
      </c>
      <c r="AD64" s="259">
        <f t="shared" si="18"/>
        <v>1964.174299162348</v>
      </c>
      <c r="AE64" s="259">
        <f t="shared" ref="AE64:AK64" si="19">AE39/AE52*1000</f>
        <v>1947.9853425650776</v>
      </c>
      <c r="AF64" s="259">
        <f t="shared" si="19"/>
        <v>1930.5348370778131</v>
      </c>
      <c r="AG64" s="259">
        <f t="shared" si="19"/>
        <v>1877.8138837425802</v>
      </c>
      <c r="AH64" s="259">
        <f t="shared" si="19"/>
        <v>1545.6514096219009</v>
      </c>
      <c r="AI64" s="259">
        <f t="shared" si="19"/>
        <v>1624.553125817521</v>
      </c>
      <c r="AJ64" s="259">
        <f t="shared" si="19"/>
        <v>1698.9837205739602</v>
      </c>
      <c r="AK64" s="312">
        <f t="shared" si="19"/>
        <v>1533.4819514327278</v>
      </c>
    </row>
    <row r="65" spans="2:37">
      <c r="B65" s="170"/>
      <c r="AA65" s="170"/>
    </row>
    <row r="67" spans="2:37">
      <c r="Q67" s="147"/>
      <c r="R67" s="147"/>
      <c r="S67" s="147"/>
      <c r="T67" s="147"/>
      <c r="U67" s="147"/>
      <c r="V67" s="147"/>
      <c r="W67" s="147"/>
      <c r="X67" s="147"/>
      <c r="Y67" s="147"/>
      <c r="Z67" s="147"/>
      <c r="AA67" s="147"/>
      <c r="AB67" s="147"/>
      <c r="AC67" s="147"/>
      <c r="AD67" s="305"/>
      <c r="AE67" s="305"/>
      <c r="AF67" s="305"/>
      <c r="AG67" s="305"/>
      <c r="AH67" s="305"/>
      <c r="AI67" s="305"/>
      <c r="AJ67" s="305"/>
      <c r="AK67" s="305"/>
    </row>
    <row r="68" spans="2:37">
      <c r="Q68" s="170"/>
      <c r="R68" s="170"/>
      <c r="S68" s="170"/>
      <c r="T68" s="170"/>
      <c r="U68" s="170"/>
      <c r="V68" s="170"/>
      <c r="W68" s="170"/>
      <c r="X68" s="170"/>
      <c r="Y68" s="170"/>
      <c r="Z68" s="170"/>
      <c r="AA68" s="170"/>
      <c r="AB68" s="170"/>
      <c r="AC68" s="170"/>
      <c r="AD68" s="309"/>
      <c r="AE68" s="309"/>
      <c r="AF68" s="309"/>
      <c r="AG68" s="309"/>
      <c r="AH68" s="309"/>
      <c r="AI68" s="309"/>
      <c r="AJ68" s="309"/>
      <c r="AK68" s="309"/>
    </row>
    <row r="69" spans="2:37">
      <c r="B69" s="178"/>
      <c r="C69" s="178"/>
      <c r="D69" s="178"/>
      <c r="E69" s="178"/>
      <c r="F69" s="178"/>
      <c r="G69" s="178"/>
      <c r="H69" s="178"/>
      <c r="I69" s="178"/>
      <c r="J69" s="178"/>
      <c r="K69" s="178"/>
      <c r="L69" s="178"/>
      <c r="M69" s="178"/>
      <c r="N69" s="178"/>
      <c r="O69" s="178"/>
      <c r="P69" s="178"/>
    </row>
    <row r="70" spans="2:37">
      <c r="Q70" s="177"/>
    </row>
  </sheetData>
  <sheetProtection algorithmName="SHA-512" hashValue="CAxaJ+Kq5TupuoZRIIyVU0gTdP84i/TvprgAHDBJhyDmst6sGt5JAWkXDVPB2DPpNrnHPEDliIV/8W+MYG1ACw==" saltValue="7l9YtZgA9XIDO4ba6EGfZg==" spinCount="100000" sheet="1" objects="1" scenarios="1"/>
  <mergeCells count="4">
    <mergeCell ref="A4:A5"/>
    <mergeCell ref="A44:A45"/>
    <mergeCell ref="A57:A58"/>
    <mergeCell ref="A40:AE40"/>
  </mergeCells>
  <hyperlinks>
    <hyperlink ref="A1" location="Indice!A1" display="Torna indietro" xr:uid="{36D23C3C-9692-4CA8-9FD0-8EF38FC6241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2"/>
  <dimension ref="A1:L239"/>
  <sheetViews>
    <sheetView showGridLines="0" zoomScaleNormal="100" workbookViewId="0"/>
  </sheetViews>
  <sheetFormatPr defaultRowHeight="14.5"/>
  <cols>
    <col min="1" max="1" width="37.453125" style="689" bestFit="1" customWidth="1"/>
    <col min="2" max="2" width="16.453125" bestFit="1" customWidth="1"/>
    <col min="3" max="3" width="16.54296875" customWidth="1"/>
    <col min="4" max="4" width="10.453125" bestFit="1" customWidth="1"/>
    <col min="5" max="5" width="18.1796875" bestFit="1" customWidth="1"/>
    <col min="6" max="6" width="10.81640625" bestFit="1" customWidth="1"/>
    <col min="7" max="7" width="17.1796875" bestFit="1" customWidth="1"/>
    <col min="8" max="8" width="9.1796875" customWidth="1"/>
    <col min="9" max="9" width="11.1796875" bestFit="1" customWidth="1"/>
    <col min="11" max="11" width="9.1796875" customWidth="1"/>
  </cols>
  <sheetData>
    <row r="1" spans="1:9" ht="15.5">
      <c r="A1" s="108" t="s">
        <v>694</v>
      </c>
      <c r="B1" s="546"/>
      <c r="C1" s="108"/>
      <c r="H1" s="12"/>
    </row>
    <row r="2" spans="1:9" ht="15.5">
      <c r="H2" s="12"/>
    </row>
    <row r="3" spans="1:9" s="12" customFormat="1" ht="27" customHeight="1" thickBot="1">
      <c r="A3" s="1078" t="s">
        <v>583</v>
      </c>
      <c r="B3" s="1078"/>
      <c r="C3" s="1078"/>
      <c r="D3" s="1078"/>
      <c r="E3" s="1078"/>
      <c r="F3" s="1078"/>
      <c r="I3"/>
    </row>
    <row r="4" spans="1:9" s="12" customFormat="1" ht="18.5">
      <c r="A4" s="1079" t="s">
        <v>6</v>
      </c>
      <c r="B4" s="29" t="s">
        <v>42</v>
      </c>
      <c r="C4" s="1076" t="s">
        <v>47</v>
      </c>
      <c r="D4" s="23" t="s">
        <v>42</v>
      </c>
      <c r="E4" s="22" t="s">
        <v>43</v>
      </c>
      <c r="F4" s="24" t="s">
        <v>44</v>
      </c>
      <c r="I4"/>
    </row>
    <row r="5" spans="1:9" s="12" customFormat="1" ht="16" thickBot="1">
      <c r="A5" s="1080"/>
      <c r="B5" s="30" t="s">
        <v>30</v>
      </c>
      <c r="C5" s="1077"/>
      <c r="D5" s="1083"/>
      <c r="E5" s="1083"/>
      <c r="F5" s="1084"/>
      <c r="I5"/>
    </row>
    <row r="6" spans="1:9" s="12" customFormat="1" ht="16.5" customHeight="1">
      <c r="A6" s="684" t="s">
        <v>31</v>
      </c>
      <c r="B6" s="31">
        <v>56.1</v>
      </c>
      <c r="C6" s="35">
        <v>0.995</v>
      </c>
      <c r="D6" s="36">
        <v>55.819499999999998</v>
      </c>
      <c r="E6" s="35">
        <v>1.9280669314499999</v>
      </c>
      <c r="F6" s="31">
        <v>2.337050826</v>
      </c>
      <c r="I6"/>
    </row>
    <row r="7" spans="1:9" s="12" customFormat="1" ht="15.5">
      <c r="A7" s="684" t="s">
        <v>36</v>
      </c>
      <c r="B7" s="32">
        <v>56.1</v>
      </c>
      <c r="C7" s="110">
        <v>1</v>
      </c>
      <c r="D7" s="36">
        <v>56.1</v>
      </c>
      <c r="E7" s="35">
        <v>1.93198331189952</v>
      </c>
      <c r="F7" s="31">
        <v>2.3487947999999998</v>
      </c>
      <c r="I7"/>
    </row>
    <row r="8" spans="1:9" s="12" customFormat="1" ht="15.5">
      <c r="A8" s="684" t="s">
        <v>32</v>
      </c>
      <c r="B8" s="31">
        <v>54.3</v>
      </c>
      <c r="C8" s="35">
        <v>1</v>
      </c>
      <c r="D8" s="43">
        <v>54.3</v>
      </c>
      <c r="E8" s="35">
        <v>1.9633964665985997</v>
      </c>
      <c r="F8" s="31">
        <v>2.2734323999999999</v>
      </c>
      <c r="I8"/>
    </row>
    <row r="9" spans="1:9" s="12" customFormat="1" ht="16" thickBot="1">
      <c r="A9" s="683" t="s">
        <v>33</v>
      </c>
      <c r="B9" s="33">
        <v>58.3</v>
      </c>
      <c r="C9" s="34">
        <v>1</v>
      </c>
      <c r="D9" s="13">
        <v>58.3</v>
      </c>
      <c r="E9" s="34">
        <v>1.9452677775101996</v>
      </c>
      <c r="F9" s="33">
        <v>2.4409043999999995</v>
      </c>
      <c r="I9"/>
    </row>
    <row r="10" spans="1:9" s="12" customFormat="1" ht="15.5">
      <c r="A10" s="685" t="s">
        <v>34</v>
      </c>
      <c r="B10" s="122"/>
      <c r="C10" s="18"/>
      <c r="D10" s="91"/>
      <c r="E10" s="18"/>
      <c r="F10" s="15"/>
      <c r="I10"/>
    </row>
    <row r="11" spans="1:9" s="12" customFormat="1" ht="15.5">
      <c r="A11" s="684">
        <v>1990</v>
      </c>
      <c r="B11" s="32">
        <v>56.102763951394593</v>
      </c>
      <c r="C11" s="35">
        <v>0.995</v>
      </c>
      <c r="D11" s="36">
        <v>55.822250131637617</v>
      </c>
      <c r="E11" s="35">
        <v>1.9345016578934173</v>
      </c>
      <c r="F11" s="31">
        <v>2.3371659685114037</v>
      </c>
      <c r="I11"/>
    </row>
    <row r="12" spans="1:9" s="12" customFormat="1" ht="15.5">
      <c r="A12" s="684">
        <v>1995</v>
      </c>
      <c r="B12" s="32">
        <v>56.235789087359372</v>
      </c>
      <c r="C12" s="35">
        <v>0.995</v>
      </c>
      <c r="D12" s="36">
        <v>55.954610141922572</v>
      </c>
      <c r="E12" s="35">
        <v>1.9471049789066097</v>
      </c>
      <c r="F12" s="31">
        <v>2.3427076174220147</v>
      </c>
      <c r="I12"/>
    </row>
    <row r="13" spans="1:9" s="12" customFormat="1" ht="15.5">
      <c r="A13" s="684">
        <v>2000</v>
      </c>
      <c r="B13" s="32">
        <v>56.414732919230282</v>
      </c>
      <c r="C13" s="35">
        <v>0.99722222222222212</v>
      </c>
      <c r="D13" s="36">
        <v>56.258025327787969</v>
      </c>
      <c r="E13" s="35">
        <v>1.955117730003973</v>
      </c>
      <c r="F13" s="31">
        <v>2.3554110044238268</v>
      </c>
      <c r="I13"/>
    </row>
    <row r="14" spans="1:9" s="12" customFormat="1" ht="15.5">
      <c r="A14" s="684">
        <v>2005</v>
      </c>
      <c r="B14" s="32">
        <v>56.475498382060366</v>
      </c>
      <c r="C14" s="35">
        <v>1</v>
      </c>
      <c r="D14" s="36">
        <v>56.475498382060366</v>
      </c>
      <c r="E14" s="35">
        <v>1.9775990279528981</v>
      </c>
      <c r="F14" s="31">
        <v>2.3645161662601031</v>
      </c>
      <c r="I14"/>
    </row>
    <row r="15" spans="1:9" s="12" customFormat="1" ht="15.5">
      <c r="A15" s="684">
        <v>2010</v>
      </c>
      <c r="B15" s="39">
        <f t="shared" ref="B15:B21" si="0">D15</f>
        <v>56.443723086262537</v>
      </c>
      <c r="C15" s="35">
        <v>1</v>
      </c>
      <c r="D15" s="36">
        <v>56.443723086262537</v>
      </c>
      <c r="E15" s="35">
        <v>1.9869393259377197</v>
      </c>
      <c r="F15" s="31">
        <v>2.3631857981756399</v>
      </c>
      <c r="G15" s="66"/>
      <c r="I15"/>
    </row>
    <row r="16" spans="1:9" s="12" customFormat="1" ht="15.5">
      <c r="A16" s="684" t="s">
        <v>92</v>
      </c>
      <c r="B16" s="39">
        <f t="shared" si="0"/>
        <v>57.945336367280483</v>
      </c>
      <c r="C16" s="35">
        <v>1</v>
      </c>
      <c r="D16" s="36">
        <v>57.945336367280483</v>
      </c>
      <c r="E16" s="35">
        <v>1.9869393259377199</v>
      </c>
      <c r="F16" s="31">
        <v>2.4260553430252991</v>
      </c>
      <c r="G16" s="66"/>
      <c r="I16"/>
    </row>
    <row r="17" spans="1:9" s="12" customFormat="1" ht="15.5">
      <c r="A17" s="684">
        <v>2015</v>
      </c>
      <c r="B17" s="39">
        <f t="shared" si="0"/>
        <v>56.268559037233914</v>
      </c>
      <c r="C17" s="35">
        <v>1</v>
      </c>
      <c r="D17" s="36">
        <v>56.268559037233914</v>
      </c>
      <c r="E17" s="35">
        <v>1.9762296316807231</v>
      </c>
      <c r="F17" s="31">
        <v>2.3558520297709094</v>
      </c>
      <c r="G17" s="66"/>
      <c r="I17"/>
    </row>
    <row r="18" spans="1:9" s="12" customFormat="1" ht="15.5">
      <c r="A18" s="684" t="s">
        <v>146</v>
      </c>
      <c r="B18" s="39">
        <f t="shared" si="0"/>
        <v>57.633008341954621</v>
      </c>
      <c r="C18" s="35">
        <v>1</v>
      </c>
      <c r="D18" s="36">
        <v>57.633008341954621</v>
      </c>
      <c r="E18" s="35">
        <v>1.9762296316807229</v>
      </c>
      <c r="F18" s="31">
        <v>2.4129787932609559</v>
      </c>
      <c r="G18" s="66"/>
      <c r="I18"/>
    </row>
    <row r="19" spans="1:9" s="12" customFormat="1" ht="15.5">
      <c r="A19" s="684">
        <v>2020</v>
      </c>
      <c r="B19" s="39">
        <f t="shared" si="0"/>
        <v>56.261822962663786</v>
      </c>
      <c r="C19" s="35">
        <v>1</v>
      </c>
      <c r="D19" s="36">
        <v>56.261822962663786</v>
      </c>
      <c r="E19" s="35">
        <v>1.9857423274803332</v>
      </c>
      <c r="F19" s="31">
        <v>2.3555700038008074</v>
      </c>
      <c r="G19" s="66"/>
      <c r="I19"/>
    </row>
    <row r="20" spans="1:9" s="12" customFormat="1" ht="15.5">
      <c r="A20" s="684" t="s">
        <v>399</v>
      </c>
      <c r="B20" s="39">
        <f t="shared" si="0"/>
        <v>57.910428165837715</v>
      </c>
      <c r="C20" s="35">
        <v>1</v>
      </c>
      <c r="D20" s="36">
        <v>57.910428165837715</v>
      </c>
      <c r="E20" s="35">
        <v>1.985742327480333</v>
      </c>
      <c r="F20" s="31">
        <v>2.4245938064472932</v>
      </c>
      <c r="G20" s="66"/>
      <c r="I20"/>
    </row>
    <row r="21" spans="1:9" s="12" customFormat="1" ht="15.5">
      <c r="A21" s="684">
        <v>2021</v>
      </c>
      <c r="B21" s="39">
        <f t="shared" si="0"/>
        <v>56.608462313804445</v>
      </c>
      <c r="C21" s="35">
        <v>1</v>
      </c>
      <c r="D21" s="36">
        <v>56.608462313804445</v>
      </c>
      <c r="E21" s="35">
        <v>2.0060999639434929</v>
      </c>
      <c r="F21" s="31">
        <v>2.3700831001543645</v>
      </c>
      <c r="G21" s="66"/>
      <c r="I21"/>
    </row>
    <row r="22" spans="1:9" s="12" customFormat="1" ht="15.5">
      <c r="A22" s="684" t="s">
        <v>425</v>
      </c>
      <c r="B22" s="39">
        <f t="shared" ref="B22:B28" si="1">D22</f>
        <v>58.504120221302905</v>
      </c>
      <c r="C22" s="35">
        <v>1</v>
      </c>
      <c r="D22" s="36">
        <v>58.504120221302905</v>
      </c>
      <c r="E22" s="35">
        <v>2.0060999639434924</v>
      </c>
      <c r="F22" s="31">
        <v>2.44945050542551</v>
      </c>
      <c r="G22" s="66"/>
      <c r="I22"/>
    </row>
    <row r="23" spans="1:9" s="12" customFormat="1" ht="15.5">
      <c r="A23" s="684">
        <v>2022</v>
      </c>
      <c r="B23" s="39">
        <f t="shared" si="1"/>
        <v>56.685172175267795</v>
      </c>
      <c r="C23" s="35">
        <v>1</v>
      </c>
      <c r="D23" s="36">
        <v>56.685172175267795</v>
      </c>
      <c r="E23" s="35">
        <v>2.0202894613566076</v>
      </c>
      <c r="F23" s="31">
        <v>2.3732947886341118</v>
      </c>
      <c r="G23" s="66"/>
      <c r="I23"/>
    </row>
    <row r="24" spans="1:9" s="12" customFormat="1" ht="15.75" customHeight="1">
      <c r="A24" s="684" t="s">
        <v>504</v>
      </c>
      <c r="B24" s="39">
        <f t="shared" si="1"/>
        <v>58.917930139780168</v>
      </c>
      <c r="C24" s="35">
        <v>1</v>
      </c>
      <c r="D24" s="36">
        <v>58.917930139780168</v>
      </c>
      <c r="E24" s="35">
        <v>2.0202894613566067</v>
      </c>
      <c r="F24" s="31">
        <v>2.4667758990923159</v>
      </c>
      <c r="G24" s="66"/>
      <c r="I24"/>
    </row>
    <row r="25" spans="1:9" s="12" customFormat="1" ht="15.75" customHeight="1">
      <c r="A25" s="684">
        <v>2023</v>
      </c>
      <c r="B25" s="39">
        <f t="shared" si="1"/>
        <v>56.895921536692072</v>
      </c>
      <c r="C25" s="35">
        <v>1</v>
      </c>
      <c r="D25" s="36">
        <v>56.895921536692072</v>
      </c>
      <c r="E25" s="35">
        <v>2.030130901259692</v>
      </c>
      <c r="F25" s="31">
        <v>2.3821184428982236</v>
      </c>
      <c r="G25" s="66"/>
      <c r="I25"/>
    </row>
    <row r="26" spans="1:9" s="12" customFormat="1" ht="15.75" customHeight="1">
      <c r="A26" s="684" t="s">
        <v>557</v>
      </c>
      <c r="B26" s="39">
        <f t="shared" si="1"/>
        <v>59.204937165147442</v>
      </c>
      <c r="C26" s="35">
        <v>1</v>
      </c>
      <c r="D26" s="36">
        <v>59.204937165147442</v>
      </c>
      <c r="E26" s="35">
        <v>2.030130901259692</v>
      </c>
      <c r="F26" s="31">
        <v>2.4787923092303932</v>
      </c>
      <c r="G26" s="66"/>
      <c r="I26"/>
    </row>
    <row r="27" spans="1:9" s="12" customFormat="1" ht="15.5">
      <c r="A27" s="684">
        <v>2024</v>
      </c>
      <c r="B27" s="39">
        <f t="shared" si="1"/>
        <v>56.790490657326096</v>
      </c>
      <c r="C27" s="35">
        <v>1</v>
      </c>
      <c r="D27" s="36">
        <v>56.790490657326096</v>
      </c>
      <c r="E27" s="35">
        <v>2.0261540119118533</v>
      </c>
      <c r="F27" s="31">
        <v>2.3777042628409286</v>
      </c>
      <c r="I27"/>
    </row>
    <row r="28" spans="1:9" s="12" customFormat="1" ht="16" thickBot="1">
      <c r="A28" s="683" t="s">
        <v>695</v>
      </c>
      <c r="B28" s="40">
        <f t="shared" si="1"/>
        <v>59.088958691145862</v>
      </c>
      <c r="C28" s="34">
        <v>1</v>
      </c>
      <c r="D28" s="106">
        <v>59.088958691145862</v>
      </c>
      <c r="E28" s="34">
        <v>2.0261540119118528</v>
      </c>
      <c r="F28" s="33">
        <v>2.4739365224808951</v>
      </c>
      <c r="I28"/>
    </row>
    <row r="29" spans="1:9" s="12" customFormat="1" ht="15.5">
      <c r="A29" s="686"/>
      <c r="B29" s="35"/>
      <c r="C29" s="35"/>
      <c r="D29" s="36"/>
      <c r="E29" s="35"/>
      <c r="F29" s="35"/>
      <c r="I29"/>
    </row>
    <row r="30" spans="1:9" s="12" customFormat="1" ht="16" thickBot="1">
      <c r="A30" s="686"/>
      <c r="B30" s="35"/>
      <c r="C30" s="35"/>
      <c r="D30" s="36"/>
      <c r="E30" s="35"/>
      <c r="F30" s="35"/>
      <c r="I30"/>
    </row>
    <row r="31" spans="1:9" s="12" customFormat="1" ht="17.5">
      <c r="A31" s="1079" t="s">
        <v>94</v>
      </c>
      <c r="B31" s="17" t="s">
        <v>45</v>
      </c>
      <c r="C31" s="1076" t="s">
        <v>47</v>
      </c>
      <c r="D31" s="18" t="s">
        <v>45</v>
      </c>
      <c r="E31" s="18" t="s">
        <v>46</v>
      </c>
      <c r="F31" s="15" t="s">
        <v>44</v>
      </c>
      <c r="I31"/>
    </row>
    <row r="32" spans="1:9" s="12" customFormat="1" ht="16" thickBot="1">
      <c r="A32" s="1080"/>
      <c r="B32" s="37" t="s">
        <v>30</v>
      </c>
      <c r="C32" s="1077"/>
      <c r="D32" s="1081"/>
      <c r="E32" s="1081"/>
      <c r="F32" s="1082"/>
      <c r="I32"/>
    </row>
    <row r="33" spans="1:9" s="12" customFormat="1" ht="15.5">
      <c r="A33" s="684" t="s">
        <v>35</v>
      </c>
      <c r="B33" s="38">
        <v>77.400000000000006</v>
      </c>
      <c r="C33" s="36">
        <v>0.99</v>
      </c>
      <c r="D33" s="112">
        <v>76.626000000000005</v>
      </c>
      <c r="E33" s="35">
        <v>3.1536383527440002</v>
      </c>
      <c r="F33" s="31">
        <v>3.2081773680000003</v>
      </c>
      <c r="I33"/>
    </row>
    <row r="34" spans="1:9" s="12" customFormat="1" ht="15.5">
      <c r="A34" s="684" t="s">
        <v>37</v>
      </c>
      <c r="B34" s="39">
        <v>77.400000000000006</v>
      </c>
      <c r="C34" s="111">
        <v>1</v>
      </c>
      <c r="D34" s="113">
        <v>77.400000000000006</v>
      </c>
      <c r="E34" s="113">
        <v>3.1269600000000004</v>
      </c>
      <c r="F34" s="114">
        <v>3.2405832000000006</v>
      </c>
      <c r="I34"/>
    </row>
    <row r="35" spans="1:9" s="12" customFormat="1" ht="15.5">
      <c r="A35" s="684" t="s">
        <v>32</v>
      </c>
      <c r="B35" s="38">
        <v>75.5</v>
      </c>
      <c r="C35" s="36">
        <v>1</v>
      </c>
      <c r="D35" s="35">
        <v>75.5</v>
      </c>
      <c r="E35" s="35">
        <v>3.0275499999999993</v>
      </c>
      <c r="F35" s="31">
        <v>3.1610339999999995</v>
      </c>
      <c r="I35"/>
    </row>
    <row r="36" spans="1:9" s="12" customFormat="1" ht="16" thickBot="1">
      <c r="A36" s="683" t="s">
        <v>33</v>
      </c>
      <c r="B36" s="40">
        <v>78.8</v>
      </c>
      <c r="C36" s="106">
        <v>1</v>
      </c>
      <c r="D36" s="34">
        <v>78.8</v>
      </c>
      <c r="E36" s="34">
        <v>3.5302399999999992</v>
      </c>
      <c r="F36" s="33">
        <v>3.2991983999999999</v>
      </c>
      <c r="I36"/>
    </row>
    <row r="37" spans="1:9" s="12" customFormat="1" ht="15.5">
      <c r="A37" s="687" t="s">
        <v>34</v>
      </c>
      <c r="B37" s="38"/>
      <c r="C37" s="36"/>
      <c r="D37" s="35"/>
      <c r="E37" s="35"/>
      <c r="F37" s="31"/>
      <c r="I37"/>
    </row>
    <row r="38" spans="1:9" s="12" customFormat="1" ht="15.5">
      <c r="A38" s="684">
        <v>1990</v>
      </c>
      <c r="B38" s="38">
        <v>77.338686713926293</v>
      </c>
      <c r="C38" s="36">
        <v>0.99</v>
      </c>
      <c r="D38" s="35">
        <v>76.565299846787028</v>
      </c>
      <c r="E38" s="35">
        <v>3.1133136579345035</v>
      </c>
      <c r="F38" s="31">
        <v>3.2056359739852796</v>
      </c>
      <c r="I38"/>
    </row>
    <row r="39" spans="1:9" s="12" customFormat="1" ht="15.5">
      <c r="A39" s="684">
        <v>1995</v>
      </c>
      <c r="B39" s="38">
        <v>77.42472547680174</v>
      </c>
      <c r="C39" s="36">
        <v>0.99</v>
      </c>
      <c r="D39" s="35">
        <v>76.650478222033726</v>
      </c>
      <c r="E39" s="35">
        <v>3.1287796145117728</v>
      </c>
      <c r="F39" s="31">
        <v>3.2092022222001075</v>
      </c>
      <c r="I39"/>
    </row>
    <row r="40" spans="1:9" s="12" customFormat="1" ht="15.5">
      <c r="A40" s="684">
        <v>2000</v>
      </c>
      <c r="B40" s="38">
        <v>76.664582103814439</v>
      </c>
      <c r="C40" s="36">
        <v>0.99444444444444424</v>
      </c>
      <c r="D40" s="35">
        <v>76.238667758793227</v>
      </c>
      <c r="E40" s="35">
        <v>3.1402174480062239</v>
      </c>
      <c r="F40" s="31">
        <v>3.1919605417251553</v>
      </c>
      <c r="I40"/>
    </row>
    <row r="41" spans="1:9" s="12" customFormat="1" ht="15.5">
      <c r="A41" s="684">
        <v>2005</v>
      </c>
      <c r="B41" s="38">
        <f>D41</f>
        <v>75.876886566953161</v>
      </c>
      <c r="C41" s="36">
        <v>1</v>
      </c>
      <c r="D41" s="35">
        <v>75.876886566953161</v>
      </c>
      <c r="E41" s="35">
        <v>3.1440026364226301</v>
      </c>
      <c r="F41" s="31">
        <v>3.1768134867851949</v>
      </c>
      <c r="I41"/>
    </row>
    <row r="42" spans="1:9" s="12" customFormat="1" ht="15.5">
      <c r="A42" s="684">
        <v>2010</v>
      </c>
      <c r="B42" s="479">
        <f t="shared" ref="B42:B47" si="2">D42</f>
        <v>76.865334893567407</v>
      </c>
      <c r="C42" s="36">
        <v>1</v>
      </c>
      <c r="D42" s="35">
        <v>76.865334893567407</v>
      </c>
      <c r="E42" s="35">
        <v>3.1452187973558057</v>
      </c>
      <c r="F42" s="31">
        <v>3.2181978413238799</v>
      </c>
      <c r="I42"/>
    </row>
    <row r="43" spans="1:9" s="12" customFormat="1" ht="15.5">
      <c r="A43" s="684">
        <v>2015</v>
      </c>
      <c r="B43" s="479">
        <f t="shared" si="2"/>
        <v>76.606154923857275</v>
      </c>
      <c r="C43" s="36">
        <v>1</v>
      </c>
      <c r="D43" s="35">
        <v>76.606154923857275</v>
      </c>
      <c r="E43" s="35">
        <v>3.1438415169539318</v>
      </c>
      <c r="F43" s="31">
        <v>3.2073464943520564</v>
      </c>
      <c r="I43"/>
    </row>
    <row r="44" spans="1:9" s="12" customFormat="1" ht="15.5">
      <c r="A44" s="688">
        <v>2020</v>
      </c>
      <c r="B44" s="479">
        <f t="shared" si="2"/>
        <v>76.496602829037101</v>
      </c>
      <c r="C44" s="477">
        <v>1</v>
      </c>
      <c r="D44" s="478">
        <v>76.496602829037101</v>
      </c>
      <c r="E44" s="478">
        <v>3.1431249420841842</v>
      </c>
      <c r="F44" s="480">
        <v>3.2027597672461252</v>
      </c>
      <c r="I44"/>
    </row>
    <row r="45" spans="1:9" s="12" customFormat="1" ht="15.5">
      <c r="A45" s="688">
        <v>2021</v>
      </c>
      <c r="B45" s="479">
        <f t="shared" si="2"/>
        <v>76.50132578031571</v>
      </c>
      <c r="C45" s="477">
        <v>1</v>
      </c>
      <c r="D45" s="478">
        <v>76.50132578031571</v>
      </c>
      <c r="E45" s="478">
        <v>3.1431424645903259</v>
      </c>
      <c r="F45" s="480">
        <v>3.2029575077702583</v>
      </c>
      <c r="I45"/>
    </row>
    <row r="46" spans="1:9" s="12" customFormat="1" ht="15.5">
      <c r="A46" s="688">
        <v>2022</v>
      </c>
      <c r="B46" s="479">
        <f>D46</f>
        <v>76.608507565040867</v>
      </c>
      <c r="C46" s="477">
        <v>1</v>
      </c>
      <c r="D46" s="478">
        <v>76.608507565040867</v>
      </c>
      <c r="E46" s="478">
        <v>3.1435395886284123</v>
      </c>
      <c r="F46" s="480">
        <v>3.2074449947331312</v>
      </c>
      <c r="I46"/>
    </row>
    <row r="47" spans="1:9" s="12" customFormat="1" ht="15.5">
      <c r="A47" s="688">
        <v>2023</v>
      </c>
      <c r="B47" s="479">
        <f t="shared" si="2"/>
        <v>76.426944003278678</v>
      </c>
      <c r="C47" s="477">
        <v>1</v>
      </c>
      <c r="D47" s="478">
        <v>76.426944003278678</v>
      </c>
      <c r="E47" s="478">
        <v>3.14286627378443</v>
      </c>
      <c r="F47" s="480">
        <v>3.1998432915292714</v>
      </c>
      <c r="I47"/>
    </row>
    <row r="48" spans="1:9" s="12" customFormat="1" ht="16" thickBot="1">
      <c r="A48" s="723">
        <v>2024</v>
      </c>
      <c r="B48" s="749">
        <f>D48</f>
        <v>76.475036910814254</v>
      </c>
      <c r="C48" s="724">
        <v>1</v>
      </c>
      <c r="D48" s="725">
        <v>76.475036910814254</v>
      </c>
      <c r="E48" s="725">
        <v>3.1430449058777552</v>
      </c>
      <c r="F48" s="726">
        <v>3.2018568453819709</v>
      </c>
      <c r="I48"/>
    </row>
    <row r="49" spans="1:9" s="12" customFormat="1" ht="15.5">
      <c r="A49" s="686"/>
      <c r="I49"/>
    </row>
    <row r="50" spans="1:9" s="12" customFormat="1" ht="16" thickBot="1">
      <c r="A50" s="686"/>
      <c r="I50"/>
    </row>
    <row r="51" spans="1:9" s="12" customFormat="1" ht="17.5">
      <c r="A51" s="682" t="s">
        <v>95</v>
      </c>
      <c r="B51" s="17" t="s">
        <v>45</v>
      </c>
      <c r="C51" s="1076" t="s">
        <v>47</v>
      </c>
      <c r="D51" s="18" t="s">
        <v>42</v>
      </c>
      <c r="E51" s="18" t="s">
        <v>46</v>
      </c>
      <c r="F51" s="15" t="s">
        <v>44</v>
      </c>
      <c r="I51"/>
    </row>
    <row r="52" spans="1:9" s="12" customFormat="1" ht="16" thickBot="1">
      <c r="A52" s="683"/>
      <c r="B52" s="37" t="s">
        <v>30</v>
      </c>
      <c r="C52" s="1077"/>
      <c r="D52" s="1081"/>
      <c r="E52" s="1081"/>
      <c r="F52" s="1082"/>
      <c r="I52"/>
    </row>
    <row r="53" spans="1:9" s="12" customFormat="1" ht="15.5">
      <c r="A53" s="684" t="s">
        <v>307</v>
      </c>
      <c r="B53" s="38">
        <v>94.6</v>
      </c>
      <c r="C53" s="36">
        <v>0.98</v>
      </c>
      <c r="D53" s="35">
        <v>92.707999999999998</v>
      </c>
      <c r="E53" s="35">
        <v>2.4268758911620032</v>
      </c>
      <c r="F53" s="31">
        <v>3.8814985439999994</v>
      </c>
      <c r="I53"/>
    </row>
    <row r="54" spans="1:9" s="12" customFormat="1" ht="15.5">
      <c r="A54" s="684" t="s">
        <v>306</v>
      </c>
      <c r="B54" s="38">
        <v>94.6</v>
      </c>
      <c r="C54" s="36">
        <v>1</v>
      </c>
      <c r="D54" s="35">
        <v>94.6</v>
      </c>
      <c r="E54" s="35">
        <v>2.44068</v>
      </c>
      <c r="F54" s="31">
        <v>3.9607127999999996</v>
      </c>
      <c r="I54"/>
    </row>
    <row r="55" spans="1:9" s="12" customFormat="1" ht="15.5">
      <c r="A55" s="684" t="s">
        <v>38</v>
      </c>
      <c r="B55" s="38">
        <v>89.5</v>
      </c>
      <c r="C55" s="36">
        <v>1</v>
      </c>
      <c r="D55" s="35">
        <v>89.5</v>
      </c>
      <c r="E55" s="35">
        <v>1.7810499999999996</v>
      </c>
      <c r="F55" s="31">
        <v>3.7471859999999997</v>
      </c>
      <c r="I55"/>
    </row>
    <row r="56" spans="1:9" s="12" customFormat="1" ht="16" thickBot="1">
      <c r="A56" s="683" t="s">
        <v>39</v>
      </c>
      <c r="B56" s="41">
        <v>99.7</v>
      </c>
      <c r="C56" s="106">
        <v>1</v>
      </c>
      <c r="D56" s="34">
        <v>99.7</v>
      </c>
      <c r="E56" s="34">
        <v>3.0408499999999998</v>
      </c>
      <c r="F56" s="33">
        <v>4.1742395999999999</v>
      </c>
      <c r="I56"/>
    </row>
    <row r="57" spans="1:9" s="12" customFormat="1" ht="15.5">
      <c r="A57" s="687" t="s">
        <v>34</v>
      </c>
      <c r="B57" s="38"/>
      <c r="C57" s="36"/>
      <c r="D57" s="35"/>
      <c r="E57" s="35"/>
      <c r="F57" s="31"/>
      <c r="I57"/>
    </row>
    <row r="58" spans="1:9" s="12" customFormat="1" ht="15.5">
      <c r="A58" s="684">
        <v>1990</v>
      </c>
      <c r="B58" s="38">
        <v>96.512130599999992</v>
      </c>
      <c r="C58" s="36">
        <v>0.98</v>
      </c>
      <c r="D58" s="35">
        <v>94.581887987999991</v>
      </c>
      <c r="E58" s="35">
        <v>2.5018992444327046</v>
      </c>
      <c r="F58" s="31">
        <v>3.9599544862815836</v>
      </c>
      <c r="I58"/>
    </row>
    <row r="59" spans="1:9" s="12" customFormat="1" ht="15.5">
      <c r="A59" s="684">
        <v>1995</v>
      </c>
      <c r="B59" s="38">
        <v>95.92587619999999</v>
      </c>
      <c r="C59" s="36">
        <v>0.98</v>
      </c>
      <c r="D59" s="35">
        <v>94.007358675999996</v>
      </c>
      <c r="E59" s="35">
        <v>2.5189760595499311</v>
      </c>
      <c r="F59" s="31">
        <v>3.9359000930467674</v>
      </c>
      <c r="I59"/>
    </row>
    <row r="60" spans="1:9" s="12" customFormat="1" ht="15.5">
      <c r="A60" s="684">
        <v>2000</v>
      </c>
      <c r="B60" s="38">
        <v>93.312446942860277</v>
      </c>
      <c r="C60" s="36">
        <v>0.98888888888888893</v>
      </c>
      <c r="D60" s="35">
        <v>92.275641976828496</v>
      </c>
      <c r="E60" s="35">
        <v>2.4272176744007412</v>
      </c>
      <c r="F60" s="31">
        <v>3.8633965782858555</v>
      </c>
      <c r="I60"/>
    </row>
    <row r="61" spans="1:9" s="12" customFormat="1" ht="15.5">
      <c r="A61" s="684">
        <v>2005</v>
      </c>
      <c r="B61" s="38">
        <f>D61</f>
        <v>94.305048520078358</v>
      </c>
      <c r="C61" s="36">
        <v>1</v>
      </c>
      <c r="D61" s="35">
        <v>94.305048520078358</v>
      </c>
      <c r="E61" s="35">
        <v>2.3993862828272818</v>
      </c>
      <c r="F61" s="31">
        <v>3.9483637714386406</v>
      </c>
      <c r="I61"/>
    </row>
    <row r="62" spans="1:9" s="12" customFormat="1" ht="15.5">
      <c r="A62" s="684">
        <v>2010</v>
      </c>
      <c r="B62" s="38">
        <f t="shared" ref="B62:B67" si="3">D62</f>
        <v>93.697392219773931</v>
      </c>
      <c r="C62" s="36">
        <v>1</v>
      </c>
      <c r="D62" s="35">
        <v>93.697392219773931</v>
      </c>
      <c r="E62" s="35">
        <v>2.3172377995396065</v>
      </c>
      <c r="F62" s="31">
        <v>3.922922417457495</v>
      </c>
      <c r="I62"/>
    </row>
    <row r="63" spans="1:9" s="12" customFormat="1" ht="15.5">
      <c r="A63" s="684">
        <v>2015</v>
      </c>
      <c r="B63" s="38">
        <f t="shared" si="3"/>
        <v>94.619367288333706</v>
      </c>
      <c r="C63" s="36">
        <v>1</v>
      </c>
      <c r="D63" s="35">
        <v>94.619367288333706</v>
      </c>
      <c r="E63" s="35">
        <v>2.3354841548716947</v>
      </c>
      <c r="F63" s="31">
        <v>3.9615236696279554</v>
      </c>
      <c r="I63"/>
    </row>
    <row r="64" spans="1:9" s="12" customFormat="1" ht="15.5">
      <c r="A64" s="688">
        <v>2020</v>
      </c>
      <c r="B64" s="38">
        <f t="shared" si="3"/>
        <v>94.013090856955586</v>
      </c>
      <c r="C64" s="36">
        <v>1</v>
      </c>
      <c r="D64" s="35">
        <v>94.013090856955586</v>
      </c>
      <c r="E64" s="35">
        <v>2.3562315171612611</v>
      </c>
      <c r="F64" s="31">
        <v>3.936140087999016</v>
      </c>
      <c r="I64"/>
    </row>
    <row r="65" spans="1:12" s="12" customFormat="1" ht="15.5">
      <c r="A65" s="688">
        <v>2021</v>
      </c>
      <c r="B65" s="38">
        <f t="shared" si="3"/>
        <v>93.077725572419112</v>
      </c>
      <c r="C65" s="36">
        <v>1</v>
      </c>
      <c r="D65" s="35">
        <v>93.077725572419112</v>
      </c>
      <c r="E65" s="35">
        <v>2.3344908067472239</v>
      </c>
      <c r="F65" s="31">
        <v>3.8969782142660434</v>
      </c>
      <c r="I65"/>
    </row>
    <row r="66" spans="1:12" s="12" customFormat="1" ht="15.5">
      <c r="A66" s="688">
        <v>2022</v>
      </c>
      <c r="B66" s="38">
        <f>D66</f>
        <v>93.233029055518955</v>
      </c>
      <c r="C66" s="36">
        <v>1</v>
      </c>
      <c r="D66" s="35">
        <v>93.233029055518955</v>
      </c>
      <c r="E66" s="35">
        <v>2.3100524573522705</v>
      </c>
      <c r="F66" s="31">
        <v>3.9034804604964677</v>
      </c>
      <c r="I66"/>
    </row>
    <row r="67" spans="1:12" s="12" customFormat="1" ht="15.5">
      <c r="A67" s="688">
        <v>2023</v>
      </c>
      <c r="B67" s="38">
        <f t="shared" si="3"/>
        <v>93.395221404523681</v>
      </c>
      <c r="C67" s="36">
        <v>1</v>
      </c>
      <c r="D67" s="35">
        <v>93.395221404523681</v>
      </c>
      <c r="E67" s="35">
        <v>2.3024525811530716</v>
      </c>
      <c r="F67" s="31">
        <v>3.9102711297645976</v>
      </c>
      <c r="I67"/>
    </row>
    <row r="68" spans="1:12" ht="16" thickBot="1">
      <c r="A68" s="723">
        <v>2024</v>
      </c>
      <c r="B68" s="749">
        <f>D68</f>
        <v>92.227254202533359</v>
      </c>
      <c r="C68" s="724">
        <v>1</v>
      </c>
      <c r="D68" s="725">
        <v>92.227254202533359</v>
      </c>
      <c r="E68" s="725">
        <v>2.3177715572003845</v>
      </c>
      <c r="F68" s="726">
        <v>3.8613706789516664</v>
      </c>
      <c r="H68" s="12"/>
    </row>
    <row r="69" spans="1:12" ht="15.5">
      <c r="H69" s="12"/>
    </row>
    <row r="70" spans="1:12" ht="16" thickBot="1">
      <c r="H70" s="12"/>
    </row>
    <row r="71" spans="1:12" ht="17.5">
      <c r="A71" s="682" t="s">
        <v>93</v>
      </c>
      <c r="B71" s="91" t="s">
        <v>40</v>
      </c>
      <c r="C71" s="1076" t="s">
        <v>47</v>
      </c>
      <c r="D71" s="18" t="s">
        <v>40</v>
      </c>
      <c r="E71" s="18" t="s">
        <v>41</v>
      </c>
      <c r="F71" s="24" t="s">
        <v>48</v>
      </c>
      <c r="H71" s="12"/>
    </row>
    <row r="72" spans="1:12" ht="16" thickBot="1">
      <c r="A72" s="683"/>
      <c r="B72" s="13" t="s">
        <v>30</v>
      </c>
      <c r="C72" s="1077"/>
      <c r="D72" s="1081"/>
      <c r="E72" s="1081"/>
      <c r="F72" s="1082"/>
      <c r="H72" s="12"/>
      <c r="L72" s="90"/>
    </row>
    <row r="73" spans="1:12" ht="15.5">
      <c r="A73" s="687" t="s">
        <v>34</v>
      </c>
      <c r="B73" s="16"/>
      <c r="C73" s="43"/>
      <c r="D73" s="42"/>
      <c r="E73" s="42"/>
      <c r="F73" s="14"/>
      <c r="H73" s="12"/>
      <c r="J73" s="90"/>
      <c r="L73" s="90"/>
    </row>
    <row r="74" spans="1:12" ht="15.5">
      <c r="A74" s="684" t="s">
        <v>96</v>
      </c>
      <c r="B74" s="19">
        <v>57.6</v>
      </c>
      <c r="C74" s="25">
        <v>1</v>
      </c>
      <c r="D74" s="26">
        <v>57.6</v>
      </c>
      <c r="E74" s="26">
        <v>2.8511999999999995</v>
      </c>
      <c r="F74" s="20">
        <v>2.4115967999999999</v>
      </c>
      <c r="H74" s="12"/>
      <c r="J74" s="90"/>
      <c r="L74" s="90"/>
    </row>
    <row r="75" spans="1:12" ht="15.5">
      <c r="A75" s="684">
        <v>2005</v>
      </c>
      <c r="B75" s="19">
        <v>58.320288351566546</v>
      </c>
      <c r="C75" s="25">
        <v>1</v>
      </c>
      <c r="D75" s="26">
        <v>58.320288351566546</v>
      </c>
      <c r="E75" s="26">
        <v>2.7564124284636353</v>
      </c>
      <c r="F75" s="20">
        <v>2.4417538327033883</v>
      </c>
      <c r="H75" s="12"/>
      <c r="J75" s="90"/>
      <c r="L75" s="90"/>
    </row>
    <row r="76" spans="1:12" ht="15.5">
      <c r="A76" s="684">
        <v>2010</v>
      </c>
      <c r="B76" s="19">
        <f t="shared" ref="B76:B82" si="4">D76</f>
        <v>56.750283622978003</v>
      </c>
      <c r="C76" s="25">
        <v>1</v>
      </c>
      <c r="D76" s="26">
        <v>56.750283622978003</v>
      </c>
      <c r="E76" s="26">
        <v>2.6523060256157645</v>
      </c>
      <c r="F76" s="20">
        <v>2.376020874726843</v>
      </c>
      <c r="H76" s="12"/>
      <c r="L76" s="90"/>
    </row>
    <row r="77" spans="1:12" ht="15.5">
      <c r="A77" s="684">
        <v>2015</v>
      </c>
      <c r="B77" s="19">
        <f t="shared" si="4"/>
        <v>56.865466015404607</v>
      </c>
      <c r="C77" s="25">
        <v>1</v>
      </c>
      <c r="D77" s="26">
        <v>56.865466015404607</v>
      </c>
      <c r="E77" s="26">
        <v>2.6531823627997646</v>
      </c>
      <c r="F77" s="20">
        <v>2.3808433311329598</v>
      </c>
      <c r="H77" s="12"/>
      <c r="L77" s="90"/>
    </row>
    <row r="78" spans="1:12" ht="15.5">
      <c r="A78" s="688">
        <v>2020</v>
      </c>
      <c r="B78" s="19">
        <f t="shared" si="4"/>
        <v>56.146292133410732</v>
      </c>
      <c r="C78" s="25">
        <v>1</v>
      </c>
      <c r="D78" s="26">
        <v>56.146292133410732</v>
      </c>
      <c r="E78" s="26">
        <v>2.6392977163674654</v>
      </c>
      <c r="F78" s="20">
        <v>2.3507329590416406</v>
      </c>
      <c r="H78" s="12"/>
      <c r="L78" s="90"/>
    </row>
    <row r="79" spans="1:12" ht="15.5">
      <c r="A79" s="688">
        <v>2021</v>
      </c>
      <c r="B79" s="19">
        <f t="shared" si="4"/>
        <v>56.014185460778968</v>
      </c>
      <c r="C79" s="25">
        <v>1</v>
      </c>
      <c r="D79" s="26">
        <v>56.014185460778968</v>
      </c>
      <c r="E79" s="26">
        <v>2.648826707077256</v>
      </c>
      <c r="F79" s="20">
        <v>2.3452019168718938</v>
      </c>
      <c r="H79" s="12"/>
      <c r="L79" s="90"/>
    </row>
    <row r="80" spans="1:12" ht="15.5">
      <c r="A80" s="688">
        <v>2022</v>
      </c>
      <c r="B80" s="19">
        <f t="shared" si="4"/>
        <v>56.530682436681325</v>
      </c>
      <c r="C80" s="25">
        <v>1</v>
      </c>
      <c r="D80" s="26">
        <v>56.530682436681325</v>
      </c>
      <c r="E80" s="26">
        <v>2.6651521886928289</v>
      </c>
      <c r="F80" s="20">
        <v>2.3668266122589738</v>
      </c>
      <c r="H80" s="12"/>
      <c r="L80" s="90"/>
    </row>
    <row r="81" spans="1:12" ht="15.5">
      <c r="A81" s="688">
        <v>2023</v>
      </c>
      <c r="B81" s="19">
        <f t="shared" si="4"/>
        <v>56.497334968095956</v>
      </c>
      <c r="C81" s="25">
        <v>1</v>
      </c>
      <c r="D81" s="26">
        <v>56.497334968095956</v>
      </c>
      <c r="E81" s="26">
        <v>2.6659978139410527</v>
      </c>
      <c r="F81" s="20">
        <v>2.3654304204442416</v>
      </c>
      <c r="H81" s="12"/>
      <c r="L81" s="90"/>
    </row>
    <row r="82" spans="1:12" ht="16" thickBot="1">
      <c r="A82" s="723">
        <v>2024</v>
      </c>
      <c r="B82" s="749">
        <f t="shared" si="4"/>
        <v>56.069992929332656</v>
      </c>
      <c r="C82" s="724">
        <v>1</v>
      </c>
      <c r="D82" s="725">
        <v>56.069992929332656</v>
      </c>
      <c r="E82" s="725">
        <v>2.6508926176916017</v>
      </c>
      <c r="F82" s="726">
        <v>2.3475384639652996</v>
      </c>
      <c r="H82" s="12"/>
    </row>
    <row r="83" spans="1:12" ht="15.5">
      <c r="A83" s="686"/>
      <c r="B83" s="25"/>
      <c r="C83" s="25"/>
      <c r="D83" s="26"/>
      <c r="E83" s="26"/>
      <c r="F83" s="26"/>
      <c r="H83" s="12"/>
    </row>
    <row r="84" spans="1:12" ht="16" thickBot="1">
      <c r="H84" s="12"/>
    </row>
    <row r="85" spans="1:12" ht="19.5">
      <c r="A85" s="682" t="s">
        <v>100</v>
      </c>
      <c r="B85" s="21" t="s">
        <v>40</v>
      </c>
      <c r="C85" s="1076" t="s">
        <v>47</v>
      </c>
      <c r="D85" s="22" t="s">
        <v>40</v>
      </c>
      <c r="E85" s="23" t="s">
        <v>113</v>
      </c>
      <c r="F85" s="24" t="s">
        <v>48</v>
      </c>
      <c r="H85" s="12"/>
    </row>
    <row r="86" spans="1:12" ht="16" thickBot="1">
      <c r="A86" s="683"/>
      <c r="B86" s="37" t="s">
        <v>30</v>
      </c>
      <c r="C86" s="1077"/>
      <c r="D86" s="1081"/>
      <c r="E86" s="1081"/>
      <c r="F86" s="1082"/>
      <c r="H86" s="12"/>
    </row>
    <row r="87" spans="1:12" ht="15.5">
      <c r="A87" s="685" t="s">
        <v>34</v>
      </c>
      <c r="B87" s="16"/>
      <c r="C87" s="43"/>
      <c r="D87" s="42"/>
      <c r="E87" s="42"/>
      <c r="F87" s="14"/>
      <c r="H87" s="12"/>
    </row>
    <row r="88" spans="1:12" ht="15.5">
      <c r="A88" s="684" t="s">
        <v>97</v>
      </c>
      <c r="B88" s="19">
        <v>44.4</v>
      </c>
      <c r="C88" s="25">
        <v>1</v>
      </c>
      <c r="D88" s="26">
        <v>44.4</v>
      </c>
      <c r="E88" s="26">
        <v>0.78951635999999981</v>
      </c>
      <c r="F88" s="20">
        <v>1.8589391999999998</v>
      </c>
      <c r="H88" s="12"/>
    </row>
    <row r="89" spans="1:12" ht="15.5">
      <c r="A89" s="684" t="s">
        <v>98</v>
      </c>
      <c r="B89" s="19">
        <v>42.110999999999997</v>
      </c>
      <c r="C89" s="25">
        <v>1</v>
      </c>
      <c r="D89" s="26">
        <v>42.110999999999997</v>
      </c>
      <c r="E89" s="26">
        <v>0.80679609204480007</v>
      </c>
      <c r="F89" s="20">
        <v>1.763103348</v>
      </c>
      <c r="H89" s="12"/>
    </row>
    <row r="90" spans="1:12" ht="15.5">
      <c r="A90" s="684">
        <v>2005</v>
      </c>
      <c r="B90" s="19">
        <v>42.128367142453726</v>
      </c>
      <c r="C90" s="25">
        <v>1</v>
      </c>
      <c r="D90" s="26">
        <v>42.128367142453726</v>
      </c>
      <c r="E90" s="26">
        <v>0.75352546699268996</v>
      </c>
      <c r="F90" s="20">
        <v>1.7638304755202525</v>
      </c>
      <c r="H90" s="12"/>
    </row>
    <row r="91" spans="1:12" ht="15.5">
      <c r="A91" s="684">
        <v>2010</v>
      </c>
      <c r="B91" s="19">
        <f t="shared" ref="B91:B97" si="5">D91</f>
        <v>42.815652404351546</v>
      </c>
      <c r="C91" s="25">
        <v>1</v>
      </c>
      <c r="D91" s="26">
        <v>42.815652404351546</v>
      </c>
      <c r="E91" s="26">
        <v>0.73518489699328982</v>
      </c>
      <c r="F91" s="20">
        <v>1.7926057348653905</v>
      </c>
      <c r="H91" s="12"/>
    </row>
    <row r="92" spans="1:12" ht="15.5">
      <c r="A92" s="684">
        <v>2015</v>
      </c>
      <c r="B92" s="19">
        <f t="shared" si="5"/>
        <v>43.313823449380507</v>
      </c>
      <c r="C92" s="25">
        <v>1</v>
      </c>
      <c r="D92" s="26">
        <v>43.313823449380507</v>
      </c>
      <c r="E92" s="26">
        <v>0.75054295940247351</v>
      </c>
      <c r="F92" s="20">
        <v>1.813463160178663</v>
      </c>
      <c r="H92" s="12"/>
    </row>
    <row r="93" spans="1:12" ht="15.5">
      <c r="A93" s="688">
        <v>2020</v>
      </c>
      <c r="B93" s="19">
        <f t="shared" si="5"/>
        <v>45.854109707401406</v>
      </c>
      <c r="C93" s="25">
        <v>1</v>
      </c>
      <c r="D93" s="26">
        <v>45.854109707401406</v>
      </c>
      <c r="E93" s="26">
        <v>0.8441733231430979</v>
      </c>
      <c r="F93" s="20">
        <v>1.919819865229482</v>
      </c>
      <c r="H93" s="12"/>
    </row>
    <row r="94" spans="1:12" ht="15.5">
      <c r="A94" s="688">
        <v>2021</v>
      </c>
      <c r="B94" s="19">
        <f t="shared" si="5"/>
        <v>45.489556572396666</v>
      </c>
      <c r="C94" s="25">
        <v>1</v>
      </c>
      <c r="D94" s="26">
        <v>45.489556572396666</v>
      </c>
      <c r="E94" s="26">
        <v>0.83049068157674355</v>
      </c>
      <c r="F94" s="20">
        <v>1.9045567545731035</v>
      </c>
      <c r="H94" s="12"/>
    </row>
    <row r="95" spans="1:12" ht="15.5">
      <c r="A95" s="688">
        <v>2022</v>
      </c>
      <c r="B95" s="19">
        <f t="shared" si="5"/>
        <v>44.925273217670984</v>
      </c>
      <c r="C95" s="25">
        <v>1</v>
      </c>
      <c r="D95" s="26">
        <v>44.925273217670984</v>
      </c>
      <c r="E95" s="26">
        <v>0.80459814512218542</v>
      </c>
      <c r="F95" s="20">
        <v>1.8809313390774485</v>
      </c>
      <c r="H95" s="12"/>
    </row>
    <row r="96" spans="1:12" ht="15.5">
      <c r="A96" s="688">
        <v>2023</v>
      </c>
      <c r="B96" s="19">
        <f t="shared" si="5"/>
        <v>44.856696654757343</v>
      </c>
      <c r="C96" s="25">
        <v>1</v>
      </c>
      <c r="D96" s="26">
        <v>44.856696654757343</v>
      </c>
      <c r="E96" s="26">
        <v>0.75617216069396853</v>
      </c>
      <c r="F96" s="20">
        <v>1.8780601755413804</v>
      </c>
      <c r="H96" s="12"/>
      <c r="L96" s="90"/>
    </row>
    <row r="97" spans="1:12" ht="16" thickBot="1">
      <c r="A97" s="723">
        <v>2024</v>
      </c>
      <c r="B97" s="749">
        <f t="shared" si="5"/>
        <v>44.856660114731618</v>
      </c>
      <c r="C97" s="724">
        <v>1</v>
      </c>
      <c r="D97" s="725">
        <v>44.856660114731618</v>
      </c>
      <c r="E97" s="725">
        <v>0.7482372994584241</v>
      </c>
      <c r="F97" s="726">
        <v>1.8780586456835833</v>
      </c>
      <c r="H97" s="12"/>
    </row>
    <row r="98" spans="1:12" ht="15.5">
      <c r="H98" s="12"/>
    </row>
    <row r="99" spans="1:12" ht="16.5" customHeight="1" thickBot="1">
      <c r="H99" s="12"/>
    </row>
    <row r="100" spans="1:12" ht="19.5">
      <c r="A100" s="682" t="s">
        <v>99</v>
      </c>
      <c r="B100" s="21" t="s">
        <v>40</v>
      </c>
      <c r="C100" s="1076" t="s">
        <v>47</v>
      </c>
      <c r="D100" s="22" t="s">
        <v>40</v>
      </c>
      <c r="E100" s="23" t="s">
        <v>113</v>
      </c>
      <c r="F100" s="24" t="s">
        <v>48</v>
      </c>
      <c r="H100" s="12"/>
    </row>
    <row r="101" spans="1:12" ht="16" thickBot="1">
      <c r="A101" s="683"/>
      <c r="B101" s="37" t="s">
        <v>30</v>
      </c>
      <c r="C101" s="1077"/>
      <c r="D101" s="1081"/>
      <c r="E101" s="1081"/>
      <c r="F101" s="1082"/>
      <c r="H101" s="12"/>
    </row>
    <row r="102" spans="1:12" ht="15.5">
      <c r="A102" s="687" t="s">
        <v>34</v>
      </c>
      <c r="B102" s="16"/>
      <c r="C102" s="43"/>
      <c r="D102" s="42"/>
      <c r="E102" s="42"/>
      <c r="F102" s="14"/>
      <c r="H102" s="12"/>
    </row>
    <row r="103" spans="1:12" ht="15.5">
      <c r="A103" s="684" t="s">
        <v>97</v>
      </c>
      <c r="B103" s="19">
        <v>260</v>
      </c>
      <c r="C103" s="25">
        <v>1</v>
      </c>
      <c r="D103" s="26">
        <v>260</v>
      </c>
      <c r="E103" s="26">
        <v>0.837642</v>
      </c>
      <c r="F103" s="20">
        <v>10.885680000000001</v>
      </c>
      <c r="H103" s="12"/>
    </row>
    <row r="104" spans="1:12" ht="15.5">
      <c r="A104" s="684" t="s">
        <v>98</v>
      </c>
      <c r="B104" s="19">
        <v>270.57499999999999</v>
      </c>
      <c r="C104" s="25">
        <v>1</v>
      </c>
      <c r="D104" s="26">
        <v>270.57499999999999</v>
      </c>
      <c r="E104" s="26">
        <v>0.95351429819699984</v>
      </c>
      <c r="F104" s="20">
        <v>11.328434099999999</v>
      </c>
      <c r="H104" s="12"/>
    </row>
    <row r="105" spans="1:12" ht="15.5">
      <c r="A105" s="684">
        <v>2005</v>
      </c>
      <c r="B105" s="19">
        <v>263.65275931318735</v>
      </c>
      <c r="C105" s="25">
        <v>1</v>
      </c>
      <c r="D105" s="26">
        <v>263.65275931318735</v>
      </c>
      <c r="E105" s="26">
        <v>0.86958143176471736</v>
      </c>
      <c r="F105" s="20">
        <v>11.038613726924527</v>
      </c>
      <c r="H105" s="12"/>
    </row>
    <row r="106" spans="1:12" ht="15.5">
      <c r="A106" s="684">
        <v>2010</v>
      </c>
      <c r="B106" s="19">
        <f t="shared" ref="B106:B112" si="6">D106</f>
        <v>257.3903672181653</v>
      </c>
      <c r="C106" s="25">
        <v>1</v>
      </c>
      <c r="D106" s="26">
        <v>257.3903672181653</v>
      </c>
      <c r="E106" s="26">
        <v>0.86292656551022007</v>
      </c>
      <c r="F106" s="20">
        <v>10.776419894690143</v>
      </c>
      <c r="H106" s="12"/>
    </row>
    <row r="107" spans="1:12" ht="15.5">
      <c r="A107" s="684">
        <v>2015</v>
      </c>
      <c r="B107" s="19">
        <f t="shared" si="6"/>
        <v>250.0720396460319</v>
      </c>
      <c r="C107" s="25">
        <v>1</v>
      </c>
      <c r="D107" s="26">
        <v>250.0720396460319</v>
      </c>
      <c r="E107" s="26">
        <v>0.93055880575566929</v>
      </c>
      <c r="F107" s="20">
        <v>10.470016155900064</v>
      </c>
      <c r="H107" s="12"/>
    </row>
    <row r="108" spans="1:12" ht="15.5">
      <c r="A108" s="688">
        <v>2020</v>
      </c>
      <c r="B108" s="19">
        <f t="shared" si="6"/>
        <v>251.04321980263117</v>
      </c>
      <c r="C108" s="25">
        <v>1</v>
      </c>
      <c r="D108" s="26">
        <v>251.04321980263117</v>
      </c>
      <c r="E108" s="26">
        <v>0.88313336425101086</v>
      </c>
      <c r="F108" s="20">
        <v>10.510677526696561</v>
      </c>
      <c r="H108" s="12"/>
    </row>
    <row r="109" spans="1:12" ht="15.5">
      <c r="A109" s="688">
        <v>2021</v>
      </c>
      <c r="B109" s="19">
        <f t="shared" si="6"/>
        <v>247.92030480196138</v>
      </c>
      <c r="C109" s="25">
        <v>1</v>
      </c>
      <c r="D109" s="26">
        <v>247.92030480196138</v>
      </c>
      <c r="E109" s="26">
        <v>0.91794665085799754</v>
      </c>
      <c r="F109" s="20">
        <v>10.37992732144852</v>
      </c>
      <c r="H109" s="12"/>
    </row>
    <row r="110" spans="1:12" ht="15.5">
      <c r="A110" s="688">
        <v>2022</v>
      </c>
      <c r="B110" s="19">
        <f t="shared" si="6"/>
        <v>250.75047680373757</v>
      </c>
      <c r="C110" s="25">
        <v>1</v>
      </c>
      <c r="D110" s="26">
        <v>250.75047680373757</v>
      </c>
      <c r="E110" s="26">
        <v>0.91128819485222756</v>
      </c>
      <c r="F110" s="20">
        <v>10.498420962818884</v>
      </c>
      <c r="H110" s="12"/>
    </row>
    <row r="111" spans="1:12" ht="15.5">
      <c r="A111" s="688">
        <v>2023</v>
      </c>
      <c r="B111" s="19">
        <f t="shared" si="6"/>
        <v>254.34719381914149</v>
      </c>
      <c r="C111" s="25">
        <v>1</v>
      </c>
      <c r="D111" s="26">
        <v>254.34719381914149</v>
      </c>
      <c r="E111" s="26">
        <v>0.89697450077622798</v>
      </c>
      <c r="F111" s="20">
        <v>10.649008310819816</v>
      </c>
      <c r="H111" s="12"/>
      <c r="L111" s="90"/>
    </row>
    <row r="112" spans="1:12" ht="16" thickBot="1">
      <c r="A112" s="723">
        <v>2024</v>
      </c>
      <c r="B112" s="749">
        <f t="shared" si="6"/>
        <v>246.71669904112483</v>
      </c>
      <c r="C112" s="724">
        <v>1</v>
      </c>
      <c r="D112" s="725">
        <v>246.71669904112483</v>
      </c>
      <c r="E112" s="725">
        <v>0.90831636969127394</v>
      </c>
      <c r="F112" s="726">
        <v>10.329534755453814</v>
      </c>
      <c r="H112" s="12"/>
    </row>
    <row r="113" spans="1:12" ht="15.5">
      <c r="H113" s="12"/>
    </row>
    <row r="114" spans="1:12" ht="16" thickBot="1">
      <c r="H114" s="12"/>
    </row>
    <row r="115" spans="1:12" ht="19.5">
      <c r="A115" s="682" t="s">
        <v>101</v>
      </c>
      <c r="B115" s="21" t="s">
        <v>40</v>
      </c>
      <c r="C115" s="1076" t="s">
        <v>47</v>
      </c>
      <c r="D115" s="22" t="s">
        <v>40</v>
      </c>
      <c r="E115" s="23" t="s">
        <v>113</v>
      </c>
      <c r="F115" s="24" t="s">
        <v>48</v>
      </c>
      <c r="H115" s="12"/>
    </row>
    <row r="116" spans="1:12" ht="16" thickBot="1">
      <c r="A116" s="683"/>
      <c r="B116" s="37" t="s">
        <v>30</v>
      </c>
      <c r="C116" s="1077"/>
      <c r="D116" s="1081"/>
      <c r="E116" s="1081"/>
      <c r="F116" s="1082"/>
      <c r="H116" s="12"/>
    </row>
    <row r="117" spans="1:12" ht="15.5">
      <c r="A117" s="687" t="s">
        <v>34</v>
      </c>
      <c r="B117" s="135"/>
      <c r="C117" s="43"/>
      <c r="D117" s="42"/>
      <c r="E117" s="42"/>
      <c r="F117" s="14"/>
      <c r="H117" s="12"/>
    </row>
    <row r="118" spans="1:12" ht="15.5">
      <c r="A118" s="684" t="s">
        <v>96</v>
      </c>
      <c r="B118" s="136">
        <v>195.08600000000001</v>
      </c>
      <c r="C118" s="25">
        <v>1</v>
      </c>
      <c r="D118" s="26">
        <v>195.08600000000001</v>
      </c>
      <c r="E118" s="26">
        <v>1.5036214666903203</v>
      </c>
      <c r="F118" s="20">
        <v>8.1678606480000013</v>
      </c>
      <c r="H118" s="12"/>
    </row>
    <row r="119" spans="1:12" ht="15.5">
      <c r="A119" s="684">
        <v>2005</v>
      </c>
      <c r="B119" s="136">
        <v>197.57908382422107</v>
      </c>
      <c r="C119" s="25">
        <v>1</v>
      </c>
      <c r="D119" s="26">
        <v>197.57908382422107</v>
      </c>
      <c r="E119" s="26">
        <v>1.4372313485224035</v>
      </c>
      <c r="F119" s="20">
        <v>8.2722410815524885</v>
      </c>
      <c r="H119" s="12"/>
    </row>
    <row r="120" spans="1:12" ht="15.5">
      <c r="A120" s="684">
        <v>2010</v>
      </c>
      <c r="B120" s="19">
        <f t="shared" ref="B120:B126" si="7">D120</f>
        <v>197.02930049925894</v>
      </c>
      <c r="C120" s="25">
        <v>1</v>
      </c>
      <c r="D120" s="26">
        <v>197.02930049925894</v>
      </c>
      <c r="E120" s="26">
        <v>1.2163967604699109</v>
      </c>
      <c r="F120" s="20">
        <v>8.2492227533029734</v>
      </c>
      <c r="H120" s="12"/>
    </row>
    <row r="121" spans="1:12" ht="15.5">
      <c r="A121" s="684">
        <v>2015</v>
      </c>
      <c r="B121" s="19">
        <f t="shared" si="7"/>
        <v>201.53237166699975</v>
      </c>
      <c r="C121" s="25">
        <v>1</v>
      </c>
      <c r="D121" s="26">
        <v>201.53237166699975</v>
      </c>
      <c r="E121" s="26">
        <v>1.3511018897030949</v>
      </c>
      <c r="F121" s="20">
        <v>8.4377573369539451</v>
      </c>
      <c r="H121" s="12"/>
    </row>
    <row r="122" spans="1:12" ht="15.5">
      <c r="A122" s="688">
        <v>2020</v>
      </c>
      <c r="B122" s="19">
        <f t="shared" si="7"/>
        <v>195.87693846739199</v>
      </c>
      <c r="C122" s="25">
        <v>1</v>
      </c>
      <c r="D122" s="26">
        <v>195.87693846739199</v>
      </c>
      <c r="E122" s="26">
        <v>1.3534215922519266</v>
      </c>
      <c r="F122" s="20">
        <v>8.2009756597527677</v>
      </c>
      <c r="H122" s="12"/>
    </row>
    <row r="123" spans="1:12" ht="15.5">
      <c r="A123" s="688">
        <v>2021</v>
      </c>
      <c r="B123" s="19">
        <f t="shared" si="7"/>
        <v>192.70976115182827</v>
      </c>
      <c r="C123" s="25">
        <v>1</v>
      </c>
      <c r="D123" s="26">
        <v>192.70976115182827</v>
      </c>
      <c r="E123" s="26">
        <v>1.3971382924433644</v>
      </c>
      <c r="F123" s="20">
        <v>8.0683722799047466</v>
      </c>
      <c r="H123" s="12"/>
    </row>
    <row r="124" spans="1:12" ht="15.5">
      <c r="A124" s="688">
        <v>2022</v>
      </c>
      <c r="B124" s="19">
        <f t="shared" si="7"/>
        <v>191.48588862360236</v>
      </c>
      <c r="C124" s="25">
        <v>1</v>
      </c>
      <c r="D124" s="26">
        <v>191.48588862360236</v>
      </c>
      <c r="E124" s="26">
        <v>1.4135065465377312</v>
      </c>
      <c r="F124" s="20">
        <v>8.0171311848929836</v>
      </c>
      <c r="H124" s="12"/>
    </row>
    <row r="125" spans="1:12" ht="15.5">
      <c r="A125" s="688">
        <v>2023</v>
      </c>
      <c r="B125" s="19">
        <f t="shared" si="7"/>
        <v>199.06898594324454</v>
      </c>
      <c r="C125" s="25">
        <v>1</v>
      </c>
      <c r="D125" s="26">
        <v>199.06898594324454</v>
      </c>
      <c r="E125" s="26">
        <v>1.3540992924926865</v>
      </c>
      <c r="F125" s="20">
        <v>8.3346203034717625</v>
      </c>
      <c r="H125" s="12"/>
      <c r="L125" s="90"/>
    </row>
    <row r="126" spans="1:12" ht="16" thickBot="1">
      <c r="A126" s="723">
        <v>2024</v>
      </c>
      <c r="B126" s="749">
        <f t="shared" si="7"/>
        <v>199.53450000000001</v>
      </c>
      <c r="C126" s="724">
        <v>1</v>
      </c>
      <c r="D126" s="725">
        <v>199.53450000000001</v>
      </c>
      <c r="E126" s="725">
        <v>1.2832594505057349</v>
      </c>
      <c r="F126" s="726">
        <v>8.354110446</v>
      </c>
      <c r="H126" s="12"/>
    </row>
    <row r="127" spans="1:12" ht="15.5">
      <c r="A127" s="686"/>
      <c r="B127" s="25"/>
      <c r="C127" s="25"/>
      <c r="D127" s="26"/>
      <c r="E127" s="26"/>
      <c r="F127" s="26"/>
      <c r="H127" s="12"/>
    </row>
    <row r="128" spans="1:12" ht="16" thickBot="1">
      <c r="H128" s="12"/>
    </row>
    <row r="129" spans="1:12" ht="17.5">
      <c r="A129" s="682" t="s">
        <v>102</v>
      </c>
      <c r="B129" s="17" t="s">
        <v>40</v>
      </c>
      <c r="C129" s="1076" t="s">
        <v>47</v>
      </c>
      <c r="D129" s="18" t="s">
        <v>40</v>
      </c>
      <c r="E129" s="18" t="s">
        <v>41</v>
      </c>
      <c r="F129" s="15" t="s">
        <v>48</v>
      </c>
      <c r="H129" s="12"/>
    </row>
    <row r="130" spans="1:12" ht="16" thickBot="1">
      <c r="A130" s="683"/>
      <c r="B130" s="37" t="s">
        <v>30</v>
      </c>
      <c r="C130" s="1077"/>
      <c r="D130" s="1081"/>
      <c r="E130" s="1081"/>
      <c r="F130" s="1082"/>
      <c r="H130" s="12"/>
    </row>
    <row r="131" spans="1:12" ht="15.5">
      <c r="A131" s="685" t="s">
        <v>34</v>
      </c>
      <c r="B131" s="135"/>
      <c r="C131" s="43"/>
      <c r="D131" s="42"/>
      <c r="E131" s="42"/>
      <c r="F131" s="14"/>
      <c r="H131" s="12"/>
    </row>
    <row r="132" spans="1:12" ht="15.5">
      <c r="A132" s="684" t="s">
        <v>103</v>
      </c>
      <c r="B132" s="136">
        <v>80.248121784245555</v>
      </c>
      <c r="C132" s="25">
        <v>1</v>
      </c>
      <c r="D132" s="26">
        <v>80.248121784245555</v>
      </c>
      <c r="E132" s="26">
        <v>3.1518534053384726</v>
      </c>
      <c r="F132" s="20">
        <v>3.359828362862793</v>
      </c>
      <c r="H132" s="12"/>
    </row>
    <row r="133" spans="1:12" ht="15.5">
      <c r="A133" s="684">
        <v>2010</v>
      </c>
      <c r="B133" s="19">
        <f t="shared" ref="B133:B139" si="8">D133</f>
        <v>78.939603148032532</v>
      </c>
      <c r="C133" s="25">
        <v>1</v>
      </c>
      <c r="D133" s="26">
        <v>78.939603148032532</v>
      </c>
      <c r="E133" s="26">
        <v>3.1039051957806394</v>
      </c>
      <c r="F133" s="20">
        <v>3.3050433046018259</v>
      </c>
      <c r="H133" s="12"/>
    </row>
    <row r="134" spans="1:12" ht="15.5">
      <c r="A134" s="684">
        <v>2015</v>
      </c>
      <c r="B134" s="19">
        <f t="shared" si="8"/>
        <v>79.60851567121307</v>
      </c>
      <c r="C134" s="25">
        <v>1</v>
      </c>
      <c r="D134" s="26">
        <v>79.60851567121307</v>
      </c>
      <c r="E134" s="26">
        <v>3.100274034299721</v>
      </c>
      <c r="F134" s="20">
        <v>3.3330493341223484</v>
      </c>
      <c r="H134" s="12"/>
    </row>
    <row r="135" spans="1:12" ht="15.5">
      <c r="A135" s="688">
        <v>2020</v>
      </c>
      <c r="B135" s="19">
        <f t="shared" si="8"/>
        <v>80.211454610162747</v>
      </c>
      <c r="C135" s="25">
        <v>1</v>
      </c>
      <c r="D135" s="26">
        <v>80.211454610162747</v>
      </c>
      <c r="E135" s="26">
        <v>3.1237548883381772</v>
      </c>
      <c r="F135" s="20">
        <v>3.3582931816182935</v>
      </c>
      <c r="H135" s="12"/>
    </row>
    <row r="136" spans="1:12" ht="15.5">
      <c r="A136" s="688">
        <v>2021</v>
      </c>
      <c r="B136" s="19">
        <f t="shared" si="8"/>
        <v>79.606301666390934</v>
      </c>
      <c r="C136" s="25">
        <v>1</v>
      </c>
      <c r="D136" s="26">
        <v>79.606301666390934</v>
      </c>
      <c r="E136" s="26">
        <v>3.1001878120959283</v>
      </c>
      <c r="F136" s="20">
        <v>3.3329566381684557</v>
      </c>
      <c r="H136" s="12"/>
    </row>
    <row r="137" spans="1:12" ht="15.5">
      <c r="A137" s="688">
        <v>2022</v>
      </c>
      <c r="B137" s="19">
        <f t="shared" si="8"/>
        <v>80.479669410891788</v>
      </c>
      <c r="C137" s="25">
        <v>1</v>
      </c>
      <c r="D137" s="26">
        <v>80.479669410891788</v>
      </c>
      <c r="E137" s="26">
        <v>3.1342002455377691</v>
      </c>
      <c r="F137" s="20">
        <v>3.369522798895217</v>
      </c>
      <c r="H137" s="12"/>
    </row>
    <row r="138" spans="1:12" ht="15.5">
      <c r="A138" s="688">
        <v>2023</v>
      </c>
      <c r="B138" s="19">
        <f t="shared" si="8"/>
        <v>80.610780729905102</v>
      </c>
      <c r="C138" s="25">
        <v>1</v>
      </c>
      <c r="D138" s="26">
        <v>80.610780729905102</v>
      </c>
      <c r="E138" s="26">
        <v>3.1393062447454256</v>
      </c>
      <c r="F138" s="20">
        <v>3.3750121675996665</v>
      </c>
      <c r="H138" s="12"/>
      <c r="L138" s="90"/>
    </row>
    <row r="139" spans="1:12" ht="16" thickBot="1">
      <c r="A139" s="723">
        <v>2024</v>
      </c>
      <c r="B139" s="749">
        <f t="shared" si="8"/>
        <v>81.026284819201649</v>
      </c>
      <c r="C139" s="724">
        <v>1</v>
      </c>
      <c r="D139" s="725">
        <v>81.026284819201649</v>
      </c>
      <c r="E139" s="725">
        <v>3.1554876359989885</v>
      </c>
      <c r="F139" s="726">
        <v>3.3924084928103344</v>
      </c>
      <c r="H139" s="12"/>
    </row>
    <row r="140" spans="1:12" ht="15.5">
      <c r="H140" s="12"/>
    </row>
    <row r="141" spans="1:12" ht="16" thickBot="1">
      <c r="H141" s="12"/>
    </row>
    <row r="142" spans="1:12" ht="17.5">
      <c r="A142" s="682" t="s">
        <v>104</v>
      </c>
      <c r="B142" s="17" t="s">
        <v>40</v>
      </c>
      <c r="C142" s="1076" t="s">
        <v>47</v>
      </c>
      <c r="D142" s="18" t="s">
        <v>40</v>
      </c>
      <c r="E142" s="18" t="s">
        <v>41</v>
      </c>
      <c r="F142" s="15" t="s">
        <v>48</v>
      </c>
      <c r="H142" s="12"/>
    </row>
    <row r="143" spans="1:12" ht="16" thickBot="1">
      <c r="A143" s="683"/>
      <c r="B143" s="37" t="s">
        <v>30</v>
      </c>
      <c r="C143" s="1077"/>
      <c r="D143" s="27"/>
      <c r="E143" s="27"/>
      <c r="F143" s="28"/>
      <c r="H143" s="12"/>
    </row>
    <row r="144" spans="1:12" ht="15.5">
      <c r="A144" s="687" t="s">
        <v>34</v>
      </c>
      <c r="B144" s="135"/>
      <c r="C144" s="42"/>
      <c r="D144" s="42"/>
      <c r="E144" s="42"/>
      <c r="F144" s="14"/>
      <c r="H144" s="12"/>
    </row>
    <row r="145" spans="1:12" ht="15.5">
      <c r="A145" s="684" t="s">
        <v>114</v>
      </c>
      <c r="B145" s="136">
        <v>98.103137300425274</v>
      </c>
      <c r="C145" s="26">
        <v>1</v>
      </c>
      <c r="D145" s="26">
        <v>98.103137300425274</v>
      </c>
      <c r="E145" s="26">
        <v>0.9063206414244741</v>
      </c>
      <c r="F145" s="20">
        <v>4.1073821524942051</v>
      </c>
      <c r="H145" s="12"/>
    </row>
    <row r="146" spans="1:12" ht="15.5">
      <c r="A146" s="684">
        <v>2010</v>
      </c>
      <c r="B146" s="19">
        <f t="shared" ref="B146:B152" si="9">D146</f>
        <v>110.48715304950426</v>
      </c>
      <c r="C146" s="26">
        <v>1</v>
      </c>
      <c r="D146" s="26">
        <v>110.48715304950426</v>
      </c>
      <c r="E146" s="26">
        <v>0.90967022627863992</v>
      </c>
      <c r="F146" s="20">
        <v>4.6258761238766439</v>
      </c>
      <c r="H146" s="12"/>
    </row>
    <row r="147" spans="1:12" ht="15.5">
      <c r="A147" s="684">
        <v>2015</v>
      </c>
      <c r="B147" s="19">
        <f t="shared" si="9"/>
        <v>100.73216793809662</v>
      </c>
      <c r="C147" s="26">
        <v>1</v>
      </c>
      <c r="D147" s="26">
        <v>100.73216793809662</v>
      </c>
      <c r="E147" s="26">
        <v>0.93039966992742384</v>
      </c>
      <c r="F147" s="20">
        <v>4.2174544072322293</v>
      </c>
      <c r="H147" s="12"/>
    </row>
    <row r="148" spans="1:12" ht="15.5">
      <c r="A148" s="688">
        <v>2020</v>
      </c>
      <c r="B148" s="19">
        <f t="shared" si="9"/>
        <v>102.91239718235751</v>
      </c>
      <c r="C148" s="26">
        <v>1</v>
      </c>
      <c r="D148" s="26">
        <v>102.91239718235751</v>
      </c>
      <c r="E148" s="26">
        <v>0.86973255413218153</v>
      </c>
      <c r="F148" s="20">
        <v>4.3087362452309437</v>
      </c>
      <c r="H148" s="12"/>
    </row>
    <row r="149" spans="1:12" ht="15.5">
      <c r="A149" s="688">
        <v>2021</v>
      </c>
      <c r="B149" s="19">
        <f t="shared" si="9"/>
        <v>97.898586893374684</v>
      </c>
      <c r="C149" s="26">
        <v>1</v>
      </c>
      <c r="D149" s="26">
        <v>97.898586893374684</v>
      </c>
      <c r="E149" s="26">
        <v>1.1964480000000002</v>
      </c>
      <c r="F149" s="20">
        <v>4.0988180360518109</v>
      </c>
      <c r="H149" s="12"/>
    </row>
    <row r="150" spans="1:12" ht="15.5">
      <c r="A150" s="688">
        <v>2022</v>
      </c>
      <c r="B150" s="19">
        <f t="shared" si="9"/>
        <v>99.070910552039081</v>
      </c>
      <c r="C150" s="26">
        <v>1</v>
      </c>
      <c r="D150" s="26">
        <v>99.070910552039081</v>
      </c>
      <c r="E150" s="26">
        <v>0.92623398237518451</v>
      </c>
      <c r="F150" s="20">
        <v>4.1479008829927722</v>
      </c>
      <c r="H150" s="12"/>
    </row>
    <row r="151" spans="1:12" ht="15.5">
      <c r="A151" s="688">
        <v>2023</v>
      </c>
      <c r="B151" s="19">
        <f t="shared" si="9"/>
        <v>97.875219906014337</v>
      </c>
      <c r="C151" s="25">
        <v>1</v>
      </c>
      <c r="D151" s="26">
        <v>97.875219906014337</v>
      </c>
      <c r="E151" s="26">
        <v>0.8640178947101772</v>
      </c>
      <c r="F151" s="20">
        <v>4.0978397070250079</v>
      </c>
      <c r="H151" s="12"/>
      <c r="L151" s="90"/>
    </row>
    <row r="152" spans="1:12" ht="16" thickBot="1">
      <c r="A152" s="723">
        <v>2024</v>
      </c>
      <c r="B152" s="749">
        <f t="shared" si="9"/>
        <v>98.129572824159155</v>
      </c>
      <c r="C152" s="724">
        <v>1</v>
      </c>
      <c r="D152" s="725">
        <v>98.129572824159155</v>
      </c>
      <c r="E152" s="725">
        <v>0.95334357400103975</v>
      </c>
      <c r="F152" s="726">
        <v>4.1084889550018957</v>
      </c>
      <c r="H152" s="12"/>
    </row>
    <row r="153" spans="1:12" ht="18" customHeight="1">
      <c r="H153" s="12"/>
    </row>
    <row r="154" spans="1:12" ht="16" thickBot="1">
      <c r="H154" s="12"/>
    </row>
    <row r="155" spans="1:12" ht="17.5">
      <c r="A155" s="1074" t="s">
        <v>564</v>
      </c>
      <c r="B155" s="17" t="s">
        <v>40</v>
      </c>
      <c r="C155" s="1076" t="s">
        <v>47</v>
      </c>
      <c r="D155" s="18" t="s">
        <v>40</v>
      </c>
      <c r="E155" s="18" t="s">
        <v>41</v>
      </c>
      <c r="F155" s="15" t="s">
        <v>48</v>
      </c>
      <c r="H155" s="12"/>
    </row>
    <row r="156" spans="1:12" ht="16" thickBot="1">
      <c r="A156" s="1075"/>
      <c r="B156" s="37" t="s">
        <v>30</v>
      </c>
      <c r="C156" s="1077"/>
      <c r="D156" s="27"/>
      <c r="E156" s="27"/>
      <c r="F156" s="28"/>
      <c r="H156" s="12"/>
    </row>
    <row r="157" spans="1:12" ht="15.5">
      <c r="A157" s="687" t="s">
        <v>34</v>
      </c>
      <c r="B157" s="135"/>
      <c r="C157" s="42"/>
      <c r="D157" s="42"/>
      <c r="E157" s="42"/>
      <c r="F157" s="14"/>
      <c r="H157" s="12"/>
    </row>
    <row r="158" spans="1:12" ht="15.5">
      <c r="A158" s="684">
        <v>2015</v>
      </c>
      <c r="B158" s="136">
        <f t="shared" ref="B158:B163" si="10">D158</f>
        <v>86.377055187615269</v>
      </c>
      <c r="C158" s="26">
        <v>1</v>
      </c>
      <c r="D158" s="26">
        <v>86.377055187615269</v>
      </c>
      <c r="E158" s="26">
        <v>1.6565834823828631</v>
      </c>
      <c r="F158" s="20">
        <f t="shared" ref="F158:F163" si="11">D158*4.1868/100</f>
        <v>3.6164345465950758</v>
      </c>
      <c r="H158" s="12"/>
    </row>
    <row r="159" spans="1:12" ht="15.5">
      <c r="A159" s="688">
        <v>2020</v>
      </c>
      <c r="B159" s="19">
        <f t="shared" si="10"/>
        <v>86.664814929906939</v>
      </c>
      <c r="C159" s="26">
        <v>1</v>
      </c>
      <c r="D159" s="26">
        <v>86.664814929906939</v>
      </c>
      <c r="E159" s="26">
        <v>1.6661255191087925</v>
      </c>
      <c r="F159" s="20">
        <f t="shared" si="11"/>
        <v>3.6284824714853436</v>
      </c>
      <c r="H159" s="12"/>
    </row>
    <row r="160" spans="1:12" ht="15.5">
      <c r="A160" s="688">
        <v>2021</v>
      </c>
      <c r="B160" s="19">
        <f t="shared" si="10"/>
        <v>79.606463381660248</v>
      </c>
      <c r="C160" s="26">
        <v>1</v>
      </c>
      <c r="D160" s="26">
        <v>79.606463381660248</v>
      </c>
      <c r="E160" s="26">
        <v>3.1001341823903905</v>
      </c>
      <c r="F160" s="20">
        <f t="shared" si="11"/>
        <v>3.3329634088633511</v>
      </c>
      <c r="H160" s="12"/>
    </row>
    <row r="161" spans="1:12" ht="15.5">
      <c r="A161" s="688">
        <v>2022</v>
      </c>
      <c r="B161" s="19">
        <f t="shared" si="10"/>
        <v>86.887274708443002</v>
      </c>
      <c r="C161" s="26">
        <v>0.99999999999999989</v>
      </c>
      <c r="D161" s="26">
        <v>86.887274708443002</v>
      </c>
      <c r="E161" s="26">
        <v>1.6182324504367496</v>
      </c>
      <c r="F161" s="20">
        <f t="shared" si="11"/>
        <v>3.637796417493091</v>
      </c>
      <c r="H161" s="12"/>
    </row>
    <row r="162" spans="1:12" ht="15.5">
      <c r="A162" s="688">
        <v>2023</v>
      </c>
      <c r="B162" s="19">
        <f t="shared" si="10"/>
        <v>86.530725030197758</v>
      </c>
      <c r="C162" s="25">
        <v>0.99999999999999989</v>
      </c>
      <c r="D162" s="26">
        <v>86.530725030197758</v>
      </c>
      <c r="E162" s="26">
        <v>1.5530620113739668</v>
      </c>
      <c r="F162" s="20">
        <f t="shared" si="11"/>
        <v>3.6228683955643195</v>
      </c>
      <c r="H162" s="12"/>
      <c r="L162" s="90"/>
    </row>
    <row r="163" spans="1:12" ht="16" thickBot="1">
      <c r="A163" s="723">
        <v>2024</v>
      </c>
      <c r="B163" s="749">
        <f t="shared" si="10"/>
        <v>84.830293289079165</v>
      </c>
      <c r="C163" s="724">
        <v>1</v>
      </c>
      <c r="D163" s="725">
        <v>84.830293289079165</v>
      </c>
      <c r="E163" s="725">
        <v>1.979228473582141</v>
      </c>
      <c r="F163" s="726">
        <f t="shared" si="11"/>
        <v>3.5516747194271665</v>
      </c>
      <c r="H163" s="12"/>
    </row>
    <row r="164" spans="1:12" ht="15.5">
      <c r="H164" s="12"/>
    </row>
    <row r="165" spans="1:12" ht="16" thickBot="1">
      <c r="H165" s="12"/>
    </row>
    <row r="166" spans="1:12" ht="17.5">
      <c r="A166" s="682" t="s">
        <v>105</v>
      </c>
      <c r="B166" s="17" t="s">
        <v>40</v>
      </c>
      <c r="C166" s="1076" t="s">
        <v>47</v>
      </c>
      <c r="D166" s="18" t="s">
        <v>40</v>
      </c>
      <c r="E166" s="18" t="s">
        <v>41</v>
      </c>
      <c r="F166" s="15" t="s">
        <v>48</v>
      </c>
      <c r="H166" s="12"/>
    </row>
    <row r="167" spans="1:12" ht="16" thickBot="1">
      <c r="A167" s="683"/>
      <c r="B167" s="37" t="s">
        <v>30</v>
      </c>
      <c r="C167" s="1077"/>
      <c r="D167" s="27"/>
      <c r="E167" s="27"/>
      <c r="F167" s="28"/>
      <c r="H167" s="12"/>
    </row>
    <row r="168" spans="1:12" ht="15.5">
      <c r="A168" s="687" t="s">
        <v>34</v>
      </c>
      <c r="B168" s="16"/>
      <c r="C168" s="42"/>
      <c r="D168" s="42"/>
      <c r="E168" s="42"/>
      <c r="F168" s="14"/>
      <c r="H168" s="12"/>
    </row>
    <row r="169" spans="1:12" ht="15.5">
      <c r="A169" s="684" t="s">
        <v>106</v>
      </c>
      <c r="B169" s="19">
        <v>51.500119443681292</v>
      </c>
      <c r="C169" s="26">
        <v>0.99499999999999988</v>
      </c>
      <c r="D169" s="26">
        <v>51.242618846462882</v>
      </c>
      <c r="E169" s="26">
        <v>2.3646882358076251</v>
      </c>
      <c r="F169" s="20">
        <v>2.1454259658637076</v>
      </c>
      <c r="H169" s="12"/>
    </row>
    <row r="170" spans="1:12" ht="15.5">
      <c r="A170" s="684">
        <v>2010</v>
      </c>
      <c r="B170" s="19">
        <f>D170</f>
        <v>50.111980758408684</v>
      </c>
      <c r="C170" s="26">
        <v>0.99580346380588181</v>
      </c>
      <c r="D170" s="26">
        <v>50.111980758408684</v>
      </c>
      <c r="E170" s="26">
        <v>2.2951607175454809</v>
      </c>
      <c r="F170" s="20">
        <v>2.0980884103930548</v>
      </c>
      <c r="H170" s="12"/>
    </row>
    <row r="171" spans="1:12" ht="15.5">
      <c r="A171" s="684">
        <v>2015</v>
      </c>
      <c r="B171" s="19">
        <f>D171</f>
        <v>47.829612521401685</v>
      </c>
      <c r="C171" s="26">
        <v>0.99999997350867742</v>
      </c>
      <c r="D171" s="26">
        <v>47.829612521401685</v>
      </c>
      <c r="E171" s="26">
        <v>2.1629348060497242</v>
      </c>
      <c r="F171" s="20">
        <v>2.0025302170460457</v>
      </c>
      <c r="H171" s="12"/>
    </row>
    <row r="172" spans="1:12" ht="15.5">
      <c r="A172" s="688">
        <v>2020</v>
      </c>
      <c r="B172" s="19">
        <f>D172</f>
        <v>48.229037793487905</v>
      </c>
      <c r="C172" s="26">
        <v>0.99999999999999989</v>
      </c>
      <c r="D172" s="26">
        <v>48.229037793487905</v>
      </c>
      <c r="E172" s="26">
        <v>2.1892534774143093</v>
      </c>
      <c r="F172" s="20">
        <v>2.0192533543377515</v>
      </c>
      <c r="H172" s="12"/>
    </row>
    <row r="173" spans="1:12" ht="15.5">
      <c r="A173" s="688">
        <v>2021</v>
      </c>
      <c r="B173" s="19">
        <f>D173</f>
        <v>47.588841517080532</v>
      </c>
      <c r="C173" s="26">
        <v>0.99999999999999989</v>
      </c>
      <c r="D173" s="26">
        <v>47.588841517080532</v>
      </c>
      <c r="E173" s="26">
        <v>2.2040358324239562</v>
      </c>
      <c r="F173" s="20">
        <v>1.9924496166371277</v>
      </c>
      <c r="H173" s="12"/>
    </row>
    <row r="174" spans="1:12" ht="15.5">
      <c r="A174" s="688">
        <v>2022</v>
      </c>
      <c r="B174" s="19">
        <f>D174</f>
        <v>48.935160924340444</v>
      </c>
      <c r="C174" s="26">
        <v>0.99999999999999967</v>
      </c>
      <c r="D174" s="26">
        <v>48.935160924340444</v>
      </c>
      <c r="E174" s="26">
        <v>2.2156373250447272</v>
      </c>
      <c r="F174" s="20">
        <v>2.0488173175802853</v>
      </c>
      <c r="H174" s="12"/>
    </row>
    <row r="175" spans="1:12" ht="15.5">
      <c r="A175" s="688">
        <v>2023</v>
      </c>
      <c r="B175" s="19">
        <v>49.736271087485697</v>
      </c>
      <c r="C175" s="25">
        <v>1.0000000000000004</v>
      </c>
      <c r="D175" s="26">
        <v>49.736271087485719</v>
      </c>
      <c r="E175" s="26">
        <v>2.2257595064764018</v>
      </c>
      <c r="F175" s="20">
        <v>2.0823581978908519</v>
      </c>
      <c r="H175" s="12"/>
      <c r="L175" s="90"/>
    </row>
    <row r="176" spans="1:12" ht="16" thickBot="1">
      <c r="A176" s="723">
        <v>2024</v>
      </c>
      <c r="B176" s="749">
        <f>D176</f>
        <v>50.149724607558781</v>
      </c>
      <c r="C176" s="724">
        <v>1</v>
      </c>
      <c r="D176" s="725">
        <v>50.149724607558781</v>
      </c>
      <c r="E176" s="725">
        <v>2.202075320595589</v>
      </c>
      <c r="F176" s="726">
        <v>2.099668669869271</v>
      </c>
      <c r="H176" s="12"/>
    </row>
    <row r="177" spans="1:12" ht="15.5">
      <c r="A177" s="686"/>
      <c r="B177" s="25"/>
      <c r="C177" s="26"/>
      <c r="D177" s="26"/>
      <c r="E177" s="26"/>
      <c r="F177" s="26"/>
      <c r="H177" s="12"/>
    </row>
    <row r="178" spans="1:12" ht="16" thickBot="1">
      <c r="H178" s="12"/>
    </row>
    <row r="179" spans="1:12" ht="17.5">
      <c r="A179" s="682" t="s">
        <v>358</v>
      </c>
      <c r="B179" s="17" t="s">
        <v>40</v>
      </c>
      <c r="C179" s="1076" t="s">
        <v>47</v>
      </c>
      <c r="D179" s="18" t="s">
        <v>40</v>
      </c>
      <c r="E179" s="18" t="s">
        <v>41</v>
      </c>
      <c r="F179" s="15" t="s">
        <v>48</v>
      </c>
      <c r="H179" s="12"/>
    </row>
    <row r="180" spans="1:12" ht="16" thickBot="1">
      <c r="A180" s="683"/>
      <c r="B180" s="37" t="s">
        <v>30</v>
      </c>
      <c r="C180" s="1077"/>
      <c r="D180" s="27"/>
      <c r="E180" s="27"/>
      <c r="F180" s="28"/>
      <c r="H180" s="12"/>
    </row>
    <row r="181" spans="1:12" ht="15.5">
      <c r="A181" s="687" t="s">
        <v>34</v>
      </c>
      <c r="B181" s="135"/>
      <c r="C181" s="42"/>
      <c r="D181" s="42"/>
      <c r="E181" s="42"/>
      <c r="F181" s="14"/>
      <c r="H181" s="12"/>
    </row>
    <row r="182" spans="1:12" ht="15.5">
      <c r="A182" s="684" t="s">
        <v>96</v>
      </c>
      <c r="B182" s="136">
        <v>97.5</v>
      </c>
      <c r="C182" s="26">
        <v>1</v>
      </c>
      <c r="D182" s="26">
        <v>97.5</v>
      </c>
      <c r="E182" s="26">
        <v>3.1687499999999993</v>
      </c>
      <c r="F182" s="20">
        <v>4.0821299999999994</v>
      </c>
      <c r="H182" s="12"/>
    </row>
    <row r="183" spans="1:12" ht="15.5">
      <c r="A183" s="684">
        <v>2005</v>
      </c>
      <c r="B183" s="136">
        <v>92.956595395622259</v>
      </c>
      <c r="C183" s="26">
        <v>1</v>
      </c>
      <c r="D183" s="26">
        <v>92.956595395622259</v>
      </c>
      <c r="E183" s="26">
        <v>3.0973003713209457</v>
      </c>
      <c r="F183" s="20">
        <v>3.8919067360239126</v>
      </c>
      <c r="H183" s="12"/>
    </row>
    <row r="184" spans="1:12" ht="15.5">
      <c r="A184" s="684">
        <v>2010</v>
      </c>
      <c r="B184" s="19">
        <f t="shared" ref="B184:B190" si="12">D184</f>
        <v>100.53807027147948</v>
      </c>
      <c r="C184" s="26">
        <v>1</v>
      </c>
      <c r="D184" s="26">
        <v>100.53807027147948</v>
      </c>
      <c r="E184" s="26">
        <v>3.422633084269012</v>
      </c>
      <c r="F184" s="20">
        <v>4.2093279261263028</v>
      </c>
      <c r="H184" s="12"/>
    </row>
    <row r="185" spans="1:12" ht="15.5">
      <c r="A185" s="684">
        <v>2015</v>
      </c>
      <c r="B185" s="19">
        <f t="shared" si="12"/>
        <v>96.771814063545733</v>
      </c>
      <c r="C185" s="26">
        <v>1</v>
      </c>
      <c r="D185" s="26">
        <v>96.771814063545733</v>
      </c>
      <c r="E185" s="26">
        <v>3.4317358691296502</v>
      </c>
      <c r="F185" s="20">
        <v>4.0516423112125324</v>
      </c>
      <c r="H185" s="12"/>
    </row>
    <row r="186" spans="1:12" ht="15.5">
      <c r="A186" s="688">
        <v>2020</v>
      </c>
      <c r="B186" s="19">
        <f t="shared" si="12"/>
        <v>97.082136323969067</v>
      </c>
      <c r="C186" s="26">
        <v>1</v>
      </c>
      <c r="D186" s="26">
        <v>97.082136323969067</v>
      </c>
      <c r="E186" s="26">
        <v>3.4416788810378303</v>
      </c>
      <c r="F186" s="20">
        <v>4.0646348836119373</v>
      </c>
      <c r="H186" s="12"/>
    </row>
    <row r="187" spans="1:12" ht="15.5">
      <c r="A187" s="688">
        <v>2021</v>
      </c>
      <c r="B187" s="19">
        <f t="shared" si="12"/>
        <v>96.53642397681827</v>
      </c>
      <c r="C187" s="26">
        <v>1</v>
      </c>
      <c r="D187" s="26">
        <v>96.53642397681827</v>
      </c>
      <c r="E187" s="26">
        <v>3.4233884141719475</v>
      </c>
      <c r="F187" s="20">
        <v>4.0417869990614266</v>
      </c>
      <c r="H187" s="12"/>
    </row>
    <row r="188" spans="1:12" ht="15.5">
      <c r="A188" s="688">
        <v>2022</v>
      </c>
      <c r="B188" s="19">
        <f t="shared" si="12"/>
        <v>96.854697597692351</v>
      </c>
      <c r="C188" s="26">
        <v>1</v>
      </c>
      <c r="D188" s="26">
        <v>96.854697597692351</v>
      </c>
      <c r="E188" s="26">
        <v>3.4346750786386013</v>
      </c>
      <c r="F188" s="20">
        <v>4.0551124790201838</v>
      </c>
      <c r="H188" s="12"/>
    </row>
    <row r="189" spans="1:12" ht="15.5">
      <c r="A189" s="688">
        <v>2023</v>
      </c>
      <c r="B189" s="19">
        <f t="shared" si="12"/>
        <v>95.672350796353058</v>
      </c>
      <c r="C189" s="25">
        <v>1</v>
      </c>
      <c r="D189" s="26">
        <v>95.672350796353058</v>
      </c>
      <c r="E189" s="26">
        <v>3.3927465279994116</v>
      </c>
      <c r="F189" s="20">
        <v>4.0056099831417091</v>
      </c>
      <c r="H189" s="12"/>
      <c r="L189" s="90"/>
    </row>
    <row r="190" spans="1:12" ht="16" thickBot="1">
      <c r="A190" s="723">
        <v>2024</v>
      </c>
      <c r="B190" s="749">
        <f t="shared" si="12"/>
        <v>95.308235779142592</v>
      </c>
      <c r="C190" s="724">
        <v>1</v>
      </c>
      <c r="D190" s="725">
        <v>95.308235779142592</v>
      </c>
      <c r="E190" s="725">
        <v>3.379834229407912</v>
      </c>
      <c r="F190" s="726">
        <v>3.990365215601142</v>
      </c>
      <c r="H190" s="12"/>
    </row>
    <row r="191" spans="1:12" ht="15.5">
      <c r="H191" s="12"/>
    </row>
    <row r="192" spans="1:12" ht="16" thickBot="1">
      <c r="H192" s="12"/>
    </row>
    <row r="193" spans="1:12" ht="17.5">
      <c r="A193" s="682" t="s">
        <v>718</v>
      </c>
      <c r="B193" s="17" t="s">
        <v>40</v>
      </c>
      <c r="C193" s="1076" t="s">
        <v>47</v>
      </c>
      <c r="D193" s="18" t="s">
        <v>40</v>
      </c>
      <c r="E193" s="18" t="s">
        <v>41</v>
      </c>
      <c r="F193" s="15" t="s">
        <v>48</v>
      </c>
      <c r="H193" s="12"/>
    </row>
    <row r="194" spans="1:12" ht="16" thickBot="1">
      <c r="A194" s="683"/>
      <c r="B194" s="37" t="s">
        <v>30</v>
      </c>
      <c r="C194" s="1077"/>
      <c r="D194" s="27"/>
      <c r="E194" s="27"/>
      <c r="F194" s="28"/>
      <c r="H194" s="12"/>
    </row>
    <row r="195" spans="1:12" ht="15.5">
      <c r="A195" s="687" t="s">
        <v>34</v>
      </c>
      <c r="B195" s="135"/>
      <c r="C195" s="42"/>
      <c r="D195" s="42"/>
      <c r="E195" s="42"/>
      <c r="F195" s="14"/>
      <c r="H195" s="12"/>
    </row>
    <row r="196" spans="1:12" ht="15.5">
      <c r="A196" s="684" t="s">
        <v>426</v>
      </c>
      <c r="B196" s="19">
        <f t="shared" ref="B196:B201" si="13">D196</f>
        <v>48.854533333333343</v>
      </c>
      <c r="C196" s="26">
        <v>1</v>
      </c>
      <c r="D196" s="26">
        <v>48.854533333333343</v>
      </c>
      <c r="E196" s="26">
        <v>0.73281800000000008</v>
      </c>
      <c r="F196" s="20">
        <v>2.0454416016000003</v>
      </c>
      <c r="H196" s="12"/>
    </row>
    <row r="197" spans="1:12" ht="15.5">
      <c r="A197" s="688">
        <v>2020</v>
      </c>
      <c r="B197" s="19">
        <f t="shared" si="13"/>
        <v>44.830616970549087</v>
      </c>
      <c r="C197" s="26">
        <v>1</v>
      </c>
      <c r="D197" s="26">
        <v>44.830616970549087</v>
      </c>
      <c r="E197" s="26">
        <v>1.1015236602632663</v>
      </c>
      <c r="F197" s="20">
        <v>1.8769682713229492</v>
      </c>
      <c r="H197" s="12"/>
    </row>
    <row r="198" spans="1:12" ht="15.5">
      <c r="A198" s="688">
        <v>2021</v>
      </c>
      <c r="B198" s="19">
        <f t="shared" si="13"/>
        <v>46.488718443097788</v>
      </c>
      <c r="C198" s="26">
        <v>1</v>
      </c>
      <c r="D198" s="26">
        <v>46.488718443097788</v>
      </c>
      <c r="E198" s="26">
        <v>1.1689279432406705</v>
      </c>
      <c r="F198" s="20">
        <v>1.9463896637756182</v>
      </c>
      <c r="H198" s="12"/>
    </row>
    <row r="199" spans="1:12" ht="15.5">
      <c r="A199" s="688">
        <v>2022</v>
      </c>
      <c r="B199" s="19">
        <f t="shared" si="13"/>
        <v>47.673861467305969</v>
      </c>
      <c r="C199" s="26">
        <v>1</v>
      </c>
      <c r="D199" s="26">
        <v>47.673861467305969</v>
      </c>
      <c r="E199" s="26">
        <v>1.1897937357011699</v>
      </c>
      <c r="F199" s="20">
        <v>1.9960092319131661</v>
      </c>
      <c r="H199" s="12"/>
    </row>
    <row r="200" spans="1:12" ht="15.5">
      <c r="A200" s="688">
        <v>2023</v>
      </c>
      <c r="B200" s="19">
        <f t="shared" si="13"/>
        <v>47.470575732539722</v>
      </c>
      <c r="C200" s="25">
        <v>1</v>
      </c>
      <c r="D200" s="26">
        <v>47.470575732539722</v>
      </c>
      <c r="E200" s="26">
        <v>1.1862255800770285</v>
      </c>
      <c r="F200" s="20">
        <v>1.9874980647699729</v>
      </c>
      <c r="H200" s="12"/>
      <c r="L200" s="90"/>
    </row>
    <row r="201" spans="1:12" ht="16" thickBot="1">
      <c r="A201" s="723">
        <v>2024</v>
      </c>
      <c r="B201" s="749">
        <f t="shared" si="13"/>
        <v>38.163950960454656</v>
      </c>
      <c r="C201" s="724">
        <v>1</v>
      </c>
      <c r="D201" s="725">
        <v>38.163950960454656</v>
      </c>
      <c r="E201" s="725">
        <v>0.94513388855379998</v>
      </c>
      <c r="F201" s="726">
        <v>1.5978482988123155</v>
      </c>
      <c r="H201" s="12"/>
    </row>
    <row r="202" spans="1:12" ht="15.5">
      <c r="H202" s="12"/>
    </row>
    <row r="203" spans="1:12" ht="16" thickBot="1">
      <c r="H203" s="12"/>
    </row>
    <row r="204" spans="1:12" ht="17.5">
      <c r="A204" s="682" t="s">
        <v>512</v>
      </c>
      <c r="B204" s="17" t="s">
        <v>40</v>
      </c>
      <c r="C204" s="1076" t="s">
        <v>47</v>
      </c>
      <c r="D204" s="18" t="s">
        <v>508</v>
      </c>
      <c r="E204" s="18" t="s">
        <v>509</v>
      </c>
      <c r="F204" s="15" t="s">
        <v>510</v>
      </c>
      <c r="H204" s="12"/>
    </row>
    <row r="205" spans="1:12" ht="16" thickBot="1">
      <c r="A205" s="683"/>
      <c r="B205" s="37" t="s">
        <v>30</v>
      </c>
      <c r="C205" s="1077"/>
      <c r="D205" s="27"/>
      <c r="E205" s="27"/>
      <c r="F205" s="28"/>
      <c r="H205" s="12"/>
    </row>
    <row r="206" spans="1:12" ht="15.5">
      <c r="A206" s="687" t="s">
        <v>34</v>
      </c>
      <c r="B206" s="680"/>
      <c r="C206" s="677"/>
      <c r="D206" s="678"/>
      <c r="E206" s="678"/>
      <c r="F206" s="679"/>
      <c r="H206" s="12"/>
    </row>
    <row r="207" spans="1:12" ht="15.5">
      <c r="A207" s="684" t="s">
        <v>511</v>
      </c>
      <c r="B207" s="136">
        <f>D207</f>
        <v>79.968000000000004</v>
      </c>
      <c r="C207" s="681">
        <v>1</v>
      </c>
      <c r="D207" s="26">
        <v>79.968000000000004</v>
      </c>
      <c r="E207" s="26">
        <v>1.9244503518524063</v>
      </c>
      <c r="F207" s="20">
        <v>3.348100224</v>
      </c>
      <c r="H207" s="12"/>
    </row>
    <row r="208" spans="1:12" ht="15.5">
      <c r="A208" s="684">
        <v>2015</v>
      </c>
      <c r="B208" s="136">
        <f>D208</f>
        <v>78.975999999999999</v>
      </c>
      <c r="C208" s="681">
        <v>1</v>
      </c>
      <c r="D208" s="26">
        <v>78.975999999999999</v>
      </c>
      <c r="E208" s="26">
        <v>1.9875228889055208</v>
      </c>
      <c r="F208" s="20">
        <v>3.3065671679999995</v>
      </c>
      <c r="H208" s="12"/>
    </row>
    <row r="209" spans="1:12" ht="15.5">
      <c r="A209" s="684">
        <v>2020</v>
      </c>
      <c r="B209" s="136">
        <f>D209</f>
        <v>79.915000000000006</v>
      </c>
      <c r="C209" s="681">
        <v>1</v>
      </c>
      <c r="D209" s="26">
        <v>79.915000000000006</v>
      </c>
      <c r="E209" s="26">
        <v>2.0697119496228158</v>
      </c>
      <c r="F209" s="20">
        <v>3.3458812199999999</v>
      </c>
      <c r="H209" s="12"/>
    </row>
    <row r="210" spans="1:12" ht="15.5">
      <c r="A210" s="684">
        <v>2021</v>
      </c>
      <c r="B210" s="136">
        <f>D210</f>
        <v>81.472999999999999</v>
      </c>
      <c r="C210" s="681">
        <v>1</v>
      </c>
      <c r="D210" s="26">
        <v>81.472999999999999</v>
      </c>
      <c r="E210" s="26">
        <v>2.0273555164117889</v>
      </c>
      <c r="F210" s="20">
        <v>3.4111115639999996</v>
      </c>
      <c r="H210" s="12"/>
    </row>
    <row r="211" spans="1:12" ht="15.5">
      <c r="A211" s="684">
        <v>2022</v>
      </c>
      <c r="B211" s="136">
        <f>D211</f>
        <v>81.504000000000005</v>
      </c>
      <c r="C211" s="681">
        <v>1</v>
      </c>
      <c r="D211" s="26">
        <v>81.504000000000005</v>
      </c>
      <c r="E211" s="26">
        <v>2.0543817217570144</v>
      </c>
      <c r="F211" s="20">
        <v>3.4124094719999998</v>
      </c>
      <c r="H211" s="12"/>
    </row>
    <row r="212" spans="1:12" ht="15.5">
      <c r="A212" s="688">
        <v>2023</v>
      </c>
      <c r="B212" s="19">
        <v>81.72076749652021</v>
      </c>
      <c r="C212" s="25">
        <v>1</v>
      </c>
      <c r="D212" s="26">
        <v>81.72076749652021</v>
      </c>
      <c r="E212" s="26">
        <v>2.0141095765129799</v>
      </c>
      <c r="F212" s="20">
        <v>3.421485093544308</v>
      </c>
      <c r="H212" s="12"/>
      <c r="L212" s="90"/>
    </row>
    <row r="213" spans="1:12" ht="16" thickBot="1">
      <c r="A213" s="723">
        <v>2024</v>
      </c>
      <c r="B213" s="749">
        <f>D213</f>
        <v>79.528956465965948</v>
      </c>
      <c r="C213" s="724">
        <v>1</v>
      </c>
      <c r="D213" s="725">
        <v>79.528956465965948</v>
      </c>
      <c r="E213" s="725">
        <v>2.0046488995144069</v>
      </c>
      <c r="F213" s="726">
        <v>3.3297183493170621</v>
      </c>
      <c r="H213" s="12"/>
    </row>
    <row r="214" spans="1:12" ht="15.5">
      <c r="H214" s="12"/>
    </row>
    <row r="215" spans="1:12" ht="16" thickBot="1">
      <c r="H215" s="12"/>
    </row>
    <row r="216" spans="1:12" ht="17.5">
      <c r="A216" s="682" t="s">
        <v>534</v>
      </c>
      <c r="B216" s="17" t="s">
        <v>40</v>
      </c>
      <c r="C216" s="1076" t="s">
        <v>47</v>
      </c>
      <c r="D216" s="18" t="s">
        <v>508</v>
      </c>
      <c r="E216" s="18" t="s">
        <v>509</v>
      </c>
      <c r="F216" s="15" t="s">
        <v>510</v>
      </c>
      <c r="H216" s="12"/>
    </row>
    <row r="217" spans="1:12" ht="16" thickBot="1">
      <c r="A217" s="683"/>
      <c r="B217" s="37" t="s">
        <v>30</v>
      </c>
      <c r="C217" s="1077"/>
      <c r="D217" s="27"/>
      <c r="E217" s="27"/>
      <c r="F217" s="28"/>
      <c r="H217" s="12"/>
    </row>
    <row r="218" spans="1:12" ht="15.5">
      <c r="A218" s="687" t="s">
        <v>34</v>
      </c>
      <c r="B218" s="680"/>
      <c r="C218" s="678"/>
      <c r="D218" s="678"/>
      <c r="E218" s="678"/>
      <c r="F218" s="679"/>
      <c r="H218" s="12"/>
    </row>
    <row r="219" spans="1:12" ht="15.5">
      <c r="A219" s="684">
        <v>1990</v>
      </c>
      <c r="B219" s="136">
        <f>D219</f>
        <v>57.61863766097008</v>
      </c>
      <c r="C219" s="26">
        <v>1</v>
      </c>
      <c r="D219" s="26">
        <v>57.61863766097008</v>
      </c>
      <c r="E219" s="26">
        <v>0.58146864686831801</v>
      </c>
      <c r="F219" s="20">
        <v>2.4123771215894951</v>
      </c>
      <c r="H219" s="12"/>
    </row>
    <row r="220" spans="1:12" ht="15.5">
      <c r="A220" s="684">
        <v>1995</v>
      </c>
      <c r="B220" s="136">
        <f t="shared" ref="B220:B228" si="14">D220</f>
        <v>51.064227605955935</v>
      </c>
      <c r="C220" s="26">
        <v>1</v>
      </c>
      <c r="D220" s="26">
        <v>51.064227605955935</v>
      </c>
      <c r="E220" s="26">
        <v>0.51249078380061441</v>
      </c>
      <c r="F220" s="20">
        <v>2.1379570814061633</v>
      </c>
      <c r="H220" s="12"/>
    </row>
    <row r="221" spans="1:12" ht="15.5">
      <c r="A221" s="684">
        <v>2000</v>
      </c>
      <c r="B221" s="136">
        <f t="shared" si="14"/>
        <v>48.705578790275474</v>
      </c>
      <c r="C221" s="26">
        <v>1</v>
      </c>
      <c r="D221" s="26">
        <v>48.705578790275474</v>
      </c>
      <c r="E221" s="26">
        <v>0.48764141608898381</v>
      </c>
      <c r="F221" s="20">
        <v>2.0392051727912537</v>
      </c>
      <c r="H221" s="12"/>
    </row>
    <row r="222" spans="1:12" ht="15.5">
      <c r="A222" s="684">
        <v>2005</v>
      </c>
      <c r="B222" s="136">
        <f t="shared" si="14"/>
        <v>48.985861297406004</v>
      </c>
      <c r="C222" s="26">
        <v>1</v>
      </c>
      <c r="D222" s="26">
        <v>48.985861297406004</v>
      </c>
      <c r="E222" s="26">
        <v>0.59298570130028938</v>
      </c>
      <c r="F222" s="20">
        <v>2.0509400407997944</v>
      </c>
      <c r="H222" s="12"/>
    </row>
    <row r="223" spans="1:12" ht="15.5">
      <c r="A223" s="684">
        <v>2010</v>
      </c>
      <c r="B223" s="136">
        <f t="shared" si="14"/>
        <v>62.847065837061187</v>
      </c>
      <c r="C223" s="26">
        <v>1</v>
      </c>
      <c r="D223" s="26">
        <v>62.847065837061187</v>
      </c>
      <c r="E223" s="26">
        <v>0.5261800435297378</v>
      </c>
      <c r="F223" s="20">
        <v>2.6312809524660774</v>
      </c>
      <c r="H223" s="12"/>
    </row>
    <row r="224" spans="1:12" ht="15.5">
      <c r="A224" s="684">
        <v>2015</v>
      </c>
      <c r="B224" s="136">
        <f t="shared" si="14"/>
        <v>63.988861492869503</v>
      </c>
      <c r="C224" s="26">
        <v>1</v>
      </c>
      <c r="D224" s="26">
        <v>63.988861492869503</v>
      </c>
      <c r="E224" s="26">
        <v>0.52097420017840701</v>
      </c>
      <c r="F224" s="20">
        <v>2.6790856529834604</v>
      </c>
      <c r="H224" s="12"/>
    </row>
    <row r="225" spans="1:8" ht="15.5">
      <c r="A225" s="684">
        <v>2020</v>
      </c>
      <c r="B225" s="136">
        <f t="shared" si="14"/>
        <v>68.39459581186307</v>
      </c>
      <c r="C225" s="26">
        <v>1</v>
      </c>
      <c r="D225" s="26">
        <v>68.39459581186307</v>
      </c>
      <c r="E225" s="26">
        <v>0.52953135882324631</v>
      </c>
      <c r="F225" s="20">
        <v>2.8635449374510831</v>
      </c>
      <c r="H225" s="12"/>
    </row>
    <row r="226" spans="1:8" ht="15.5">
      <c r="A226" s="684">
        <v>2021</v>
      </c>
      <c r="B226" s="136">
        <f t="shared" si="14"/>
        <v>67.774611508015468</v>
      </c>
      <c r="C226" s="26">
        <v>1</v>
      </c>
      <c r="D226" s="26">
        <v>67.774611508015468</v>
      </c>
      <c r="E226" s="26">
        <v>0.52781776552816762</v>
      </c>
      <c r="F226" s="20">
        <v>2.8375874346175913</v>
      </c>
      <c r="H226" s="12"/>
    </row>
    <row r="227" spans="1:8" ht="15.5">
      <c r="A227" s="684">
        <v>2022</v>
      </c>
      <c r="B227" s="136">
        <f>D227</f>
        <v>68.18311112761522</v>
      </c>
      <c r="C227" s="26">
        <v>1</v>
      </c>
      <c r="D227" s="26">
        <v>68.18311112761522</v>
      </c>
      <c r="E227" s="26">
        <v>0.52601633787699043</v>
      </c>
      <c r="F227" s="20">
        <v>2.8546904966909938</v>
      </c>
      <c r="H227" s="12"/>
    </row>
    <row r="228" spans="1:8" ht="15.5">
      <c r="A228" s="684">
        <v>2023</v>
      </c>
      <c r="B228" s="136">
        <f t="shared" si="14"/>
        <v>68.724753584816526</v>
      </c>
      <c r="C228" s="26">
        <v>1</v>
      </c>
      <c r="D228" s="26">
        <v>68.724753584816526</v>
      </c>
      <c r="E228" s="26">
        <v>0.52380092205265538</v>
      </c>
      <c r="F228" s="20">
        <v>2.8773679830890986</v>
      </c>
    </row>
    <row r="229" spans="1:8" ht="16" thickBot="1">
      <c r="A229" s="723">
        <v>2024</v>
      </c>
      <c r="B229" s="749">
        <f>D229</f>
        <v>67.230559572711343</v>
      </c>
      <c r="C229" s="724">
        <v>1</v>
      </c>
      <c r="D229" s="725">
        <v>67.230559572711343</v>
      </c>
      <c r="E229" s="725">
        <v>0.52295664987395107</v>
      </c>
      <c r="F229" s="726">
        <v>2.8148090681902782</v>
      </c>
    </row>
    <row r="231" spans="1:8" ht="15" thickBot="1"/>
    <row r="232" spans="1:8" ht="17.5">
      <c r="A232" s="682" t="s">
        <v>577</v>
      </c>
      <c r="B232" s="17" t="s">
        <v>40</v>
      </c>
      <c r="C232" s="1076" t="s">
        <v>47</v>
      </c>
      <c r="D232" s="18" t="s">
        <v>508</v>
      </c>
      <c r="E232" s="18" t="s">
        <v>509</v>
      </c>
      <c r="F232" s="15" t="s">
        <v>510</v>
      </c>
    </row>
    <row r="233" spans="1:8" ht="16" thickBot="1">
      <c r="A233" s="683" t="s">
        <v>578</v>
      </c>
      <c r="B233" s="37" t="s">
        <v>30</v>
      </c>
      <c r="C233" s="1077"/>
      <c r="D233" s="27"/>
      <c r="E233" s="27"/>
      <c r="F233" s="28"/>
    </row>
    <row r="234" spans="1:8" ht="15.5">
      <c r="A234" s="684" t="s">
        <v>274</v>
      </c>
      <c r="B234" s="136">
        <f t="shared" ref="B234:B239" si="15">D234</f>
        <v>101</v>
      </c>
      <c r="C234" s="26">
        <v>1</v>
      </c>
      <c r="D234" s="26">
        <v>101</v>
      </c>
      <c r="E234" s="26">
        <v>1.202</v>
      </c>
      <c r="F234" s="20">
        <v>4.2290000000000001</v>
      </c>
    </row>
    <row r="235" spans="1:8" ht="15.5">
      <c r="A235" s="684" t="s">
        <v>556</v>
      </c>
      <c r="B235" s="136">
        <f t="shared" si="15"/>
        <v>69.3</v>
      </c>
      <c r="C235" s="26">
        <v>1</v>
      </c>
      <c r="D235" s="26">
        <v>69.3</v>
      </c>
      <c r="E235" s="26">
        <v>3.07</v>
      </c>
      <c r="F235" s="20">
        <v>2.9009999999999998</v>
      </c>
    </row>
    <row r="236" spans="1:8" ht="15.5">
      <c r="A236" s="684" t="s">
        <v>579</v>
      </c>
      <c r="B236" s="136">
        <f t="shared" si="15"/>
        <v>63.1</v>
      </c>
      <c r="C236" s="26">
        <v>1</v>
      </c>
      <c r="D236" s="26">
        <v>63.1</v>
      </c>
      <c r="E236" s="26">
        <v>2.9849999999999999</v>
      </c>
      <c r="F236" s="20">
        <v>2.6419999999999999</v>
      </c>
    </row>
    <row r="237" spans="1:8" ht="15.5">
      <c r="A237" s="684" t="s">
        <v>280</v>
      </c>
      <c r="B237" s="136">
        <f t="shared" si="15"/>
        <v>74.099999999999994</v>
      </c>
      <c r="C237" s="26">
        <v>1</v>
      </c>
      <c r="D237" s="26">
        <v>74.099999999999994</v>
      </c>
      <c r="E237" s="26">
        <v>3.1859999999999999</v>
      </c>
      <c r="F237" s="20">
        <v>3.1019999999999999</v>
      </c>
    </row>
    <row r="238" spans="1:8" ht="15.5">
      <c r="A238" s="684" t="s">
        <v>580</v>
      </c>
      <c r="B238" s="136">
        <f t="shared" si="15"/>
        <v>73.3</v>
      </c>
      <c r="C238" s="26">
        <v>1</v>
      </c>
      <c r="D238" s="26">
        <v>73.3</v>
      </c>
      <c r="E238" s="26">
        <v>3.262</v>
      </c>
      <c r="F238" s="20">
        <v>3.069</v>
      </c>
    </row>
    <row r="239" spans="1:8" ht="16" thickBot="1">
      <c r="A239" s="723" t="s">
        <v>581</v>
      </c>
      <c r="B239" s="749">
        <f t="shared" si="15"/>
        <v>71.5</v>
      </c>
      <c r="C239" s="724">
        <v>1</v>
      </c>
      <c r="D239" s="725">
        <v>71.5</v>
      </c>
      <c r="E239" s="725">
        <v>3.153</v>
      </c>
      <c r="F239" s="726">
        <v>2.9940000000000002</v>
      </c>
    </row>
  </sheetData>
  <sheetProtection algorithmName="SHA-512" hashValue="L2cDxZWYp2O8brNyds8PLic4G2KahS2ZJLvZACwzs3qJPGicMp1xnTEMfcfMGXSj98LDhTuKfP6hhaMuNtisKg==" saltValue="chvkuuWw8NyxqOdzrg7k1A==" spinCount="100000" sheet="1" objects="1" scenarios="1"/>
  <mergeCells count="28">
    <mergeCell ref="C232:C233"/>
    <mergeCell ref="D130:F130"/>
    <mergeCell ref="C142:C143"/>
    <mergeCell ref="C166:C167"/>
    <mergeCell ref="D72:F72"/>
    <mergeCell ref="D86:F86"/>
    <mergeCell ref="D101:F101"/>
    <mergeCell ref="D116:F116"/>
    <mergeCell ref="C71:C72"/>
    <mergeCell ref="C85:C86"/>
    <mergeCell ref="C100:C101"/>
    <mergeCell ref="C115:C116"/>
    <mergeCell ref="A3:F3"/>
    <mergeCell ref="C4:C5"/>
    <mergeCell ref="C31:C32"/>
    <mergeCell ref="C51:C52"/>
    <mergeCell ref="A4:A5"/>
    <mergeCell ref="A31:A32"/>
    <mergeCell ref="D32:F32"/>
    <mergeCell ref="D52:F52"/>
    <mergeCell ref="D5:F5"/>
    <mergeCell ref="A155:A156"/>
    <mergeCell ref="C179:C180"/>
    <mergeCell ref="C129:C130"/>
    <mergeCell ref="C216:C217"/>
    <mergeCell ref="C204:C205"/>
    <mergeCell ref="C193:C194"/>
    <mergeCell ref="C155:C156"/>
  </mergeCells>
  <hyperlinks>
    <hyperlink ref="A1" location="Indice!A1" display="Torna indietro" xr:uid="{445B071B-AA4E-41F6-81BF-97DA830221ED}"/>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Fogli di lavoro</vt:lpstr>
      </vt:variant>
      <vt:variant>
        <vt:i4>35</vt:i4>
      </vt:variant>
      <vt:variant>
        <vt:lpstr>Grafici</vt:lpstr>
      </vt:variant>
      <vt:variant>
        <vt:i4>1</vt:i4>
      </vt:variant>
      <vt:variant>
        <vt:lpstr>Intervalli denominati</vt:lpstr>
      </vt:variant>
      <vt:variant>
        <vt:i4>1</vt:i4>
      </vt:variant>
    </vt:vector>
  </HeadingPairs>
  <TitlesOfParts>
    <vt:vector size="37" baseType="lpstr">
      <vt:lpstr>Copertina</vt:lpstr>
      <vt:lpstr>Indice</vt:lpstr>
      <vt:lpstr>Modulo</vt: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5-x</vt:lpstr>
      <vt:lpstr>6-x</vt:lpstr>
      <vt:lpstr>6-y</vt:lpstr>
      <vt:lpstr>25x</vt:lpstr>
      <vt:lpstr>mm</vt:lpstr>
      <vt:lpstr>lorda</vt:lpstr>
      <vt:lpstr>Other</vt:lpstr>
      <vt:lpstr>Grafico</vt:lpstr>
      <vt:lpstr>yearlist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dc:creator>
  <cp:lastModifiedBy>Gagna Andrea</cp:lastModifiedBy>
  <dcterms:created xsi:type="dcterms:W3CDTF">2012-03-05T11:18:42Z</dcterms:created>
  <dcterms:modified xsi:type="dcterms:W3CDTF">2026-06-26T10:08:46Z</dcterms:modified>
</cp:coreProperties>
</file>