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isprambiente-my.sharepoint.com/personal/marco_cordella_isprambiente_it/Documents/ISPRA/VAL ATM/Riccardo/National Inventory Report/sito emissioni/caricamenti/2026/"/>
    </mc:Choice>
  </mc:AlternateContent>
  <xr:revisionPtr revIDLastSave="8" documentId="13_ncr:1_{F0F731DD-7F98-475E-8C52-56499DA18C55}" xr6:coauthVersionLast="47" xr6:coauthVersionMax="47" xr10:uidLastSave="{A491B50E-30A6-4D10-98A4-8622E4F581CA}"/>
  <bookViews>
    <workbookView xWindow="28680" yWindow="1740" windowWidth="29040" windowHeight="15720" tabRatio="640" xr2:uid="{00000000-000D-0000-FFFF-FFFF00000000}"/>
  </bookViews>
  <sheets>
    <sheet name="FE combustione" sheetId="7" r:id="rId1"/>
    <sheet name="public power" sheetId="1" r:id="rId2"/>
    <sheet name="refineries" sheetId="2" r:id="rId3"/>
    <sheet name="iron and steel" sheetId="3" r:id="rId4"/>
    <sheet name="non industrial" sheetId="5" r:id="rId5"/>
    <sheet name="combustion in industry" sheetId="4" r:id="rId6"/>
    <sheet name="comb industry (2) "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4" l="1"/>
  <c r="I5" i="4"/>
  <c r="AA4" i="4"/>
  <c r="Z4" i="4"/>
  <c r="Y4" i="4"/>
  <c r="X4" i="4"/>
  <c r="W4" i="4"/>
  <c r="V4" i="4"/>
  <c r="U4" i="4"/>
  <c r="T4" i="4"/>
  <c r="S4" i="4"/>
  <c r="R4" i="4"/>
  <c r="Q4" i="4"/>
  <c r="P4" i="4"/>
  <c r="O4" i="4"/>
  <c r="N4" i="4"/>
  <c r="M4" i="4"/>
  <c r="L4" i="4"/>
  <c r="K4" i="4"/>
  <c r="J4" i="4"/>
  <c r="H4" i="4"/>
  <c r="G4" i="4"/>
  <c r="F4" i="4"/>
  <c r="E4" i="4"/>
  <c r="D4" i="4"/>
  <c r="I45" i="4"/>
  <c r="E45" i="4"/>
  <c r="D45" i="4"/>
  <c r="AA25" i="4"/>
  <c r="Z25" i="4"/>
  <c r="Y25" i="4"/>
  <c r="X25" i="4"/>
  <c r="W25" i="4"/>
  <c r="V25" i="4"/>
  <c r="U25" i="4"/>
  <c r="T25" i="4"/>
  <c r="S25" i="4"/>
  <c r="R25" i="4"/>
  <c r="Q25" i="4"/>
  <c r="P25" i="4"/>
  <c r="O25" i="4"/>
  <c r="N25" i="4"/>
  <c r="M25" i="4"/>
  <c r="L25" i="4"/>
  <c r="K25" i="4"/>
  <c r="J25" i="4"/>
  <c r="H25" i="4"/>
  <c r="G25" i="4"/>
  <c r="F25" i="4"/>
  <c r="E25" i="4"/>
  <c r="D25" i="4"/>
  <c r="AA5" i="4"/>
  <c r="Z5" i="4"/>
  <c r="Y5" i="4"/>
  <c r="X5" i="4"/>
  <c r="W5" i="4"/>
  <c r="V5" i="4"/>
  <c r="U5" i="4"/>
  <c r="T5" i="4"/>
  <c r="S5" i="4"/>
  <c r="R5" i="4"/>
  <c r="Q5" i="4"/>
  <c r="P5" i="4"/>
  <c r="O5" i="4"/>
  <c r="N5" i="4"/>
  <c r="M5" i="4"/>
  <c r="L5" i="4"/>
  <c r="K5" i="4"/>
  <c r="J5" i="4"/>
  <c r="H5" i="4"/>
  <c r="G5" i="4"/>
  <c r="F5" i="4"/>
  <c r="E5" i="4"/>
  <c r="D5" i="4"/>
  <c r="D63" i="4"/>
  <c r="I4" i="4" l="1"/>
  <c r="D26" i="4" l="1"/>
  <c r="D27" i="4"/>
  <c r="D28" i="4"/>
  <c r="D29" i="4"/>
  <c r="D30" i="4"/>
  <c r="D31" i="4"/>
  <c r="D32" i="4"/>
  <c r="D33" i="4"/>
  <c r="D34" i="4"/>
  <c r="D35" i="4"/>
  <c r="D36" i="4"/>
  <c r="D37" i="4"/>
  <c r="Y12" i="3" l="1"/>
  <c r="C3" i="1" l="1"/>
  <c r="D40" i="4" l="1"/>
  <c r="D41" i="4"/>
  <c r="D39" i="4"/>
  <c r="D43" i="4" s="1"/>
  <c r="D38" i="4"/>
  <c r="U13" i="1"/>
  <c r="V13" i="1"/>
  <c r="W13" i="1"/>
  <c r="I13" i="1"/>
  <c r="K13" i="1"/>
  <c r="H13" i="1"/>
  <c r="F13" i="1"/>
  <c r="J13" i="1"/>
  <c r="G13" i="1"/>
  <c r="E13" i="1"/>
  <c r="D13" i="1"/>
  <c r="F3" i="5" l="1"/>
  <c r="U14" i="2" l="1"/>
  <c r="V14" i="2"/>
  <c r="W14" i="2"/>
  <c r="X14" i="2"/>
  <c r="Y14" i="2"/>
  <c r="Z14" i="2"/>
  <c r="AA14" i="2"/>
  <c r="J14" i="2" l="1"/>
  <c r="K14" i="2"/>
  <c r="I14" i="2"/>
  <c r="K5" i="2" l="1"/>
  <c r="K12" i="3"/>
  <c r="J12" i="3" l="1"/>
  <c r="C3" i="4" l="1"/>
  <c r="X4" i="3"/>
  <c r="Y4" i="3"/>
  <c r="Z4" i="3"/>
  <c r="AA4" i="3"/>
  <c r="C3" i="2"/>
  <c r="Y13" i="1" l="1"/>
  <c r="X13" i="1"/>
  <c r="Z13" i="1"/>
  <c r="AA13" i="1"/>
  <c r="Y45" i="4"/>
  <c r="V45" i="4"/>
  <c r="W45" i="4"/>
  <c r="V63" i="4" l="1"/>
  <c r="W63" i="4"/>
  <c r="V12" i="3"/>
  <c r="W12" i="3"/>
  <c r="V4" i="3" l="1"/>
  <c r="V3" i="3" s="1"/>
  <c r="W4" i="3"/>
  <c r="W3" i="3" s="1"/>
  <c r="T14" i="2" l="1"/>
  <c r="L14" i="2"/>
  <c r="D14" i="2"/>
  <c r="S14" i="2"/>
  <c r="R14" i="2"/>
  <c r="Q14" i="2"/>
  <c r="P14" i="2"/>
  <c r="O14" i="2"/>
  <c r="N14" i="2"/>
  <c r="M14" i="2"/>
  <c r="F14" i="2"/>
  <c r="G14" i="2"/>
  <c r="H14" i="2"/>
  <c r="E14" i="2"/>
  <c r="W5" i="2"/>
  <c r="V5" i="2"/>
  <c r="W3" i="2" l="1"/>
  <c r="W24" i="2" s="1"/>
  <c r="V3" i="2"/>
  <c r="V24" i="2" s="1"/>
  <c r="I12" i="3" l="1"/>
  <c r="G4" i="3"/>
  <c r="I4" i="3"/>
  <c r="K4" i="3"/>
  <c r="K3" i="3" s="1"/>
  <c r="M4" i="3"/>
  <c r="O4" i="3"/>
  <c r="Q4" i="3"/>
  <c r="S4" i="3"/>
  <c r="D4" i="3"/>
  <c r="U4" i="3"/>
  <c r="E4" i="3"/>
  <c r="D12" i="3"/>
  <c r="E12" i="3"/>
  <c r="F12" i="3"/>
  <c r="G12" i="3"/>
  <c r="H12" i="3"/>
  <c r="U12" i="3"/>
  <c r="Z45" i="4"/>
  <c r="AA45" i="4"/>
  <c r="X45" i="4"/>
  <c r="U45" i="4"/>
  <c r="N45" i="4"/>
  <c r="O45" i="4"/>
  <c r="P45" i="4"/>
  <c r="Q45" i="4"/>
  <c r="R45" i="4"/>
  <c r="S45" i="4"/>
  <c r="T45" i="4"/>
  <c r="M45" i="4"/>
  <c r="L45" i="4"/>
  <c r="K45" i="4"/>
  <c r="J45" i="4"/>
  <c r="H45" i="4"/>
  <c r="F45" i="4"/>
  <c r="G45" i="4"/>
  <c r="AA5" i="2"/>
  <c r="D5" i="2"/>
  <c r="K3" i="2"/>
  <c r="K24" i="2" s="1"/>
  <c r="I3" i="3" l="1"/>
  <c r="H63" i="4"/>
  <c r="Z63" i="4"/>
  <c r="J63" i="4"/>
  <c r="K63" i="4"/>
  <c r="F63" i="4"/>
  <c r="G63" i="4"/>
  <c r="I63" i="4"/>
  <c r="AA3" i="2"/>
  <c r="AA24" i="2" s="1"/>
  <c r="D3" i="2"/>
  <c r="D24" i="2" s="1"/>
  <c r="E5" i="2"/>
  <c r="Z5" i="2"/>
  <c r="H5" i="2"/>
  <c r="H3" i="2" s="1"/>
  <c r="H24" i="2" s="1"/>
  <c r="U3" i="3"/>
  <c r="S3" i="3"/>
  <c r="O3" i="3"/>
  <c r="G3" i="3"/>
  <c r="E3" i="3"/>
  <c r="D3" i="3"/>
  <c r="Q3" i="3"/>
  <c r="M3" i="3"/>
  <c r="C3" i="3"/>
  <c r="K18" i="3" s="1"/>
  <c r="T4" i="3"/>
  <c r="T3" i="3" s="1"/>
  <c r="R4" i="3"/>
  <c r="R3" i="3" s="1"/>
  <c r="P4" i="3"/>
  <c r="P3" i="3" s="1"/>
  <c r="N4" i="3"/>
  <c r="N3" i="3" s="1"/>
  <c r="L4" i="3"/>
  <c r="L3" i="3" s="1"/>
  <c r="J4" i="3"/>
  <c r="J3" i="3" s="1"/>
  <c r="H4" i="3"/>
  <c r="H3" i="3" s="1"/>
  <c r="F4" i="3"/>
  <c r="F3" i="3" s="1"/>
  <c r="U63" i="4"/>
  <c r="M63" i="4"/>
  <c r="O63" i="4"/>
  <c r="Q63" i="4"/>
  <c r="S63" i="4"/>
  <c r="AA63" i="4"/>
  <c r="L63" i="4"/>
  <c r="N63" i="4"/>
  <c r="P63" i="4"/>
  <c r="R63" i="4"/>
  <c r="T63" i="4"/>
  <c r="I5" i="2"/>
  <c r="F5" i="2"/>
  <c r="J5" i="2"/>
  <c r="J3" i="2" s="1"/>
  <c r="J24" i="2" s="1"/>
  <c r="G5" i="2"/>
  <c r="U5" i="2"/>
  <c r="X5" i="2"/>
  <c r="F18" i="3" l="1"/>
  <c r="N18" i="3"/>
  <c r="J18" i="3"/>
  <c r="W18" i="3"/>
  <c r="V18" i="3"/>
  <c r="R18" i="3"/>
  <c r="I3" i="2"/>
  <c r="I24" i="2" s="1"/>
  <c r="Z3" i="2"/>
  <c r="Z24" i="2" s="1"/>
  <c r="F3" i="2"/>
  <c r="F24" i="2" s="1"/>
  <c r="U18" i="3"/>
  <c r="H18" i="3"/>
  <c r="L18" i="3"/>
  <c r="P18" i="3"/>
  <c r="T18" i="3"/>
  <c r="E3" i="2"/>
  <c r="E24" i="2" s="1"/>
  <c r="I18" i="3"/>
  <c r="Q18" i="3"/>
  <c r="D18" i="3"/>
  <c r="O18" i="3"/>
  <c r="E18" i="3"/>
  <c r="M18" i="3"/>
  <c r="G18" i="3"/>
  <c r="S18" i="3"/>
  <c r="Y63" i="4"/>
  <c r="G3" i="2"/>
  <c r="G24" i="2" s="1"/>
  <c r="X63" i="4"/>
  <c r="E63" i="4"/>
  <c r="X3" i="2"/>
  <c r="X24" i="2" s="1"/>
  <c r="U3" i="2"/>
  <c r="U24" i="2" s="1"/>
  <c r="Y5" i="2"/>
  <c r="Q13" i="1"/>
  <c r="S13" i="1"/>
  <c r="M13" i="1"/>
  <c r="O13" i="1"/>
  <c r="L13" i="1"/>
  <c r="R13" i="1"/>
  <c r="T13" i="1"/>
  <c r="N13" i="1"/>
  <c r="P13" i="1"/>
  <c r="O5" i="2" l="1"/>
  <c r="N5" i="2"/>
  <c r="L5" i="2"/>
  <c r="T5" i="2"/>
  <c r="R5" i="2"/>
  <c r="P5" i="2"/>
  <c r="Y3" i="2"/>
  <c r="Y24" i="2" s="1"/>
  <c r="N3" i="2" l="1"/>
  <c r="N24" i="2" s="1"/>
  <c r="T3" i="2"/>
  <c r="T24" i="2" s="1"/>
  <c r="L3" i="2"/>
  <c r="L24" i="2" s="1"/>
  <c r="O3" i="2"/>
  <c r="O24" i="2" s="1"/>
  <c r="M5" i="2"/>
  <c r="S5" i="2"/>
  <c r="Q5" i="2"/>
  <c r="P3" i="2"/>
  <c r="P24" i="2" s="1"/>
  <c r="R3" i="2"/>
  <c r="R24" i="2" s="1"/>
  <c r="S3" i="2" l="1"/>
  <c r="S24" i="2" s="1"/>
  <c r="M3" i="2"/>
  <c r="M24" i="2" s="1"/>
  <c r="Q3" i="2"/>
  <c r="Q24" i="2" s="1"/>
  <c r="Y3" i="3" l="1"/>
  <c r="Y18" i="3" s="1"/>
  <c r="AA3" i="3"/>
  <c r="AA18" i="3" s="1"/>
  <c r="X3" i="3"/>
  <c r="X18" i="3" s="1"/>
  <c r="Z3" i="3"/>
  <c r="Z1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Riccardo De Lauretis</author>
  </authors>
  <commentList>
    <comment ref="D2" authorId="0" shapeId="0" xr:uid="{00000000-0006-0000-0000-000001000000}">
      <text>
        <r>
          <rPr>
            <b/>
            <sz val="9"/>
            <color indexed="81"/>
            <rFont val="Tahoma"/>
            <charset val="1"/>
          </rPr>
          <t>Riccardo De Lauretis:</t>
        </r>
        <r>
          <rPr>
            <sz val="9"/>
            <color indexed="81"/>
            <rFont val="Tahoma"/>
            <charset val="1"/>
          </rPr>
          <t xml:space="preserve">
Implied emission factor from the emission data at plant level submitted in the framework of LCP and EPRTR
</t>
        </r>
      </text>
    </comment>
    <comment ref="E2" authorId="0" shapeId="0" xr:uid="{00000000-0006-0000-0000-000002000000}">
      <text>
        <r>
          <rPr>
            <b/>
            <sz val="9"/>
            <color indexed="81"/>
            <rFont val="Tahoma"/>
            <charset val="1"/>
          </rPr>
          <t>Riccardo De Lauretis:</t>
        </r>
        <r>
          <rPr>
            <sz val="9"/>
            <color indexed="81"/>
            <rFont val="Tahoma"/>
            <charset val="1"/>
          </rPr>
          <t xml:space="preserve">
Implied emission factor from the emission data at plant level submitted in the framework of LCP and EPRTR
</t>
        </r>
      </text>
    </comment>
    <comment ref="G2" authorId="0" shapeId="0" xr:uid="{00000000-0006-0000-0000-000003000000}">
      <text>
        <r>
          <rPr>
            <b/>
            <sz val="9"/>
            <color indexed="81"/>
            <rFont val="Tahoma"/>
            <charset val="1"/>
          </rPr>
          <t>Riccardo De Lauretis:</t>
        </r>
        <r>
          <rPr>
            <sz val="9"/>
            <color indexed="81"/>
            <rFont val="Tahoma"/>
            <charset val="1"/>
          </rPr>
          <t xml:space="preserve">
Based on IPCC 2006 Guidelines
</t>
        </r>
      </text>
    </comment>
    <comment ref="I2" authorId="0" shapeId="0" xr:uid="{00000000-0006-0000-0000-000004000000}">
      <text>
        <r>
          <rPr>
            <b/>
            <sz val="9"/>
            <color indexed="81"/>
            <rFont val="Tahoma"/>
            <charset val="1"/>
          </rPr>
          <t>Riccardo De Lauretis:</t>
        </r>
        <r>
          <rPr>
            <sz val="9"/>
            <color indexed="81"/>
            <rFont val="Tahoma"/>
            <charset val="1"/>
          </rPr>
          <t xml:space="preserve">
Annual country specific EFs</t>
        </r>
      </text>
    </comment>
    <comment ref="J2" authorId="0" shapeId="0" xr:uid="{00000000-0006-0000-0000-000005000000}">
      <text>
        <r>
          <rPr>
            <b/>
            <sz val="9"/>
            <color indexed="81"/>
            <rFont val="Tahoma"/>
            <charset val="1"/>
          </rPr>
          <t>Riccardo De Lauretis:</t>
        </r>
        <r>
          <rPr>
            <sz val="9"/>
            <color indexed="81"/>
            <rFont val="Tahoma"/>
            <charset val="1"/>
          </rPr>
          <t xml:space="preserve">
Based on IPCC 2006 Guidelines</t>
        </r>
      </text>
    </comment>
    <comment ref="L2" authorId="0" shapeId="0" xr:uid="{00000000-0006-0000-0000-000006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M2" authorId="0" shapeId="0" xr:uid="{00000000-0006-0000-0000-000007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N2" authorId="0" shapeId="0" xr:uid="{00000000-0006-0000-0000-000008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O2" authorId="0" shapeId="0" xr:uid="{00000000-0006-0000-0000-000009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P2" authorId="0" shapeId="0" xr:uid="{00000000-0006-0000-0000-00000A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Q2" authorId="0" shapeId="0" xr:uid="{00000000-0006-0000-0000-00000B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R2" authorId="0" shapeId="0" xr:uid="{00000000-0006-0000-0000-00000C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S2" authorId="0" shapeId="0" xr:uid="{00000000-0006-0000-0000-00000D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T2" authorId="0" shapeId="0" xr:uid="{00000000-0006-0000-0000-00000E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U2" authorId="0" shapeId="0" xr:uid="{00000000-0006-0000-0000-00000F000000}">
      <text>
        <r>
          <rPr>
            <b/>
            <sz val="9"/>
            <color indexed="81"/>
            <rFont val="Tahoma"/>
            <charset val="1"/>
          </rPr>
          <t>Riccardo De Lauretis:</t>
        </r>
        <r>
          <rPr>
            <sz val="9"/>
            <color indexed="81"/>
            <rFont val="Tahoma"/>
            <charset val="1"/>
          </rPr>
          <t xml:space="preserve">
Implied emission factor from the emission data at plant level submitted in the framework of LCP and EPRTR
</t>
        </r>
      </text>
    </comment>
    <comment ref="V2" authorId="0" shapeId="0" xr:uid="{00000000-0006-0000-0000-000010000000}">
      <text>
        <r>
          <rPr>
            <b/>
            <sz val="9"/>
            <color indexed="81"/>
            <rFont val="Tahoma"/>
            <charset val="1"/>
          </rPr>
          <t>Riccardo De Lauretis:</t>
        </r>
        <r>
          <rPr>
            <sz val="9"/>
            <color indexed="81"/>
            <rFont val="Tahoma"/>
            <charset val="1"/>
          </rPr>
          <t xml:space="preserve">
Percentage PM2.5/Pm10 per fuel as reported in the EMEP/EEA 
Guidebook 2019</t>
        </r>
      </text>
    </comment>
    <comment ref="W2" authorId="0" shapeId="0" xr:uid="{00000000-0006-0000-0000-000011000000}">
      <text>
        <r>
          <rPr>
            <b/>
            <sz val="9"/>
            <color indexed="81"/>
            <rFont val="Tahoma"/>
            <charset val="1"/>
          </rPr>
          <t>Riccardo De Lauretis:</t>
        </r>
        <r>
          <rPr>
            <sz val="9"/>
            <color indexed="81"/>
            <rFont val="Tahoma"/>
            <charset val="1"/>
          </rPr>
          <t xml:space="preserve">
Percentage of PM2.5 as in the EMEP/EEA Guidebook 2019</t>
        </r>
      </text>
    </comment>
    <comment ref="X2" authorId="0" shapeId="0" xr:uid="{00000000-0006-0000-0000-000012000000}">
      <text>
        <r>
          <rPr>
            <b/>
            <sz val="9"/>
            <color indexed="81"/>
            <rFont val="Tahoma"/>
            <charset val="1"/>
          </rPr>
          <t>Riccardo De Lauretis:</t>
        </r>
        <r>
          <rPr>
            <sz val="9"/>
            <color indexed="81"/>
            <rFont val="Tahoma"/>
            <charset val="1"/>
          </rPr>
          <t xml:space="preserve">
Efs are for fuel from a study of TNO at European level (Berdowski et al, 1997) where  EF specific for Italy were indicated as compared with those to be applied by other European countries</t>
        </r>
      </text>
    </comment>
    <comment ref="Y2" authorId="0" shapeId="0" xr:uid="{00000000-0006-0000-0000-000013000000}">
      <text>
        <r>
          <rPr>
            <b/>
            <sz val="9"/>
            <color indexed="81"/>
            <rFont val="Tahoma"/>
            <charset val="1"/>
          </rPr>
          <t>Riccardo De Lauretis:</t>
        </r>
        <r>
          <rPr>
            <sz val="9"/>
            <color indexed="81"/>
            <rFont val="Tahoma"/>
            <charset val="1"/>
          </rPr>
          <t xml:space="preserve">
Efs are for fuel from a study of TNO at European level (Berdowski et al, 1997) where  EF specific for Italy were indicated as compared with those to be applied by other European countries</t>
        </r>
      </text>
    </comment>
    <comment ref="Z2" authorId="0" shapeId="0" xr:uid="{00000000-0006-0000-0000-000014000000}">
      <text>
        <r>
          <rPr>
            <b/>
            <sz val="9"/>
            <color indexed="81"/>
            <rFont val="Tahoma"/>
            <charset val="1"/>
          </rPr>
          <t>Riccardo De Lauretis:</t>
        </r>
        <r>
          <rPr>
            <sz val="9"/>
            <color indexed="81"/>
            <rFont val="Tahoma"/>
            <charset val="1"/>
          </rPr>
          <t xml:space="preserve">
EF from 2019 EMEP/EEA Guidebook</t>
        </r>
      </text>
    </comment>
    <comment ref="AA2" authorId="0" shapeId="0" xr:uid="{00000000-0006-0000-0000-000015000000}">
      <text>
        <r>
          <rPr>
            <b/>
            <sz val="9"/>
            <color indexed="81"/>
            <rFont val="Tahoma"/>
            <charset val="1"/>
          </rPr>
          <t>Riccardo De Lauretis:</t>
        </r>
        <r>
          <rPr>
            <sz val="9"/>
            <color indexed="81"/>
            <rFont val="Tahoma"/>
            <charset val="1"/>
          </rPr>
          <t xml:space="preserve">
Efs are for fuel from a study of TNO at European level (Berdowski et al, 1997) where  EF specific for Italy were indicated as compared with those to be applied by other European countries</t>
        </r>
      </text>
    </comment>
    <comment ref="G12" authorId="0" shapeId="0" xr:uid="{00000000-0006-0000-0000-000016000000}">
      <text>
        <r>
          <rPr>
            <b/>
            <sz val="9"/>
            <color indexed="81"/>
            <rFont val="Tahoma"/>
            <charset val="1"/>
          </rPr>
          <t>Riccardo De Lauretis:</t>
        </r>
        <r>
          <rPr>
            <sz val="9"/>
            <color indexed="81"/>
            <rFont val="Tahoma"/>
            <charset val="1"/>
          </rPr>
          <t xml:space="preserve">
Average value resulting from different biofuels
</t>
        </r>
      </text>
    </comment>
    <comment ref="I12" authorId="0" shapeId="0" xr:uid="{00000000-0006-0000-0000-000017000000}">
      <text>
        <r>
          <rPr>
            <b/>
            <sz val="9"/>
            <color indexed="81"/>
            <rFont val="Tahoma"/>
            <charset val="1"/>
          </rPr>
          <t>Riccardo De Lauretis:</t>
        </r>
        <r>
          <rPr>
            <sz val="9"/>
            <color indexed="81"/>
            <rFont val="Tahoma"/>
            <charset val="1"/>
          </rPr>
          <t xml:space="preserve">
Average value resulting from different biofuels
</t>
        </r>
      </text>
    </comment>
    <comment ref="J12" authorId="0" shapeId="0" xr:uid="{00000000-0006-0000-0000-000018000000}">
      <text>
        <r>
          <rPr>
            <b/>
            <sz val="9"/>
            <color indexed="81"/>
            <rFont val="Tahoma"/>
            <charset val="1"/>
          </rPr>
          <t>Riccardo De Lauretis:</t>
        </r>
        <r>
          <rPr>
            <sz val="9"/>
            <color indexed="81"/>
            <rFont val="Tahoma"/>
            <charset val="1"/>
          </rPr>
          <t xml:space="preserve">
Average value resulting from different biofuels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Riccardo De Lauretis</author>
    <author>De Lauretis</author>
  </authors>
  <commentList>
    <comment ref="D2" authorId="0" shapeId="0" xr:uid="{00000000-0006-0000-0100-000001000000}">
      <text>
        <r>
          <rPr>
            <b/>
            <sz val="9"/>
            <color indexed="81"/>
            <rFont val="Tahoma"/>
            <charset val="1"/>
          </rPr>
          <t>Riccardo De Lauretis:</t>
        </r>
        <r>
          <rPr>
            <sz val="9"/>
            <color indexed="81"/>
            <rFont val="Tahoma"/>
            <charset val="1"/>
          </rPr>
          <t xml:space="preserve">
Implied emission factor from the emission data at plant level submitted in the framework of LCP and EPRTR
</t>
        </r>
      </text>
    </comment>
    <comment ref="E2" authorId="0" shapeId="0" xr:uid="{00000000-0006-0000-0100-000002000000}">
      <text>
        <r>
          <rPr>
            <b/>
            <sz val="9"/>
            <color indexed="81"/>
            <rFont val="Tahoma"/>
            <charset val="1"/>
          </rPr>
          <t>Riccardo De Lauretis:</t>
        </r>
        <r>
          <rPr>
            <sz val="9"/>
            <color indexed="81"/>
            <rFont val="Tahoma"/>
            <charset val="1"/>
          </rPr>
          <t xml:space="preserve">
Implied emission factor from the emission data at plant level submitted in the framework of LCP and EPRTR
</t>
        </r>
      </text>
    </comment>
    <comment ref="G2" authorId="0" shapeId="0" xr:uid="{00000000-0006-0000-0100-000003000000}">
      <text>
        <r>
          <rPr>
            <b/>
            <sz val="9"/>
            <color indexed="81"/>
            <rFont val="Tahoma"/>
            <charset val="1"/>
          </rPr>
          <t>Riccardo De Lauretis:</t>
        </r>
        <r>
          <rPr>
            <sz val="9"/>
            <color indexed="81"/>
            <rFont val="Tahoma"/>
            <charset val="1"/>
          </rPr>
          <t xml:space="preserve">
Based on IPCC 2006 Guidelines
</t>
        </r>
      </text>
    </comment>
    <comment ref="I2" authorId="0" shapeId="0" xr:uid="{00000000-0006-0000-0100-000004000000}">
      <text>
        <r>
          <rPr>
            <b/>
            <sz val="9"/>
            <color indexed="81"/>
            <rFont val="Tahoma"/>
            <charset val="1"/>
          </rPr>
          <t>Riccardo De Lauretis:</t>
        </r>
        <r>
          <rPr>
            <sz val="9"/>
            <color indexed="81"/>
            <rFont val="Tahoma"/>
            <charset val="1"/>
          </rPr>
          <t xml:space="preserve">
Annual country specific EFs</t>
        </r>
      </text>
    </comment>
    <comment ref="J2" authorId="0" shapeId="0" xr:uid="{00000000-0006-0000-0100-000005000000}">
      <text>
        <r>
          <rPr>
            <b/>
            <sz val="9"/>
            <color indexed="81"/>
            <rFont val="Tahoma"/>
            <family val="2"/>
          </rPr>
          <t>Riccardo De Lauretis:</t>
        </r>
        <r>
          <rPr>
            <sz val="9"/>
            <color indexed="81"/>
            <rFont val="Tahoma"/>
            <family val="2"/>
          </rPr>
          <t xml:space="preserve">
EF for fuels are based on IPCC 2006 Guidelines
</t>
        </r>
      </text>
    </comment>
    <comment ref="L2" authorId="0" shapeId="0" xr:uid="{00000000-0006-0000-0100-000006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M2" authorId="0" shapeId="0" xr:uid="{00000000-0006-0000-0100-000007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N2" authorId="0" shapeId="0" xr:uid="{00000000-0006-0000-0100-000008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O2" authorId="0" shapeId="0" xr:uid="{00000000-0006-0000-0100-000009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P2" authorId="0" shapeId="0" xr:uid="{00000000-0006-0000-0100-00000A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Q2" authorId="0" shapeId="0" xr:uid="{00000000-0006-0000-0100-00000B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R2" authorId="0" shapeId="0" xr:uid="{00000000-0006-0000-0100-00000C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S2" authorId="0" shapeId="0" xr:uid="{00000000-0006-0000-0100-00000D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T2" authorId="0" shapeId="0" xr:uid="{00000000-0006-0000-0100-00000E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U2" authorId="0" shapeId="0" xr:uid="{00000000-0006-0000-0100-00000F000000}">
      <text>
        <r>
          <rPr>
            <b/>
            <sz val="9"/>
            <color indexed="81"/>
            <rFont val="Tahoma"/>
            <charset val="1"/>
          </rPr>
          <t>Riccardo De Lauretis:</t>
        </r>
        <r>
          <rPr>
            <sz val="9"/>
            <color indexed="81"/>
            <rFont val="Tahoma"/>
            <charset val="1"/>
          </rPr>
          <t xml:space="preserve">
Implied emission factor from the emission data at plant level submitted in the framework of LCP and EPRTR
</t>
        </r>
      </text>
    </comment>
    <comment ref="V2" authorId="0" shapeId="0" xr:uid="{00000000-0006-0000-0100-000010000000}">
      <text>
        <r>
          <rPr>
            <b/>
            <sz val="9"/>
            <color indexed="81"/>
            <rFont val="Tahoma"/>
            <charset val="1"/>
          </rPr>
          <t>Riccardo De Lauretis:</t>
        </r>
        <r>
          <rPr>
            <sz val="9"/>
            <color indexed="81"/>
            <rFont val="Tahoma"/>
            <charset val="1"/>
          </rPr>
          <t xml:space="preserve">
Percentage PM2.5/Pm10 per fuel as reported in the EMEP/EEA 
Guidebook 2019</t>
        </r>
      </text>
    </comment>
    <comment ref="W2" authorId="0" shapeId="0" xr:uid="{00000000-0006-0000-0100-000011000000}">
      <text>
        <r>
          <rPr>
            <b/>
            <sz val="9"/>
            <color indexed="81"/>
            <rFont val="Tahoma"/>
            <charset val="1"/>
          </rPr>
          <t>Riccardo De Lauretis:</t>
        </r>
        <r>
          <rPr>
            <sz val="9"/>
            <color indexed="81"/>
            <rFont val="Tahoma"/>
            <charset val="1"/>
          </rPr>
          <t xml:space="preserve">
Percentage of PM2.5 as in the EMEP/EEA Guidebook 2019</t>
        </r>
      </text>
    </comment>
    <comment ref="X2" authorId="0" shapeId="0" xr:uid="{00000000-0006-0000-0100-000012000000}">
      <text>
        <r>
          <rPr>
            <b/>
            <sz val="9"/>
            <color indexed="81"/>
            <rFont val="Tahoma"/>
            <charset val="1"/>
          </rPr>
          <t>Riccardo De Lauretis:</t>
        </r>
        <r>
          <rPr>
            <sz val="9"/>
            <color indexed="81"/>
            <rFont val="Tahoma"/>
            <charset val="1"/>
          </rPr>
          <t xml:space="preserve">
Efs are for fuel from a study of TNO at European level (Berdowski et al, 1997) where  EF specific for Italy were indicated as compared with those to be applied by other European countries</t>
        </r>
      </text>
    </comment>
    <comment ref="Y2" authorId="0" shapeId="0" xr:uid="{00000000-0006-0000-0100-000013000000}">
      <text>
        <r>
          <rPr>
            <b/>
            <sz val="9"/>
            <color indexed="81"/>
            <rFont val="Tahoma"/>
            <charset val="1"/>
          </rPr>
          <t>Riccardo De Lauretis:</t>
        </r>
        <r>
          <rPr>
            <sz val="9"/>
            <color indexed="81"/>
            <rFont val="Tahoma"/>
            <charset val="1"/>
          </rPr>
          <t xml:space="preserve">
Efs are for fuel from a study of TNO at European level (Berdowski et al, 1997) where  EF specific for Italy were indicated as compared with those to be applied by other European countries</t>
        </r>
      </text>
    </comment>
    <comment ref="Z2" authorId="0" shapeId="0" xr:uid="{00000000-0006-0000-0100-000014000000}">
      <text>
        <r>
          <rPr>
            <b/>
            <sz val="9"/>
            <color indexed="81"/>
            <rFont val="Tahoma"/>
            <charset val="1"/>
          </rPr>
          <t>Riccardo De Lauretis:</t>
        </r>
        <r>
          <rPr>
            <sz val="9"/>
            <color indexed="81"/>
            <rFont val="Tahoma"/>
            <charset val="1"/>
          </rPr>
          <t xml:space="preserve">
EF from 2019 EMEP/EEA Guidebook</t>
        </r>
      </text>
    </comment>
    <comment ref="AA2" authorId="0" shapeId="0" xr:uid="{00000000-0006-0000-0100-000015000000}">
      <text>
        <r>
          <rPr>
            <b/>
            <sz val="9"/>
            <color indexed="81"/>
            <rFont val="Tahoma"/>
            <charset val="1"/>
          </rPr>
          <t>Riccardo De Lauretis:</t>
        </r>
        <r>
          <rPr>
            <sz val="9"/>
            <color indexed="81"/>
            <rFont val="Tahoma"/>
            <charset val="1"/>
          </rPr>
          <t xml:space="preserve">
Efs are for fuel from a study of TNO at European level (Berdowski et al, 1997) where  EF specific for Italy were indicated as compared with those to be applied by other European countries</t>
        </r>
      </text>
    </comment>
    <comment ref="B4" authorId="1" shapeId="0" xr:uid="{00000000-0006-0000-0100-000016000000}">
      <text>
        <r>
          <rPr>
            <b/>
            <sz val="8"/>
            <color indexed="81"/>
            <rFont val="Tahoma"/>
            <family val="2"/>
          </rPr>
          <t>De Lauretis:</t>
        </r>
        <r>
          <rPr>
            <sz val="8"/>
            <color indexed="81"/>
            <rFont val="Tahoma"/>
            <family val="2"/>
          </rPr>
          <t xml:space="preserve">
per SOX e NOX emissioni da direttiva LCP che non include fino al 2004 i turbogas.  Pe r l 2005 e 2006 al dato LCP  che include i turbogas sono state sommate le emisioni di IPLOM e IES Mantova che non hanno comunicato le emissioni a LCP. Per il 2007 al dato LCP è sommato IPLOM che non ha dichiarato le emissioni a LCP
</t>
        </r>
      </text>
    </comment>
    <comment ref="B13" authorId="1" shapeId="0" xr:uid="{00000000-0006-0000-0100-000017000000}">
      <text>
        <r>
          <rPr>
            <b/>
            <sz val="8"/>
            <color indexed="81"/>
            <rFont val="Tahoma"/>
            <family val="2"/>
          </rPr>
          <t>De Lauretis:</t>
        </r>
        <r>
          <rPr>
            <sz val="8"/>
            <color indexed="81"/>
            <rFont val="Tahoma"/>
            <family val="2"/>
          </rPr>
          <t xml:space="preserve">
cicli combinati turbogas di API Falconara, ENIPOWER Livorno e Taranto, SARAS Cagliari e ISAB e ERG impianti sud. Fonte INES e Rendiconti ambientali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Delauretis</author>
    <author>Riccardo De Lauretis</author>
    <author>De Lauretis Riccardo</author>
  </authors>
  <commentList>
    <comment ref="B1" authorId="0" shapeId="0" xr:uid="{00000000-0006-0000-0200-000001000000}">
      <text>
        <r>
          <rPr>
            <b/>
            <sz val="8"/>
            <color indexed="81"/>
            <rFont val="Tahoma"/>
            <family val="2"/>
          </rPr>
          <t>Delauretis:</t>
        </r>
        <r>
          <rPr>
            <sz val="8"/>
            <color indexed="81"/>
            <rFont val="Tahoma"/>
            <family val="2"/>
          </rPr>
          <t xml:space="preserve">
dal 2002 emissioni INES con eccezione di CO2 dati da ET quando indicato
dal 1990 al 1994 dati puntuali per Taranto e Piombino Inventario CORINAIR.
Dal 1995 in poi dati per Taranto e Piombino da LCP
Per Piombino e Taranto anche dati dal rendiconto ambintale EDISON
per gli anni dal 1997 al 2002</t>
        </r>
      </text>
    </comment>
    <comment ref="D2" authorId="1" shapeId="0" xr:uid="{00000000-0006-0000-0200-000002000000}">
      <text>
        <r>
          <rPr>
            <b/>
            <sz val="9"/>
            <color indexed="81"/>
            <rFont val="Tahoma"/>
            <charset val="1"/>
          </rPr>
          <t>Riccardo De Lauretis:</t>
        </r>
        <r>
          <rPr>
            <sz val="9"/>
            <color indexed="81"/>
            <rFont val="Tahoma"/>
            <charset val="1"/>
          </rPr>
          <t xml:space="preserve">
Implied emission factor from the emission data at plant level submitted in the framework of LCP and EPRTR
</t>
        </r>
      </text>
    </comment>
    <comment ref="E2" authorId="1" shapeId="0" xr:uid="{00000000-0006-0000-0200-000003000000}">
      <text>
        <r>
          <rPr>
            <b/>
            <sz val="9"/>
            <color indexed="81"/>
            <rFont val="Tahoma"/>
            <charset val="1"/>
          </rPr>
          <t>Riccardo De Lauretis:</t>
        </r>
        <r>
          <rPr>
            <sz val="9"/>
            <color indexed="81"/>
            <rFont val="Tahoma"/>
            <charset val="1"/>
          </rPr>
          <t xml:space="preserve">
Implied emission factor from the emission data at plant level submitted in the framework of LCP and EPRTR
</t>
        </r>
      </text>
    </comment>
    <comment ref="G2" authorId="1" shapeId="0" xr:uid="{00000000-0006-0000-0200-000004000000}">
      <text>
        <r>
          <rPr>
            <b/>
            <sz val="9"/>
            <color indexed="81"/>
            <rFont val="Tahoma"/>
            <family val="2"/>
          </rPr>
          <t>Riccardo De Lauretis:</t>
        </r>
        <r>
          <rPr>
            <sz val="9"/>
            <color indexed="81"/>
            <rFont val="Tahoma"/>
            <family val="2"/>
          </rPr>
          <t xml:space="preserve">
EF for fuels are based on IPCC 2006 Guidelines
</t>
        </r>
      </text>
    </comment>
    <comment ref="I2" authorId="1" shapeId="0" xr:uid="{00000000-0006-0000-0200-000005000000}">
      <text>
        <r>
          <rPr>
            <b/>
            <sz val="9"/>
            <color indexed="81"/>
            <rFont val="Tahoma"/>
            <charset val="1"/>
          </rPr>
          <t>Riccardo De Lauretis:</t>
        </r>
        <r>
          <rPr>
            <sz val="9"/>
            <color indexed="81"/>
            <rFont val="Tahoma"/>
            <charset val="1"/>
          </rPr>
          <t xml:space="preserve">
Annual country specific EFs</t>
        </r>
      </text>
    </comment>
    <comment ref="J2" authorId="1" shapeId="0" xr:uid="{00000000-0006-0000-0200-000006000000}">
      <text>
        <r>
          <rPr>
            <b/>
            <sz val="9"/>
            <color indexed="81"/>
            <rFont val="Tahoma"/>
            <family val="2"/>
          </rPr>
          <t>Riccardo De Lauretis:</t>
        </r>
        <r>
          <rPr>
            <sz val="9"/>
            <color indexed="81"/>
            <rFont val="Tahoma"/>
            <family val="2"/>
          </rPr>
          <t xml:space="preserve">
EF for fuels are based on IPCC 2006 Guidelines
</t>
        </r>
      </text>
    </comment>
    <comment ref="L2" authorId="1" shapeId="0" xr:uid="{00000000-0006-0000-0200-000007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M2" authorId="1" shapeId="0" xr:uid="{00000000-0006-0000-0200-000008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N2" authorId="1" shapeId="0" xr:uid="{00000000-0006-0000-0200-000009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O2" authorId="1" shapeId="0" xr:uid="{00000000-0006-0000-0200-00000A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P2" authorId="1" shapeId="0" xr:uid="{00000000-0006-0000-0200-00000B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Q2" authorId="1" shapeId="0" xr:uid="{00000000-0006-0000-0200-00000C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R2" authorId="1" shapeId="0" xr:uid="{00000000-0006-0000-0200-00000D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S2" authorId="1" shapeId="0" xr:uid="{00000000-0006-0000-0200-00000E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T2" authorId="1" shapeId="0" xr:uid="{00000000-0006-0000-0200-00000F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U2" authorId="1" shapeId="0" xr:uid="{00000000-0006-0000-0200-000010000000}">
      <text>
        <r>
          <rPr>
            <b/>
            <sz val="9"/>
            <color indexed="81"/>
            <rFont val="Tahoma"/>
            <charset val="1"/>
          </rPr>
          <t>Riccardo De Lauretis:</t>
        </r>
        <r>
          <rPr>
            <sz val="9"/>
            <color indexed="81"/>
            <rFont val="Tahoma"/>
            <charset val="1"/>
          </rPr>
          <t xml:space="preserve">
Implied emission factor from the emission data at plant level submitted in the framework of LCP and EPRTR
</t>
        </r>
      </text>
    </comment>
    <comment ref="V2" authorId="1" shapeId="0" xr:uid="{00000000-0006-0000-0200-000011000000}">
      <text>
        <r>
          <rPr>
            <b/>
            <sz val="9"/>
            <color indexed="81"/>
            <rFont val="Tahoma"/>
            <charset val="1"/>
          </rPr>
          <t>Riccardo De Lauretis:</t>
        </r>
        <r>
          <rPr>
            <sz val="9"/>
            <color indexed="81"/>
            <rFont val="Tahoma"/>
            <charset val="1"/>
          </rPr>
          <t xml:space="preserve">
Percentage PM2.5/Pm10 per fuel as reported in the EMEP/EEA 
Guidebook 2019</t>
        </r>
      </text>
    </comment>
    <comment ref="W2" authorId="1" shapeId="0" xr:uid="{00000000-0006-0000-0200-000012000000}">
      <text>
        <r>
          <rPr>
            <b/>
            <sz val="9"/>
            <color indexed="81"/>
            <rFont val="Tahoma"/>
            <charset val="1"/>
          </rPr>
          <t>Riccardo De Lauretis:</t>
        </r>
        <r>
          <rPr>
            <sz val="9"/>
            <color indexed="81"/>
            <rFont val="Tahoma"/>
            <charset val="1"/>
          </rPr>
          <t xml:space="preserve">
Percentage of PM2.5 as in the EMEP/EEA Guidebook 2019</t>
        </r>
      </text>
    </comment>
    <comment ref="X2" authorId="1" shapeId="0" xr:uid="{00000000-0006-0000-0200-000013000000}">
      <text>
        <r>
          <rPr>
            <b/>
            <sz val="9"/>
            <color indexed="81"/>
            <rFont val="Tahoma"/>
            <charset val="1"/>
          </rPr>
          <t>Riccardo De Lauretis:</t>
        </r>
        <r>
          <rPr>
            <sz val="9"/>
            <color indexed="81"/>
            <rFont val="Tahoma"/>
            <charset val="1"/>
          </rPr>
          <t xml:space="preserve">
Efs are for fuel from a study of TNO at European level (Berdowski et al, 1997) where  EF specific for Italy were indicated as compared with those to be applied by other European countries</t>
        </r>
      </text>
    </comment>
    <comment ref="Y2" authorId="1" shapeId="0" xr:uid="{00000000-0006-0000-0200-000014000000}">
      <text>
        <r>
          <rPr>
            <b/>
            <sz val="9"/>
            <color indexed="81"/>
            <rFont val="Tahoma"/>
            <charset val="1"/>
          </rPr>
          <t>Riccardo De Lauretis:</t>
        </r>
        <r>
          <rPr>
            <sz val="9"/>
            <color indexed="81"/>
            <rFont val="Tahoma"/>
            <charset val="1"/>
          </rPr>
          <t xml:space="preserve">
Efs are for fuel from a study of TNO at European level (Berdowski et al, 1997) where  EF specific for Italy were indicated as compared with those to be applied by other European countries</t>
        </r>
      </text>
    </comment>
    <comment ref="Z2" authorId="1" shapeId="0" xr:uid="{00000000-0006-0000-0200-000015000000}">
      <text>
        <r>
          <rPr>
            <b/>
            <sz val="9"/>
            <color indexed="81"/>
            <rFont val="Tahoma"/>
            <charset val="1"/>
          </rPr>
          <t>Riccardo De Lauretis:</t>
        </r>
        <r>
          <rPr>
            <sz val="9"/>
            <color indexed="81"/>
            <rFont val="Tahoma"/>
            <charset val="1"/>
          </rPr>
          <t xml:space="preserve">
EF from 2019 EMEP/EEA Guidebook</t>
        </r>
      </text>
    </comment>
    <comment ref="AA2" authorId="1" shapeId="0" xr:uid="{00000000-0006-0000-0200-000016000000}">
      <text>
        <r>
          <rPr>
            <b/>
            <sz val="9"/>
            <color indexed="81"/>
            <rFont val="Tahoma"/>
            <charset val="1"/>
          </rPr>
          <t>Riccardo De Lauretis:</t>
        </r>
        <r>
          <rPr>
            <sz val="9"/>
            <color indexed="81"/>
            <rFont val="Tahoma"/>
            <charset val="1"/>
          </rPr>
          <t xml:space="preserve">
Efs are for fuel from a study of TNO at European level (Berdowski et al, 1997) where  EF specific for Italy were indicated as compared with those to be applied by other European countries</t>
        </r>
      </text>
    </comment>
    <comment ref="C11" authorId="2" shapeId="0" xr:uid="{00000000-0006-0000-0200-000017000000}">
      <text>
        <r>
          <rPr>
            <b/>
            <sz val="9"/>
            <color indexed="81"/>
            <rFont val="Tahoma"/>
            <family val="2"/>
          </rPr>
          <t>De Lauretis Riccardo:</t>
        </r>
        <r>
          <rPr>
            <sz val="9"/>
            <color indexed="81"/>
            <rFont val="Tahoma"/>
            <family val="2"/>
          </rPr>
          <t xml:space="preserve">
carbon coke in trasformazione
</t>
        </r>
      </text>
    </comment>
    <comment ref="B12" authorId="0" shapeId="0" xr:uid="{00000000-0006-0000-0200-000018000000}">
      <text>
        <r>
          <rPr>
            <b/>
            <sz val="8"/>
            <color indexed="81"/>
            <rFont val="Tahoma"/>
            <family val="2"/>
          </rPr>
          <t>Delauretis:</t>
        </r>
        <r>
          <rPr>
            <sz val="8"/>
            <color indexed="81"/>
            <rFont val="Tahoma"/>
            <family val="2"/>
          </rPr>
          <t xml:space="preserve">
dal 2002 fattori di emissione SOX, NOX, VOC, CO da INES  (vedi file INES siderurgica.
Dato di attività: produzione coke sul BEN
</t>
        </r>
      </text>
    </comment>
    <comment ref="D13" authorId="1" shapeId="0" xr:uid="{00000000-0006-0000-0200-000019000000}">
      <text>
        <r>
          <rPr>
            <b/>
            <sz val="9"/>
            <color indexed="81"/>
            <rFont val="Tahoma"/>
            <charset val="1"/>
          </rPr>
          <t>Riccardo De Lauretis:</t>
        </r>
        <r>
          <rPr>
            <sz val="9"/>
            <color indexed="81"/>
            <rFont val="Tahoma"/>
            <charset val="1"/>
          </rPr>
          <t xml:space="preserve">
country specific at plant level from PRTR and LCP data
</t>
        </r>
      </text>
    </comment>
    <comment ref="E13" authorId="1" shapeId="0" xr:uid="{00000000-0006-0000-0200-00001A000000}">
      <text>
        <r>
          <rPr>
            <b/>
            <sz val="9"/>
            <color indexed="81"/>
            <rFont val="Tahoma"/>
            <charset val="1"/>
          </rPr>
          <t>Riccardo De Lauretis:</t>
        </r>
        <r>
          <rPr>
            <sz val="9"/>
            <color indexed="81"/>
            <rFont val="Tahoma"/>
            <charset val="1"/>
          </rPr>
          <t xml:space="preserve">
country specific at plant level from PRTR and LCP data
</t>
        </r>
      </text>
    </comment>
    <comment ref="F13" authorId="1" shapeId="0" xr:uid="{00000000-0006-0000-0200-00001B000000}">
      <text>
        <r>
          <rPr>
            <b/>
            <sz val="9"/>
            <color indexed="81"/>
            <rFont val="Tahoma"/>
            <charset val="1"/>
          </rPr>
          <t>Riccardo De Lauretis:</t>
        </r>
        <r>
          <rPr>
            <sz val="9"/>
            <color indexed="81"/>
            <rFont val="Tahoma"/>
            <charset val="1"/>
          </rPr>
          <t xml:space="preserve">
country specific at plant level from PRTR and LCP data
</t>
        </r>
      </text>
    </comment>
    <comment ref="G13" authorId="1" shapeId="0" xr:uid="{00000000-0006-0000-0200-00001C000000}">
      <text>
        <r>
          <rPr>
            <b/>
            <sz val="9"/>
            <color indexed="81"/>
            <rFont val="Tahoma"/>
            <charset val="1"/>
          </rPr>
          <t>Riccardo De Lauretis:</t>
        </r>
        <r>
          <rPr>
            <sz val="9"/>
            <color indexed="81"/>
            <rFont val="Tahoma"/>
            <charset val="1"/>
          </rPr>
          <t xml:space="preserve">
country specific at plant level from PRTR and LCP data
</t>
        </r>
      </text>
    </comment>
    <comment ref="H13" authorId="1" shapeId="0" xr:uid="{00000000-0006-0000-0200-00001D000000}">
      <text>
        <r>
          <rPr>
            <b/>
            <sz val="9"/>
            <color indexed="81"/>
            <rFont val="Tahoma"/>
            <charset val="1"/>
          </rPr>
          <t>Riccardo De Lauretis:</t>
        </r>
        <r>
          <rPr>
            <sz val="9"/>
            <color indexed="81"/>
            <rFont val="Tahoma"/>
            <charset val="1"/>
          </rPr>
          <t xml:space="preserve">
country specific at plant level from PRTR and LCP data
</t>
        </r>
      </text>
    </comment>
    <comment ref="I13" authorId="1" shapeId="0" xr:uid="{00000000-0006-0000-0200-00001E000000}">
      <text>
        <r>
          <rPr>
            <b/>
            <sz val="9"/>
            <color indexed="81"/>
            <rFont val="Tahoma"/>
            <charset val="1"/>
          </rPr>
          <t>Riccardo De Lauretis:</t>
        </r>
        <r>
          <rPr>
            <sz val="9"/>
            <color indexed="81"/>
            <rFont val="Tahoma"/>
            <charset val="1"/>
          </rPr>
          <t xml:space="preserve">
country specific at plant level from PRTR and LCP data
</t>
        </r>
      </text>
    </comment>
    <comment ref="K13" authorId="1" shapeId="0" xr:uid="{00000000-0006-0000-0200-00001F000000}">
      <text>
        <r>
          <rPr>
            <b/>
            <sz val="9"/>
            <color indexed="81"/>
            <rFont val="Tahoma"/>
            <charset val="1"/>
          </rPr>
          <t>Riccardo De Lauretis:</t>
        </r>
        <r>
          <rPr>
            <sz val="9"/>
            <color indexed="81"/>
            <rFont val="Tahoma"/>
            <charset val="1"/>
          </rPr>
          <t xml:space="preserve">
country specific at plant level from PRTR and LCP data
</t>
        </r>
      </text>
    </comment>
    <comment ref="U13" authorId="1" shapeId="0" xr:uid="{00000000-0006-0000-0200-000020000000}">
      <text>
        <r>
          <rPr>
            <b/>
            <sz val="9"/>
            <color indexed="81"/>
            <rFont val="Tahoma"/>
            <charset val="1"/>
          </rPr>
          <t>Riccardo De Lauretis:</t>
        </r>
        <r>
          <rPr>
            <sz val="9"/>
            <color indexed="81"/>
            <rFont val="Tahoma"/>
            <charset val="1"/>
          </rPr>
          <t xml:space="preserve">
country specific at plant level from PRTR and LCP data
</t>
        </r>
      </text>
    </comment>
    <comment ref="V13" authorId="1" shapeId="0" xr:uid="{00000000-0006-0000-0200-000021000000}">
      <text>
        <r>
          <rPr>
            <b/>
            <sz val="9"/>
            <color indexed="81"/>
            <rFont val="Tahoma"/>
            <charset val="1"/>
          </rPr>
          <t>Riccardo De Lauretis:</t>
        </r>
        <r>
          <rPr>
            <sz val="9"/>
            <color indexed="81"/>
            <rFont val="Tahoma"/>
            <charset val="1"/>
          </rPr>
          <t xml:space="preserve">
Percentage PM2.5/Pm10 per fuel as reported in the EMEP/EEA 
Guidebook 2019</t>
        </r>
      </text>
    </comment>
    <comment ref="W13" authorId="1" shapeId="0" xr:uid="{00000000-0006-0000-0200-000022000000}">
      <text>
        <r>
          <rPr>
            <b/>
            <sz val="9"/>
            <color indexed="81"/>
            <rFont val="Tahoma"/>
            <charset val="1"/>
          </rPr>
          <t>Riccardo De Lauretis:</t>
        </r>
        <r>
          <rPr>
            <sz val="9"/>
            <color indexed="81"/>
            <rFont val="Tahoma"/>
            <charset val="1"/>
          </rPr>
          <t xml:space="preserve">
Percentage of PM2.5 as in the EMEP/EEA Guidebook 2019</t>
        </r>
      </text>
    </comment>
    <comment ref="Y13" authorId="1" shapeId="0" xr:uid="{00000000-0006-0000-0200-000023000000}">
      <text>
        <r>
          <rPr>
            <b/>
            <sz val="9"/>
            <color indexed="81"/>
            <rFont val="Tahoma"/>
            <charset val="1"/>
          </rPr>
          <t>Riccardo De Lauretis:</t>
        </r>
        <r>
          <rPr>
            <sz val="9"/>
            <color indexed="81"/>
            <rFont val="Tahoma"/>
            <charset val="1"/>
          </rPr>
          <t xml:space="preserve">
country specific at plant level from PRTR and LCP data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Riccardo De Lauretis</author>
    <author>Taurino Ernesto</author>
  </authors>
  <commentList>
    <comment ref="D2" authorId="0" shapeId="0" xr:uid="{00000000-0006-0000-0400-000001000000}">
      <text>
        <r>
          <rPr>
            <b/>
            <sz val="9"/>
            <color indexed="81"/>
            <rFont val="Tahoma"/>
            <charset val="1"/>
          </rPr>
          <t>Riccardo De Lauretis:</t>
        </r>
        <r>
          <rPr>
            <sz val="9"/>
            <color indexed="81"/>
            <rFont val="Tahoma"/>
            <charset val="1"/>
          </rPr>
          <t xml:space="preserve">
Implied emission factor from the emission data at plant level submitted in the framework of LCP and EPRTR
</t>
        </r>
      </text>
    </comment>
    <comment ref="E2" authorId="0" shapeId="0" xr:uid="{00000000-0006-0000-0400-000002000000}">
      <text>
        <r>
          <rPr>
            <b/>
            <sz val="9"/>
            <color indexed="81"/>
            <rFont val="Tahoma"/>
            <charset val="1"/>
          </rPr>
          <t>Riccardo De Lauretis:</t>
        </r>
        <r>
          <rPr>
            <sz val="9"/>
            <color indexed="81"/>
            <rFont val="Tahoma"/>
            <charset val="1"/>
          </rPr>
          <t xml:space="preserve">
Implied emission factor from the emission data at plant level submitted in the framework of LCP and EPRTR
</t>
        </r>
      </text>
    </comment>
    <comment ref="G2" authorId="0" shapeId="0" xr:uid="{00000000-0006-0000-0400-000003000000}">
      <text>
        <r>
          <rPr>
            <b/>
            <sz val="9"/>
            <color indexed="81"/>
            <rFont val="Tahoma"/>
            <charset val="1"/>
          </rPr>
          <t>Riccardo De Lauretis:</t>
        </r>
        <r>
          <rPr>
            <sz val="9"/>
            <color indexed="81"/>
            <rFont val="Tahoma"/>
            <charset val="1"/>
          </rPr>
          <t xml:space="preserve">
Based on IPCC 2006 Guidelines
</t>
        </r>
      </text>
    </comment>
    <comment ref="I2" authorId="0" shapeId="0" xr:uid="{00000000-0006-0000-0400-000004000000}">
      <text>
        <r>
          <rPr>
            <b/>
            <sz val="9"/>
            <color indexed="81"/>
            <rFont val="Tahoma"/>
            <charset val="1"/>
          </rPr>
          <t>Riccardo De Lauretis:</t>
        </r>
        <r>
          <rPr>
            <sz val="9"/>
            <color indexed="81"/>
            <rFont val="Tahoma"/>
            <charset val="1"/>
          </rPr>
          <t xml:space="preserve">
Annual country specific EFs</t>
        </r>
      </text>
    </comment>
    <comment ref="J2" authorId="0" shapeId="0" xr:uid="{00000000-0006-0000-0400-000005000000}">
      <text>
        <r>
          <rPr>
            <b/>
            <sz val="9"/>
            <color indexed="81"/>
            <rFont val="Tahoma"/>
            <charset val="1"/>
          </rPr>
          <t>Riccardo De Lauretis:</t>
        </r>
        <r>
          <rPr>
            <sz val="9"/>
            <color indexed="81"/>
            <rFont val="Tahoma"/>
            <charset val="1"/>
          </rPr>
          <t xml:space="preserve">
Based on IPCC 2006 Guidelines</t>
        </r>
      </text>
    </comment>
    <comment ref="L2" authorId="0" shapeId="0" xr:uid="{00000000-0006-0000-0400-000006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M2" authorId="0" shapeId="0" xr:uid="{00000000-0006-0000-0400-000007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N2" authorId="0" shapeId="0" xr:uid="{00000000-0006-0000-0400-000008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O2" authorId="0" shapeId="0" xr:uid="{00000000-0006-0000-0400-000009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P2" authorId="0" shapeId="0" xr:uid="{00000000-0006-0000-0400-00000A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Q2" authorId="0" shapeId="0" xr:uid="{00000000-0006-0000-0400-00000B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R2" authorId="0" shapeId="0" xr:uid="{00000000-0006-0000-0400-00000C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S2" authorId="0" shapeId="0" xr:uid="{00000000-0006-0000-0400-00000D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T2" authorId="0" shapeId="0" xr:uid="{00000000-0006-0000-0400-00000E000000}">
      <text>
        <r>
          <rPr>
            <b/>
            <sz val="9"/>
            <color indexed="81"/>
            <rFont val="Tahoma"/>
            <charset val="1"/>
          </rPr>
          <t>Riccardo De Lauretis:</t>
        </r>
        <r>
          <rPr>
            <sz val="9"/>
            <color indexed="81"/>
            <rFont val="Tahoma"/>
            <charset val="1"/>
          </rPr>
          <t xml:space="preserve">
EF from measurements on the italian energy production plants by  ENEL in 2001, which include BAT that should be applied according to national legislation by 1999
</t>
        </r>
      </text>
    </comment>
    <comment ref="U2" authorId="0" shapeId="0" xr:uid="{00000000-0006-0000-0400-00000F000000}">
      <text>
        <r>
          <rPr>
            <b/>
            <sz val="9"/>
            <color indexed="81"/>
            <rFont val="Tahoma"/>
            <charset val="1"/>
          </rPr>
          <t>Riccardo De Lauretis:</t>
        </r>
        <r>
          <rPr>
            <sz val="9"/>
            <color indexed="81"/>
            <rFont val="Tahoma"/>
            <charset val="1"/>
          </rPr>
          <t xml:space="preserve">
Implied emission factor from the emission data at plant level submitted in the framework of LCP and EPRTR
</t>
        </r>
      </text>
    </comment>
    <comment ref="V2" authorId="0" shapeId="0" xr:uid="{00000000-0006-0000-0400-000010000000}">
      <text>
        <r>
          <rPr>
            <b/>
            <sz val="9"/>
            <color indexed="81"/>
            <rFont val="Tahoma"/>
            <charset val="1"/>
          </rPr>
          <t>Riccardo De Lauretis:</t>
        </r>
        <r>
          <rPr>
            <sz val="9"/>
            <color indexed="81"/>
            <rFont val="Tahoma"/>
            <charset val="1"/>
          </rPr>
          <t xml:space="preserve">
Percentage PM2.5/Pm10 per fuel as reported in the EMEP/EEA 
Guidebook 2019</t>
        </r>
      </text>
    </comment>
    <comment ref="W2" authorId="0" shapeId="0" xr:uid="{00000000-0006-0000-0400-000011000000}">
      <text>
        <r>
          <rPr>
            <b/>
            <sz val="9"/>
            <color indexed="81"/>
            <rFont val="Tahoma"/>
            <charset val="1"/>
          </rPr>
          <t>Riccardo De Lauretis:</t>
        </r>
        <r>
          <rPr>
            <sz val="9"/>
            <color indexed="81"/>
            <rFont val="Tahoma"/>
            <charset val="1"/>
          </rPr>
          <t xml:space="preserve">
Percentage of PM2.5 as in the EMEP/EEA Guidebook 2019</t>
        </r>
      </text>
    </comment>
    <comment ref="X2" authorId="0" shapeId="0" xr:uid="{00000000-0006-0000-0400-000012000000}">
      <text>
        <r>
          <rPr>
            <b/>
            <sz val="9"/>
            <color indexed="81"/>
            <rFont val="Tahoma"/>
            <charset val="1"/>
          </rPr>
          <t>Riccardo De Lauretis:</t>
        </r>
        <r>
          <rPr>
            <sz val="9"/>
            <color indexed="81"/>
            <rFont val="Tahoma"/>
            <charset val="1"/>
          </rPr>
          <t xml:space="preserve">
Efs are for fuel from a study of TNO at European level (Berdowski et al, 1997) where  EF specific for Italy were indicated as compared with those to be applied by other European countries</t>
        </r>
      </text>
    </comment>
    <comment ref="Y2" authorId="0" shapeId="0" xr:uid="{00000000-0006-0000-0400-000013000000}">
      <text>
        <r>
          <rPr>
            <b/>
            <sz val="9"/>
            <color indexed="81"/>
            <rFont val="Tahoma"/>
            <charset val="1"/>
          </rPr>
          <t>Riccardo De Lauretis:</t>
        </r>
        <r>
          <rPr>
            <sz val="9"/>
            <color indexed="81"/>
            <rFont val="Tahoma"/>
            <charset val="1"/>
          </rPr>
          <t xml:space="preserve">
Efs are for fuel from a study of TNO at European level (Berdowski et al, 1997) where  EF specific for Italy were indicated as compared with those to be applied by other European countries</t>
        </r>
      </text>
    </comment>
    <comment ref="Z2" authorId="0" shapeId="0" xr:uid="{00000000-0006-0000-0400-000014000000}">
      <text>
        <r>
          <rPr>
            <b/>
            <sz val="9"/>
            <color indexed="81"/>
            <rFont val="Tahoma"/>
            <charset val="1"/>
          </rPr>
          <t>Riccardo De Lauretis:</t>
        </r>
        <r>
          <rPr>
            <sz val="9"/>
            <color indexed="81"/>
            <rFont val="Tahoma"/>
            <charset val="1"/>
          </rPr>
          <t xml:space="preserve">
EF from 2019 EMEP/EEA Guidebook</t>
        </r>
      </text>
    </comment>
    <comment ref="AA2" authorId="0" shapeId="0" xr:uid="{00000000-0006-0000-0400-000015000000}">
      <text>
        <r>
          <rPr>
            <b/>
            <sz val="9"/>
            <color indexed="81"/>
            <rFont val="Tahoma"/>
            <charset val="1"/>
          </rPr>
          <t>Riccardo De Lauretis:</t>
        </r>
        <r>
          <rPr>
            <sz val="9"/>
            <color indexed="81"/>
            <rFont val="Tahoma"/>
            <charset val="1"/>
          </rPr>
          <t xml:space="preserve">
Efs are for fuel from a study of TNO at European level (Berdowski et al, 1997) where  EF specific for Italy were indicated as compared with those to be applied by other European countries</t>
        </r>
      </text>
    </comment>
    <comment ref="D5" authorId="1" shapeId="0" xr:uid="{B81373C4-465F-4629-BAB8-1090B56DB1E1}">
      <text>
        <r>
          <rPr>
            <b/>
            <sz val="9"/>
            <color indexed="81"/>
            <rFont val="Tahoma"/>
            <charset val="1"/>
          </rPr>
          <t>Taurino Ernesto:</t>
        </r>
        <r>
          <rPr>
            <sz val="9"/>
            <color indexed="81"/>
            <rFont val="Tahoma"/>
            <charset val="1"/>
          </rPr>
          <t xml:space="preserve">
per gli Sox formula diverse dalle altre, moltiplica l'autoproduzione Hsulphur per il FE del refinery gas</t>
        </r>
      </text>
    </comment>
    <comment ref="I5" authorId="1" shapeId="0" xr:uid="{460B5077-A88C-412D-96EE-536CCCDF3953}">
      <text>
        <r>
          <rPr>
            <b/>
            <sz val="9"/>
            <color indexed="81"/>
            <rFont val="Tahoma"/>
            <family val="2"/>
          </rPr>
          <t>Taurino Ernesto:</t>
        </r>
        <r>
          <rPr>
            <sz val="9"/>
            <color indexed="81"/>
            <rFont val="Tahoma"/>
            <family val="2"/>
          </rPr>
          <t xml:space="preserve">
no biomassa</t>
        </r>
      </text>
    </comment>
    <comment ref="D25" authorId="1" shapeId="0" xr:uid="{7706E941-249A-440B-9446-722FD342C336}">
      <text>
        <r>
          <rPr>
            <b/>
            <sz val="9"/>
            <color indexed="81"/>
            <rFont val="Tahoma"/>
            <charset val="1"/>
          </rPr>
          <t>Taurino Ernesto:</t>
        </r>
        <r>
          <rPr>
            <sz val="9"/>
            <color indexed="81"/>
            <rFont val="Tahoma"/>
            <charset val="1"/>
          </rPr>
          <t xml:space="preserve">
per gli Sox formula diverse dalle altre, moltiplica l'autoproduzione Hsulphur per il FE del refinery gas</t>
        </r>
      </text>
    </comment>
    <comment ref="K62" authorId="1" shapeId="0" xr:uid="{D048C00C-FEA3-4ED5-B13B-3F77B51FBF9B}">
      <text>
        <r>
          <rPr>
            <b/>
            <sz val="9"/>
            <color indexed="81"/>
            <rFont val="Tahoma"/>
            <family val="2"/>
          </rPr>
          <t>Taurino Ernesto:</t>
        </r>
        <r>
          <rPr>
            <sz val="9"/>
            <color indexed="81"/>
            <rFont val="Tahoma"/>
            <family val="2"/>
          </rPr>
          <t xml:space="preserve">
the EF 1.2 g/GJ relating to solid biomass (wood) is multiplied by the percentage of this type of biomass in food which in recent years is made up almost exclusively of biogas and therefore has no NH3 emissions.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ANPA</author>
    <author>ernesto.taurino</author>
    <author xml:space="preserve"> </author>
    <author>Riccardo De Lauretis</author>
  </authors>
  <commentList>
    <comment ref="C3" authorId="0" shapeId="0" xr:uid="{00000000-0006-0000-0500-000001000000}">
      <text>
        <r>
          <rPr>
            <b/>
            <sz val="8"/>
            <color indexed="81"/>
            <rFont val="Tahoma"/>
            <family val="2"/>
          </rPr>
          <t>ANPA:</t>
        </r>
        <r>
          <rPr>
            <sz val="8"/>
            <color indexed="81"/>
            <rFont val="Tahoma"/>
            <family val="2"/>
          </rPr>
          <t xml:space="preserve">
il dato di attività totale è tratto dall'Annuario Statistico ISTAT ed è relativo alla produzione di ghisa comune in pani (industria metallurgica)
fattori di emissione: EMEP- CORINAIR e fattori ricavati dai dati puntuali (ILVA)  fino al 1996;
dal 1997 si aggiornano sulla base del Bref-Report IPPC. Per SOX, NOX e PM dal 1997 si aggiornano con dati ILVA</t>
        </r>
      </text>
    </comment>
    <comment ref="O4" authorId="1" shapeId="0" xr:uid="{00000000-0006-0000-0500-000002000000}">
      <text>
        <r>
          <rPr>
            <b/>
            <sz val="9"/>
            <color indexed="81"/>
            <rFont val="Tahoma"/>
            <family val="2"/>
          </rPr>
          <t>ernesto.taurino:</t>
        </r>
        <r>
          <rPr>
            <sz val="9"/>
            <color indexed="81"/>
            <rFont val="Tahoma"/>
            <family val="2"/>
          </rPr>
          <t xml:space="preserve">
GB2019 PM10 40g/Mg e PM2.5 25g/Mg</t>
        </r>
      </text>
    </comment>
    <comment ref="O5" authorId="1" shapeId="0" xr:uid="{00000000-0006-0000-0500-000003000000}">
      <text>
        <r>
          <rPr>
            <b/>
            <sz val="9"/>
            <color indexed="81"/>
            <rFont val="Tahoma"/>
            <family val="2"/>
          </rPr>
          <t>ernesto.taurino:</t>
        </r>
        <r>
          <rPr>
            <sz val="9"/>
            <color indexed="81"/>
            <rFont val="Tahoma"/>
            <family val="2"/>
          </rPr>
          <t xml:space="preserve">
GB2019 PM10 40g/Mg e PM2.5 25g/Mg</t>
        </r>
      </text>
    </comment>
    <comment ref="C6" authorId="0" shapeId="0" xr:uid="{00000000-0006-0000-0500-000004000000}">
      <text>
        <r>
          <rPr>
            <b/>
            <sz val="8"/>
            <color indexed="81"/>
            <rFont val="Tahoma"/>
            <family val="2"/>
          </rPr>
          <t>ANPA:</t>
        </r>
        <r>
          <rPr>
            <sz val="8"/>
            <color indexed="81"/>
            <rFont val="Tahoma"/>
            <family val="2"/>
          </rPr>
          <t xml:space="preserve">
il dato di attività totale è tratto dall'Annuario Statistico ISTAT ed è relativo alla produzione di gesso semidrato cotto (industrie della lavorazione dei metalli non metalliferi)
fattori di emissione: TECHNE "Inventario delle emissioni 1985-1992, calcolato sulla base dei consumi energetici e dei fattori di emissione per combustibile
</t>
        </r>
      </text>
    </comment>
    <comment ref="O6" authorId="2" shapeId="0" xr:uid="{00000000-0006-0000-0500-000005000000}">
      <text>
        <r>
          <rPr>
            <b/>
            <sz val="8"/>
            <color indexed="81"/>
            <rFont val="Tahoma"/>
            <family val="2"/>
          </rPr>
          <t xml:space="preserve"> :</t>
        </r>
        <r>
          <rPr>
            <sz val="8"/>
            <color indexed="81"/>
            <rFont val="Tahoma"/>
            <family val="2"/>
          </rPr>
          <t xml:space="preserve">
GB2019 plaster furnaces controlled  rapporto PM2.5/PM10
</t>
        </r>
      </text>
    </comment>
    <comment ref="C10" authorId="0" shapeId="0" xr:uid="{00000000-0006-0000-0500-000006000000}">
      <text>
        <r>
          <rPr>
            <b/>
            <sz val="8"/>
            <color indexed="81"/>
            <rFont val="Tahoma"/>
            <family val="2"/>
          </rPr>
          <t>ANPA:</t>
        </r>
        <r>
          <rPr>
            <sz val="8"/>
            <color indexed="81"/>
            <rFont val="Tahoma"/>
            <family val="2"/>
          </rPr>
          <t xml:space="preserve">
il dato di attività totale è fornito da Federacciai fino al 1994, dal 1995 si aggiorna sulla base del rapporto ghisa/acciao assunto pari all'85%. Nel 1997 ha chiuso l'impianto di Piombino. Dal 2000 dati Registro ET relativi agli impianti esistenti (Servola e Taranto). Dal 2004 dati INES + ET.
fattori di emissione: EMEP- CORINAIR e fattori ricavati dai dati puntuali (ILVA)  fino al 1996;
dal 1997 aggiornati sulla base del Bref-Report IPPC (con eccezione delle emissioni del Pb riscontro con dati INES per ILVA di Taranto). Per Sox, NOx e PM dal 1997 fonte ILVA e SOX areale fonte Bref-Report. Dal 2000 fattori Servola uguali a Taranto, controllati anche con dati INES (Taranto comunica dati molto alti calcolati sui limiti). Dal 2004 fattori di emissione SOX, NOX e PM modificati sulla base dei dati di misura pubblicati sul Rapporto ARPA Puglia settembre 2007 (rapporto diossine). Il rapporto contiene anche dati su IPA, PCB e HCB. Per PCB e HCB dal 1990 FE da rapporto ARPA; per PCB confermato dal INES-PRTR di ILVA. Per gli IPA il fattore di emissione sembra simile a quello misurato da ARPA per i 4 del protocollo.
Dal 2007 sono inseriti i FE di SOX, NOX, CO e PM10 da INES-EPRTR ( per Servola dal 2005 NOx e CO).
Il fattore di diossina di Servola dal 2007 è preso da INES-PRTR (coerente con la legislazione regionale).
I fattori di CO2 sono stati calcolati sulla base della documentazione di letteratura e come bilancio dei consumi di combustibili nel settore (vedi file CO2).Per gli IPA FE EMEP CORINAIR.
sub 2014_IPA FE: dal 1990 al 1999 FE da GB EMEP per lo 040209 (ma, al solito, la distinzione tra combustione e processo non è fattibile anche perchè per gli ultimi anni abbiamo le misure da camino che non possono distinguere tra le due frazioni), dal 2000 al 2009 resta lo 0.2 che c'era su tuttala serie precedentemente, dal 2010 fonte misure camino e312 di ILVA Taranto</t>
        </r>
      </text>
    </comment>
    <comment ref="O11" authorId="1" shapeId="0" xr:uid="{00000000-0006-0000-0500-000007000000}">
      <text>
        <r>
          <rPr>
            <b/>
            <sz val="9"/>
            <color indexed="81"/>
            <rFont val="Tahoma"/>
            <family val="2"/>
          </rPr>
          <t>ernesto.taurino:</t>
        </r>
        <r>
          <rPr>
            <sz val="9"/>
            <color indexed="81"/>
            <rFont val="Tahoma"/>
            <family val="2"/>
          </rPr>
          <t xml:space="preserve">
GB2019: PM10 100g/Mg; PM2.5 80g/Mg</t>
        </r>
      </text>
    </comment>
    <comment ref="O12" authorId="1" shapeId="0" xr:uid="{00000000-0006-0000-0500-000008000000}">
      <text>
        <r>
          <rPr>
            <b/>
            <sz val="9"/>
            <color indexed="81"/>
            <rFont val="Tahoma"/>
            <family val="2"/>
          </rPr>
          <t>ernesto.taurino:</t>
        </r>
        <r>
          <rPr>
            <sz val="9"/>
            <color indexed="81"/>
            <rFont val="Tahoma"/>
            <family val="2"/>
          </rPr>
          <t xml:space="preserve">
GB2019: PM10 100g/Mg; PM2.5 80g/Mg</t>
        </r>
      </text>
    </comment>
    <comment ref="C13" authorId="0" shapeId="0" xr:uid="{00000000-0006-0000-0500-000009000000}">
      <text>
        <r>
          <rPr>
            <b/>
            <sz val="8"/>
            <color indexed="81"/>
            <rFont val="Tahoma"/>
            <family val="2"/>
          </rPr>
          <t>ANPA:</t>
        </r>
        <r>
          <rPr>
            <sz val="8"/>
            <color indexed="81"/>
            <rFont val="Tahoma"/>
            <family val="2"/>
          </rPr>
          <t xml:space="preserve">
il dato di attività  è  ricostruito da informazioni fornite da Federacciai  relazioni annuali e Siderurgia in cifre (vedi foglio 'prodotti siderurgici'). La ripartizione areale e puntuale  è ricavata in base al rapporto tra quantità areale/puntuale e quantità totale riferite al 1992 (ultimo dato comunicato)
fattori di emissione: EMEP- CORINAIR e fattori ricavati dai dati puntuali (ILVA). Per SOx, NOx e PM dal 1997 dati ILVA </t>
        </r>
      </text>
    </comment>
    <comment ref="O14" authorId="2" shapeId="0" xr:uid="{00000000-0006-0000-0500-00000A000000}">
      <text>
        <r>
          <rPr>
            <b/>
            <sz val="8"/>
            <color indexed="81"/>
            <rFont val="Tahoma"/>
            <family val="2"/>
          </rPr>
          <t xml:space="preserve"> :</t>
        </r>
        <r>
          <rPr>
            <sz val="8"/>
            <color indexed="81"/>
            <rFont val="Tahoma"/>
            <family val="2"/>
          </rPr>
          <t xml:space="preserve">
valori Tier 1 iron and steel del guidebook
</t>
        </r>
      </text>
    </comment>
    <comment ref="P14" authorId="2" shapeId="0" xr:uid="{00000000-0006-0000-0500-00000B000000}">
      <text>
        <r>
          <rPr>
            <b/>
            <sz val="8"/>
            <color indexed="81"/>
            <rFont val="Tahoma"/>
            <family val="2"/>
          </rPr>
          <t xml:space="preserve"> :</t>
        </r>
        <r>
          <rPr>
            <sz val="8"/>
            <color indexed="81"/>
            <rFont val="Tahoma"/>
            <family val="2"/>
          </rPr>
          <t xml:space="preserve">
valori Tier 1 iron and steel del guidebook
</t>
        </r>
      </text>
    </comment>
    <comment ref="O15" authorId="2" shapeId="0" xr:uid="{00000000-0006-0000-0500-00000C000000}">
      <text>
        <r>
          <rPr>
            <b/>
            <sz val="8"/>
            <color indexed="81"/>
            <rFont val="Tahoma"/>
            <family val="2"/>
          </rPr>
          <t xml:space="preserve"> :</t>
        </r>
        <r>
          <rPr>
            <sz val="8"/>
            <color indexed="81"/>
            <rFont val="Tahoma"/>
            <family val="2"/>
          </rPr>
          <t xml:space="preserve">
valori Tier 1 iron and steel del guidebook
</t>
        </r>
      </text>
    </comment>
    <comment ref="P15" authorId="2" shapeId="0" xr:uid="{00000000-0006-0000-0500-00000D000000}">
      <text>
        <r>
          <rPr>
            <b/>
            <sz val="8"/>
            <color indexed="81"/>
            <rFont val="Tahoma"/>
            <family val="2"/>
          </rPr>
          <t xml:space="preserve"> :</t>
        </r>
        <r>
          <rPr>
            <sz val="8"/>
            <color indexed="81"/>
            <rFont val="Tahoma"/>
            <family val="2"/>
          </rPr>
          <t xml:space="preserve">
valori Tier 1 iron and steel del guidebook
</t>
        </r>
      </text>
    </comment>
    <comment ref="C16" authorId="0" shapeId="0" xr:uid="{00000000-0006-0000-0500-00000E000000}">
      <text>
        <r>
          <rPr>
            <b/>
            <sz val="8"/>
            <color indexed="81"/>
            <rFont val="Tahoma"/>
            <family val="2"/>
          </rPr>
          <t>ANPA:</t>
        </r>
        <r>
          <rPr>
            <sz val="8"/>
            <color indexed="81"/>
            <rFont val="Tahoma"/>
            <family val="2"/>
          </rPr>
          <t xml:space="preserve">
il dato di attività totale è tratto dall'Annuario Statistico ISTAT ed è relativo alla produzione delle industrie delle fonderie di ghisa (totali)
fattori di emissione: EMEP- CORINAIR riferiti ai forni elettrici ad arco. </t>
        </r>
      </text>
    </comment>
    <comment ref="O16" authorId="1" shapeId="0" xr:uid="{00000000-0006-0000-0500-00000F000000}">
      <text>
        <r>
          <rPr>
            <b/>
            <sz val="9"/>
            <color indexed="81"/>
            <rFont val="Tahoma"/>
            <family val="2"/>
          </rPr>
          <t>ernesto.taurino:</t>
        </r>
        <r>
          <rPr>
            <sz val="9"/>
            <color indexed="81"/>
            <rFont val="Tahoma"/>
            <family val="2"/>
          </rPr>
          <t xml:space="preserve">
ferroalloys</t>
        </r>
      </text>
    </comment>
    <comment ref="C17" authorId="0" shapeId="0" xr:uid="{00000000-0006-0000-0500-000010000000}">
      <text>
        <r>
          <rPr>
            <b/>
            <sz val="8"/>
            <color indexed="81"/>
            <rFont val="Tahoma"/>
            <family val="2"/>
          </rPr>
          <t>ANPA:</t>
        </r>
        <r>
          <rPr>
            <sz val="8"/>
            <color indexed="81"/>
            <rFont val="Tahoma"/>
            <family val="2"/>
          </rPr>
          <t xml:space="preserve">
il dato di attività è tratto fino al 1992 dalla pubblicazione di ENIRISORSE "Metalli non ferrosi". Per gli anni successivi viene fornito da ASSOMET "Metalli non ferrosi in Italia" o internet . 
fattori di emissione: per SOX, NOX, NMVOC, CO, Pb, Cd, Zn, PM10 le emissioni sono tratte da ENEA "Il riciclaggio delle batterie al piombo-acido esauste" 2000 (file Pb per Riccardo.xls), e dal 2002 da EPRTR.
gli altri da  EMEP- CORINAIR e da controlli con ENIRISORSE nell'ambito della convenzione sui metalli pesanti 1997.
</t>
        </r>
      </text>
    </comment>
    <comment ref="O17" authorId="1" shapeId="0" xr:uid="{00000000-0006-0000-0500-000011000000}">
      <text>
        <r>
          <rPr>
            <b/>
            <sz val="9"/>
            <color indexed="81"/>
            <rFont val="Tahoma"/>
            <family val="2"/>
          </rPr>
          <t>ernesto.taurino:</t>
        </r>
        <r>
          <rPr>
            <sz val="9"/>
            <color indexed="81"/>
            <rFont val="Tahoma"/>
            <family val="2"/>
          </rPr>
          <t xml:space="preserve">
GB2019 PM10 40g/Mg; PM2.5 20g/Mg</t>
        </r>
      </text>
    </comment>
    <comment ref="P17" authorId="1" shapeId="0" xr:uid="{00000000-0006-0000-0500-000012000000}">
      <text>
        <r>
          <rPr>
            <b/>
            <sz val="9"/>
            <color indexed="81"/>
            <rFont val="Tahoma"/>
            <family val="2"/>
          </rPr>
          <t>ernesto.taurino:</t>
        </r>
        <r>
          <rPr>
            <sz val="9"/>
            <color indexed="81"/>
            <rFont val="Tahoma"/>
            <family val="2"/>
          </rPr>
          <t xml:space="preserve">
NE sul GB2019
</t>
        </r>
      </text>
    </comment>
    <comment ref="C18" authorId="0" shapeId="0" xr:uid="{00000000-0006-0000-0500-000013000000}">
      <text>
        <r>
          <rPr>
            <b/>
            <sz val="8"/>
            <color indexed="81"/>
            <rFont val="Tahoma"/>
            <family val="2"/>
          </rPr>
          <t>ANPA:</t>
        </r>
        <r>
          <rPr>
            <sz val="8"/>
            <color indexed="81"/>
            <rFont val="Tahoma"/>
            <family val="2"/>
          </rPr>
          <t xml:space="preserve">
il dato di attività è tratto fino al 1993 dalla pubblicazione di ENIRISORSE "Metalli non ferrosi". Per gli anni successivi viene fornito da ASSOMET "Metalli non ferrosi in Italia" o internet . 
Fattori di emissione: per i metalli pesanti sono tratti da EMEP-CORINAIR, tenendo conto del peso dei diversi processi di produzione (elettrolitico e ISF). Per il PM fonte EPA, tenendo conto del peso dei diversi processi di produzione (elettrolitico e ISF). Per gli altri fonte CITEPA 93. 
Dal 2003 per SOX, Pb, Cd, Zn, PM10 le emissioni sono tratte da EPRTR.</t>
        </r>
      </text>
    </comment>
    <comment ref="O18" authorId="1" shapeId="0" xr:uid="{00000000-0006-0000-0500-000014000000}">
      <text>
        <r>
          <rPr>
            <b/>
            <sz val="9"/>
            <color indexed="81"/>
            <rFont val="Tahoma"/>
            <family val="2"/>
          </rPr>
          <t>ernesto.taurino:</t>
        </r>
        <r>
          <rPr>
            <sz val="9"/>
            <color indexed="81"/>
            <rFont val="Tahoma"/>
            <family val="2"/>
          </rPr>
          <t xml:space="preserve">
GB2019 PM10 85g/Mg; PM2.5 66g/Mg</t>
        </r>
      </text>
    </comment>
    <comment ref="P18" authorId="1" shapeId="0" xr:uid="{00000000-0006-0000-0500-000015000000}">
      <text>
        <r>
          <rPr>
            <b/>
            <sz val="9"/>
            <color indexed="81"/>
            <rFont val="Tahoma"/>
            <family val="2"/>
          </rPr>
          <t>ernesto.taurino:</t>
        </r>
        <r>
          <rPr>
            <sz val="9"/>
            <color indexed="81"/>
            <rFont val="Tahoma"/>
            <family val="2"/>
          </rPr>
          <t xml:space="preserve">
NE sul GB2019
</t>
        </r>
      </text>
    </comment>
    <comment ref="C19" authorId="0" shapeId="0" xr:uid="{00000000-0006-0000-0500-000016000000}">
      <text>
        <r>
          <rPr>
            <b/>
            <sz val="8"/>
            <color indexed="81"/>
            <rFont val="Tahoma"/>
            <family val="2"/>
          </rPr>
          <t>ANPA:</t>
        </r>
        <r>
          <rPr>
            <sz val="8"/>
            <color indexed="81"/>
            <rFont val="Tahoma"/>
            <family val="2"/>
          </rPr>
          <t xml:space="preserve">
Tale produzione non è presente in Italia
</t>
        </r>
      </text>
    </comment>
    <comment ref="C20" authorId="0" shapeId="0" xr:uid="{00000000-0006-0000-0500-000017000000}">
      <text>
        <r>
          <rPr>
            <b/>
            <sz val="8"/>
            <color indexed="81"/>
            <rFont val="Tahoma"/>
            <family val="2"/>
          </rPr>
          <t>ANPA:</t>
        </r>
        <r>
          <rPr>
            <sz val="8"/>
            <color indexed="81"/>
            <rFont val="Tahoma"/>
            <family val="2"/>
          </rPr>
          <t xml:space="preserve">
il dato di attività è tratto fino al 1992 dalla pubblicazione di ENIRISORSE "Metalli non ferrosi". Per gli anni successivi viene fornito da ASSOMET "Metalli non ferrosi in Italia" o internet . 
fattori di emissione: per SOX, NOX, NMVOC, CO, Pb, PM10 le emissioni sono tratte da ENEA "Il riciclaggio delle batterie al piombo-acido esauste" 2000 (file Pb per Riccardo.xls), gli altri da  EMEP- CORINAIR e da controlli con ENIRISORSE nell'ambito della convenzione sui metalli pesanti 1997.
Per PAH (4 del protocollo) e diossine fonte ENEA/MAMB/AIB (Spezzano)
</t>
        </r>
      </text>
    </comment>
    <comment ref="O20" authorId="1" shapeId="0" xr:uid="{00000000-0006-0000-0500-000018000000}">
      <text>
        <r>
          <rPr>
            <b/>
            <sz val="9"/>
            <color indexed="81"/>
            <rFont val="Tahoma"/>
            <family val="2"/>
          </rPr>
          <t>ernesto.taurino:</t>
        </r>
        <r>
          <rPr>
            <sz val="9"/>
            <color indexed="81"/>
            <rFont val="Tahoma"/>
            <family val="2"/>
          </rPr>
          <t xml:space="preserve">
GB2019 PM10 1300g/Mg; PM2.5 650g/Mg</t>
        </r>
      </text>
    </comment>
    <comment ref="P20" authorId="1" shapeId="0" xr:uid="{00000000-0006-0000-0500-000019000000}">
      <text>
        <r>
          <rPr>
            <b/>
            <sz val="9"/>
            <color indexed="81"/>
            <rFont val="Tahoma"/>
            <family val="2"/>
          </rPr>
          <t>ernesto.taurino:</t>
        </r>
        <r>
          <rPr>
            <sz val="9"/>
            <color indexed="81"/>
            <rFont val="Tahoma"/>
            <family val="2"/>
          </rPr>
          <t xml:space="preserve">
NE sul GB2019
</t>
        </r>
      </text>
    </comment>
    <comment ref="Q20" authorId="3" shapeId="0" xr:uid="{00000000-0006-0000-0500-00001A000000}">
      <text>
        <r>
          <rPr>
            <b/>
            <sz val="9"/>
            <color indexed="81"/>
            <rFont val="Tahoma"/>
            <family val="2"/>
          </rPr>
          <t>Riccardo De Lauretis:</t>
        </r>
        <r>
          <rPr>
            <sz val="9"/>
            <color indexed="81"/>
            <rFont val="Tahoma"/>
            <family val="2"/>
          </rPr>
          <t xml:space="preserve">
ENEA-AIB-MATT, 2002. "Valutazione delle emissioni di inquinanti organici persistenti da parte dell’industria metallurgica secondaria".</t>
        </r>
      </text>
    </comment>
    <comment ref="R20" authorId="3" shapeId="0" xr:uid="{00000000-0006-0000-0500-00001B000000}">
      <text>
        <r>
          <rPr>
            <b/>
            <sz val="9"/>
            <color indexed="81"/>
            <rFont val="Tahoma"/>
            <family val="2"/>
          </rPr>
          <t>Riccardo De Lauretis:</t>
        </r>
        <r>
          <rPr>
            <sz val="9"/>
            <color indexed="81"/>
            <rFont val="Tahoma"/>
            <family val="2"/>
          </rPr>
          <t xml:space="preserve">
ENEA-AIB-MATT, 2002. "Valutazione delle emissioni di inquinanti organici persistenti da parte dell’industria metallurgica secondaria".</t>
        </r>
      </text>
    </comment>
    <comment ref="C21" authorId="0" shapeId="0" xr:uid="{00000000-0006-0000-0500-00001C000000}">
      <text>
        <r>
          <rPr>
            <b/>
            <sz val="8"/>
            <color indexed="81"/>
            <rFont val="Tahoma"/>
            <family val="2"/>
          </rPr>
          <t>ANPA:</t>
        </r>
        <r>
          <rPr>
            <sz val="8"/>
            <color indexed="81"/>
            <rFont val="Tahoma"/>
            <family val="2"/>
          </rPr>
          <t xml:space="preserve">
il dato di attività è tratto fino al 1993 dalla pubblicazione di ENIRISORSE "Metalli non ferrosi". Per gli anni successivi viene fornito da ASSOMET "Metalli non ferrosi in Italia" o internet . 
Fattori di emissione: per i metalli pesanti sono tratti da EMEP-CORINAIR.  Per gli altri fonte CITEPA 93. </t>
        </r>
      </text>
    </comment>
    <comment ref="C22" authorId="0" shapeId="0" xr:uid="{00000000-0006-0000-0500-00001D000000}">
      <text>
        <r>
          <rPr>
            <b/>
            <sz val="8"/>
            <color indexed="81"/>
            <rFont val="Tahoma"/>
            <family val="2"/>
          </rPr>
          <t>ANPA:</t>
        </r>
        <r>
          <rPr>
            <sz val="8"/>
            <color indexed="81"/>
            <rFont val="Tahoma"/>
            <family val="2"/>
          </rPr>
          <t xml:space="preserve">
il dato di attività è tratto fino al 1994 dalla pubblicazione di ENIRISORSE "Metalli non ferrosi". Per gli anni successivi viene tratto da Assomet "I metalli non ferrosi in Italia".
Fattori di emissione: per i metalli pesanti sono tratti da EMEP-CORINAIR. Per il PM fonte EPA. Per gli altri fonte CITEPA93. 
FE  Pb, Cu e Zn verificati con dati  INES di Simar (VE) . Verificare altri impianti che non dichiarano.</t>
        </r>
      </text>
    </comment>
    <comment ref="O22" authorId="1" shapeId="0" xr:uid="{00000000-0006-0000-0500-00001E000000}">
      <text>
        <r>
          <rPr>
            <b/>
            <sz val="9"/>
            <color indexed="81"/>
            <rFont val="Tahoma"/>
            <family val="2"/>
          </rPr>
          <t>ernesto.taurino:</t>
        </r>
        <r>
          <rPr>
            <sz val="9"/>
            <color indexed="81"/>
            <rFont val="Tahoma"/>
            <family val="2"/>
          </rPr>
          <t xml:space="preserve">
GB2019 PM10 320g/Mg; PM2.5 240g/Mg</t>
        </r>
      </text>
    </comment>
    <comment ref="C23" authorId="0" shapeId="0" xr:uid="{00000000-0006-0000-0500-00001F000000}">
      <text>
        <r>
          <rPr>
            <b/>
            <sz val="8"/>
            <color indexed="81"/>
            <rFont val="Tahoma"/>
            <family val="2"/>
          </rPr>
          <t>ANPA:</t>
        </r>
        <r>
          <rPr>
            <sz val="8"/>
            <color indexed="81"/>
            <rFont val="Tahoma"/>
            <family val="2"/>
          </rPr>
          <t xml:space="preserve">
il dato di attività è tratto fino al 1994 dalla pubblicazione di ENIRISORSE "Metalli non ferrosi". Per gli anni successivi viene fornito da ASSOMET "Metalli non ferrosi in Italia" o internet . 
Fattori di emissione: per i metalli pesanti sono tratti da EMEP-CORINAIR. Per il PM fonte EPA. Per gli altri fonte CITEPA 93. Per PAH (4 del protocollo) e diossine fonte ENEA/MAMB/AIB (Spezzano)
</t>
        </r>
      </text>
    </comment>
    <comment ref="O23" authorId="1" shapeId="0" xr:uid="{00000000-0006-0000-0500-000020000000}">
      <text>
        <r>
          <rPr>
            <b/>
            <sz val="9"/>
            <color indexed="81"/>
            <rFont val="Tahoma"/>
            <family val="2"/>
          </rPr>
          <t>ernesto.taurino:</t>
        </r>
        <r>
          <rPr>
            <sz val="9"/>
            <color indexed="81"/>
            <rFont val="Tahoma"/>
            <family val="2"/>
          </rPr>
          <t xml:space="preserve">
GB2019 PM10 1.4kg/Mg; PM2.5 0.55kg/Mg</t>
        </r>
      </text>
    </comment>
    <comment ref="Q23" authorId="3" shapeId="0" xr:uid="{00000000-0006-0000-0500-000021000000}">
      <text>
        <r>
          <rPr>
            <b/>
            <sz val="9"/>
            <color indexed="81"/>
            <rFont val="Tahoma"/>
            <family val="2"/>
          </rPr>
          <t>Riccardo De Lauretis:</t>
        </r>
        <r>
          <rPr>
            <sz val="9"/>
            <color indexed="81"/>
            <rFont val="Tahoma"/>
            <family val="2"/>
          </rPr>
          <t xml:space="preserve">
ENEA-AIB-MATT, 2002. "Valutazione delle emissioni di inquinanti organici persistenti da parte dell’industria metallurgica secondaria".</t>
        </r>
      </text>
    </comment>
    <comment ref="R23" authorId="3" shapeId="0" xr:uid="{00000000-0006-0000-0500-000022000000}">
      <text>
        <r>
          <rPr>
            <b/>
            <sz val="9"/>
            <color indexed="81"/>
            <rFont val="Tahoma"/>
            <family val="2"/>
          </rPr>
          <t>Riccardo De Lauretis:</t>
        </r>
        <r>
          <rPr>
            <sz val="9"/>
            <color indexed="81"/>
            <rFont val="Tahoma"/>
            <family val="2"/>
          </rPr>
          <t xml:space="preserve">
ENEA-AIB-MATT, 2002. "Valutazione delle emissioni di inquinanti organici persistenti da parte dell’industria metallurgica secondaria".</t>
        </r>
      </text>
    </comment>
    <comment ref="S23" authorId="3" shapeId="0" xr:uid="{00000000-0006-0000-0500-000023000000}">
      <text>
        <r>
          <rPr>
            <b/>
            <sz val="9"/>
            <color indexed="81"/>
            <rFont val="Tahoma"/>
            <family val="2"/>
          </rPr>
          <t>Riccardo De Lauretis:</t>
        </r>
        <r>
          <rPr>
            <sz val="9"/>
            <color indexed="81"/>
            <rFont val="Tahoma"/>
            <family val="2"/>
          </rPr>
          <t xml:space="preserve">
ENEA-AIB-MATT, 2002. "Valutazione delle emissioni di inquinanti organici persistenti da parte dell’industria metallurgica secondaria".</t>
        </r>
      </text>
    </comment>
    <comment ref="T23" authorId="3" shapeId="0" xr:uid="{00000000-0006-0000-0500-000024000000}">
      <text>
        <r>
          <rPr>
            <b/>
            <sz val="9"/>
            <color indexed="81"/>
            <rFont val="Tahoma"/>
            <family val="2"/>
          </rPr>
          <t>Riccardo De Lauretis:</t>
        </r>
        <r>
          <rPr>
            <sz val="9"/>
            <color indexed="81"/>
            <rFont val="Tahoma"/>
            <family val="2"/>
          </rPr>
          <t xml:space="preserve">
ENEA-AIB-MATT, 2002. "Valutazione delle emissioni di inquinanti organici persistenti da parte dell’industria metallurgica secondaria".</t>
        </r>
      </text>
    </comment>
    <comment ref="C24" authorId="0" shapeId="0" xr:uid="{00000000-0006-0000-0500-000025000000}">
      <text>
        <r>
          <rPr>
            <b/>
            <sz val="8"/>
            <color indexed="81"/>
            <rFont val="Tahoma"/>
            <family val="2"/>
          </rPr>
          <t>ANPA:</t>
        </r>
        <r>
          <rPr>
            <sz val="8"/>
            <color indexed="81"/>
            <rFont val="Tahoma"/>
            <family val="2"/>
          </rPr>
          <t xml:space="preserve">
il dato di attività totale è tratto dall'Annuario Statistico ISTAT ed è relativo alla produzione di clinker  (industrie della lavorazione dei metalli non metalliferi)
fattori di emissione: per il PM10 fonte EPA; per Hg fonte AITEC (c.p.); per i metalli pesanti  e diossine fonte Guidebook EMEP/CORINAIR; per gli altri inquinanti TECHNE "Inventairo delle emissioni 1985-1992" calcolato sulla base dei consumi di combustibili. 
Dal 2003 per SOX,NOX, CO, PM10, NH3 da EPRTR</t>
        </r>
      </text>
    </comment>
    <comment ref="O26" authorId="2" shapeId="0" xr:uid="{00000000-0006-0000-0500-000026000000}">
      <text>
        <r>
          <rPr>
            <b/>
            <sz val="8"/>
            <color indexed="81"/>
            <rFont val="Tahoma"/>
            <family val="2"/>
          </rPr>
          <t xml:space="preserve"> :</t>
        </r>
        <r>
          <rPr>
            <sz val="8"/>
            <color indexed="81"/>
            <rFont val="Tahoma"/>
            <family val="2"/>
          </rPr>
          <t xml:space="preserve">
GB2019 si riferisce al clinker processi 
 55% PM2.5/PM10</t>
        </r>
      </text>
    </comment>
    <comment ref="C27" authorId="0" shapeId="0" xr:uid="{00000000-0006-0000-0500-000027000000}">
      <text>
        <r>
          <rPr>
            <b/>
            <sz val="8"/>
            <color indexed="81"/>
            <rFont val="Tahoma"/>
            <family val="2"/>
          </rPr>
          <t>ANPA:</t>
        </r>
        <r>
          <rPr>
            <sz val="8"/>
            <color indexed="81"/>
            <rFont val="Tahoma"/>
            <family val="2"/>
          </rPr>
          <t xml:space="preserve">
il dato di attività totale è somma del dato tratto dall'Annuario Statistico ISTAT e relativo alla produzione di calce viva e calce idraulica (industrie della lavorazione dei metalli non metalliferi) più il dato puntuale relativo alla ex-ILVA di Taranto. Il dato ISTAT rappresenta oltre il 90% della produzione nazionale, il dato puntuale dal 1995 si aggiorna sulla base del rapporto calce/ghisa assunto pari allo 0,047%.   
 fattori di emissione: per dati puntuali ILVA per NMVOC, CH4 e CO sono stati utilizzati gli stessi fattori delle stime diffuse; per SOX, NOX, PM10 e CO2 è stato utilizzato il fattore risultante dalla comunicazione delle emissioni 1992. Per le stime diffuse sono di fonte TECHNE "Inventario delle emissioni 1985-1992" e sono calcolate a partire dai combustibili. Dal 1997 per PM e SOx puntuali fattori ILVA. Dal 2002 per ILVA SOx NOx CO2 e PM10 dati EPRTR, Per la CO2 dati ETS</t>
        </r>
      </text>
    </comment>
    <comment ref="O28" authorId="1" shapeId="0" xr:uid="{00000000-0006-0000-0500-000028000000}">
      <text>
        <r>
          <rPr>
            <b/>
            <sz val="9"/>
            <color indexed="81"/>
            <rFont val="Tahoma"/>
            <family val="2"/>
          </rPr>
          <t>ernesto.taurino:</t>
        </r>
        <r>
          <rPr>
            <sz val="9"/>
            <color indexed="81"/>
            <rFont val="Tahoma"/>
            <family val="2"/>
          </rPr>
          <t xml:space="preserve">
EF uncontrolled =700/3500; controlled=30/200</t>
        </r>
      </text>
    </comment>
    <comment ref="C30" authorId="0" shapeId="0" xr:uid="{00000000-0006-0000-0500-000029000000}">
      <text>
        <r>
          <rPr>
            <b/>
            <sz val="8"/>
            <color indexed="81"/>
            <rFont val="Tahoma"/>
            <family val="2"/>
          </rPr>
          <t>ANPA:</t>
        </r>
        <r>
          <rPr>
            <sz val="8"/>
            <color indexed="81"/>
            <rFont val="Tahoma"/>
            <family val="2"/>
          </rPr>
          <t xml:space="preserve">
il dato di attività si riferisce alla produzione di conglomerato bituminoso ed è tratto dal 1996 dalla rivista Rassegna del Bitume del Siteb. Per gli anni 1990-1995 il dato si ricava dalla  produzione di bitume di petrolio tratta dall'Annuario Statistico ISTAT (industrie dei derivati del petrolio e del carbone) a cui si applica una percentuale del 7% sulla base delle informazioni avute per gli altri anni.
fattori di emissione: per gli NMVOC  EPA 2000,  per gli altri fattori elaborazioni ANPA su dati Siteb.</t>
        </r>
      </text>
    </comment>
    <comment ref="O30" authorId="2" shapeId="0" xr:uid="{00000000-0006-0000-0500-00002A000000}">
      <text>
        <r>
          <rPr>
            <b/>
            <sz val="8"/>
            <color indexed="81"/>
            <rFont val="Tahoma"/>
            <family val="2"/>
          </rPr>
          <t xml:space="preserve"> :</t>
        </r>
        <r>
          <rPr>
            <sz val="8"/>
            <color indexed="81"/>
            <rFont val="Tahoma"/>
            <family val="2"/>
          </rPr>
          <t xml:space="preserve">
GB2019 asphalt fabric filter rapporto PM2.5/PM10</t>
        </r>
      </text>
    </comment>
    <comment ref="C31" authorId="0" shapeId="0" xr:uid="{00000000-0006-0000-0500-00002B000000}">
      <text>
        <r>
          <rPr>
            <b/>
            <sz val="8"/>
            <color indexed="81"/>
            <rFont val="Tahoma"/>
            <family val="2"/>
          </rPr>
          <t>ANPA:</t>
        </r>
        <r>
          <rPr>
            <sz val="8"/>
            <color indexed="81"/>
            <rFont val="Tahoma"/>
            <family val="2"/>
          </rPr>
          <t xml:space="preserve">
il dato di attività totale è tratto dall'Annuario Statistico ISTAT ed è relativo alla produzione di float vetro  (industrie della lavorazione dei metalli non metalliferi).
Fattori di emissione: EMEP-CORINAIR fino al 1993. Dal 1994 sono aggiornati sulla base del Bref-report IPPC ed informazioni  Assovetro. Per la CO2 viene sottratta la quota di emissione attribuibile alla fase di processo del decarbonizing.</t>
        </r>
      </text>
    </comment>
    <comment ref="O31" authorId="2" shapeId="0" xr:uid="{00000000-0006-0000-0500-00002C000000}">
      <text>
        <r>
          <rPr>
            <b/>
            <sz val="8"/>
            <color indexed="81"/>
            <rFont val="Tahoma"/>
            <family val="2"/>
          </rPr>
          <t xml:space="preserve"> :</t>
        </r>
        <r>
          <rPr>
            <sz val="8"/>
            <color indexed="81"/>
            <rFont val="Tahoma"/>
            <family val="2"/>
          </rPr>
          <t xml:space="preserve">
GB2019 si riferisce al vetro  processi 
</t>
        </r>
      </text>
    </comment>
    <comment ref="C32" authorId="0" shapeId="0" xr:uid="{00000000-0006-0000-0500-00002D000000}">
      <text>
        <r>
          <rPr>
            <b/>
            <sz val="8"/>
            <color indexed="81"/>
            <rFont val="Tahoma"/>
            <family val="2"/>
          </rPr>
          <t>ANPA:</t>
        </r>
        <r>
          <rPr>
            <sz val="8"/>
            <color indexed="81"/>
            <rFont val="Tahoma"/>
            <family val="2"/>
          </rPr>
          <t xml:space="preserve">
il dato di attività totale è tratto dall'Annuario Statistico ISTAT ed è relativo alla produzione di bottigliame, fiaschi damigiane e bofferia toscana, flaconeria, vasi, articoli per uso domestico e da tavola (industrie della lavorazione dei metalli non metalliferi).
Fattori di emissione: EMEP-CORINAIR fino al 1993. Dal 1994 sono aggiornati sulla base del Bref-report IPPC ed informazioni Assovetro. Per la CO2 viene sottratta la quota di emissione attribuibile alla fase di processo del decarbonizing.</t>
        </r>
      </text>
    </comment>
    <comment ref="O32" authorId="2" shapeId="0" xr:uid="{00000000-0006-0000-0500-00002E000000}">
      <text>
        <r>
          <rPr>
            <b/>
            <sz val="8"/>
            <color indexed="81"/>
            <rFont val="Tahoma"/>
            <family val="2"/>
          </rPr>
          <t xml:space="preserve"> :</t>
        </r>
        <r>
          <rPr>
            <sz val="8"/>
            <color indexed="81"/>
            <rFont val="Tahoma"/>
            <family val="2"/>
          </rPr>
          <t xml:space="preserve">
GB2019 si riferisce al vetro  processi 
</t>
        </r>
      </text>
    </comment>
    <comment ref="C33" authorId="0" shapeId="0" xr:uid="{00000000-0006-0000-0500-00002F000000}">
      <text>
        <r>
          <rPr>
            <b/>
            <sz val="8"/>
            <color indexed="81"/>
            <rFont val="Tahoma"/>
            <family val="2"/>
          </rPr>
          <t>ANPA:</t>
        </r>
        <r>
          <rPr>
            <sz val="8"/>
            <color indexed="81"/>
            <rFont val="Tahoma"/>
            <family val="2"/>
          </rPr>
          <t xml:space="preserve">
il dato di attività totale è tratto dall'Annuario Statistico ISTAT ed è relativo alla produzione di fibre di vetro (industrie della lavorazione dei metalli non metalliferi).
Fattori di emissione: EMEP-CORINAIR fino al 1993. Dal 1994 sono aggiornati sulla base del Bref-report IPPC ed informazioni  Assovetro.Per la CO2 viene sottratta la quota di emissione attribuibile alla fase di processo del decarbonizing.</t>
        </r>
      </text>
    </comment>
    <comment ref="O33" authorId="2" shapeId="0" xr:uid="{00000000-0006-0000-0500-000030000000}">
      <text>
        <r>
          <rPr>
            <b/>
            <sz val="8"/>
            <color indexed="81"/>
            <rFont val="Tahoma"/>
            <family val="2"/>
          </rPr>
          <t xml:space="preserve"> :</t>
        </r>
        <r>
          <rPr>
            <sz val="8"/>
            <color indexed="81"/>
            <rFont val="Tahoma"/>
            <family val="2"/>
          </rPr>
          <t xml:space="preserve">
GB2019 si riferisce al vetro  processi 
</t>
        </r>
      </text>
    </comment>
    <comment ref="C34" authorId="0" shapeId="0" xr:uid="{00000000-0006-0000-0500-000031000000}">
      <text>
        <r>
          <rPr>
            <b/>
            <sz val="8"/>
            <color indexed="81"/>
            <rFont val="Tahoma"/>
            <family val="2"/>
          </rPr>
          <t>ANPA:</t>
        </r>
        <r>
          <rPr>
            <sz val="8"/>
            <color indexed="81"/>
            <rFont val="Tahoma"/>
            <family val="2"/>
          </rPr>
          <t xml:space="preserve">
il dato di attività totale è tratto dall'Annuario Statistico ISTAT ed è relativo alla produzione di vetro pressato per edilizia e vetro e cristallo di sicurezza (industrie della lavorazione dei metalli non metalliferi).
Fattori di emissione: EMEP-CORINAIR fino al 1993. Dal 1994 sono aggiornati sulla base del Bref-report IPPC ed informazioni Assovetro.</t>
        </r>
      </text>
    </comment>
    <comment ref="O34" authorId="2" shapeId="0" xr:uid="{00000000-0006-0000-0500-000032000000}">
      <text>
        <r>
          <rPr>
            <b/>
            <sz val="8"/>
            <color indexed="81"/>
            <rFont val="Tahoma"/>
            <family val="2"/>
          </rPr>
          <t xml:space="preserve"> :</t>
        </r>
        <r>
          <rPr>
            <sz val="8"/>
            <color indexed="81"/>
            <rFont val="Tahoma"/>
            <family val="2"/>
          </rPr>
          <t xml:space="preserve">
GB2019 si riferisce al vetro  processi 
</t>
        </r>
      </text>
    </comment>
    <comment ref="C35" authorId="0" shapeId="0" xr:uid="{00000000-0006-0000-0500-000033000000}">
      <text>
        <r>
          <rPr>
            <b/>
            <sz val="8"/>
            <color indexed="81"/>
            <rFont val="Tahoma"/>
            <family val="2"/>
          </rPr>
          <t>ANPA:</t>
        </r>
        <r>
          <rPr>
            <sz val="8"/>
            <color indexed="81"/>
            <rFont val="Tahoma"/>
            <family val="2"/>
          </rPr>
          <t xml:space="preserve">
Tale produzione non è presente in Italia fino al 1993 e dal 2009 . Vedi foglio mineral wool
</t>
        </r>
      </text>
    </comment>
    <comment ref="O35" authorId="2" shapeId="0" xr:uid="{00000000-0006-0000-0500-000034000000}">
      <text>
        <r>
          <rPr>
            <b/>
            <sz val="8"/>
            <color indexed="81"/>
            <rFont val="Tahoma"/>
            <family val="2"/>
          </rPr>
          <t xml:space="preserve"> :</t>
        </r>
        <r>
          <rPr>
            <sz val="8"/>
            <color indexed="81"/>
            <rFont val="Tahoma"/>
            <family val="2"/>
          </rPr>
          <t xml:space="preserve">
GB2019 si riferisce al vetro  processi 
</t>
        </r>
      </text>
    </comment>
    <comment ref="C36" authorId="0" shapeId="0" xr:uid="{00000000-0006-0000-0500-000035000000}">
      <text>
        <r>
          <rPr>
            <b/>
            <sz val="8"/>
            <color indexed="81"/>
            <rFont val="Tahoma"/>
            <family val="2"/>
          </rPr>
          <t>ANPA:</t>
        </r>
        <r>
          <rPr>
            <sz val="8"/>
            <color indexed="81"/>
            <rFont val="Tahoma"/>
            <family val="2"/>
          </rPr>
          <t xml:space="preserve">
Il dato di attività è fornito da  ANDIL "Indagine conoscitiva sui laterizi in Italia".
Fattori di emissione: calcolati da TECHNE "Inventario delle emissioni 1985-1992"  sulla base dei combustibili utilizzati dal settore. 
Per il CO e PM10 fattore emissione EPA.Per la CO2 fattori di emissione tratti dal rapporto ambientale ANDIL. Per NOX fattore di emissione tratto da EMEP/CORINAIR (fonte EPA e rapporto ambientale ANDIL).
</t>
        </r>
      </text>
    </comment>
    <comment ref="O36" authorId="2" shapeId="0" xr:uid="{00000000-0006-0000-0500-000036000000}">
      <text>
        <r>
          <rPr>
            <b/>
            <sz val="8"/>
            <color indexed="81"/>
            <rFont val="Tahoma"/>
            <family val="2"/>
          </rPr>
          <t xml:space="preserve"> :</t>
        </r>
        <r>
          <rPr>
            <sz val="8"/>
            <color indexed="81"/>
            <rFont val="Tahoma"/>
            <family val="2"/>
          </rPr>
          <t xml:space="preserve">
GB2019 si riferisce al vetro  processi 
</t>
        </r>
      </text>
    </comment>
    <comment ref="C37" authorId="0" shapeId="0" xr:uid="{00000000-0006-0000-0500-000037000000}">
      <text>
        <r>
          <rPr>
            <b/>
            <sz val="8"/>
            <color indexed="81"/>
            <rFont val="Tahoma"/>
            <family val="2"/>
          </rPr>
          <t>ANPA:</t>
        </r>
        <r>
          <rPr>
            <sz val="8"/>
            <color indexed="81"/>
            <rFont val="Tahoma"/>
            <family val="2"/>
          </rPr>
          <t xml:space="preserve">
Il dato di attività è fornito da  Assopiastrelle  "Piastrelle e Ceramiche Ambiente"
Fattori di emissione: per SOX, NOX, PM e piombo, fonte Assopiastrelle "Rapporto Integrato"; per la CO2 si è calcolato a partire dal consumo energetico specifico pari a 5 Gj/tonn (Assopiastrelle)  e con riferimento al gas naturale. Per il CO fonte Guidebook EMEP/EEA.
Per gli altri inquinanti valori calcolati da TECHNE "Inventario nazionale 1985-1992"</t>
        </r>
      </text>
    </comment>
    <comment ref="O37" authorId="2" shapeId="0" xr:uid="{00000000-0006-0000-0500-000038000000}">
      <text>
        <r>
          <rPr>
            <b/>
            <sz val="8"/>
            <color indexed="81"/>
            <rFont val="Tahoma"/>
            <family val="2"/>
          </rPr>
          <t xml:space="preserve"> :</t>
        </r>
        <r>
          <rPr>
            <sz val="8"/>
            <color indexed="81"/>
            <rFont val="Tahoma"/>
            <family val="2"/>
          </rPr>
          <t xml:space="preserve">
GB2019 si riferisce al vetro  processi 
</t>
        </r>
      </text>
    </comment>
    <comment ref="C38" authorId="0" shapeId="0" xr:uid="{00000000-0006-0000-0500-000039000000}">
      <text>
        <r>
          <rPr>
            <b/>
            <sz val="8"/>
            <color indexed="81"/>
            <rFont val="Tahoma"/>
            <family val="2"/>
          </rPr>
          <t>ANPA:</t>
        </r>
        <r>
          <rPr>
            <sz val="8"/>
            <color indexed="81"/>
            <rFont val="Tahoma"/>
            <family val="2"/>
          </rPr>
          <t xml:space="preserve">
il dato di attività è tratto dalla pubblicazione di ASSOCARTA sul sito WEB www.assocarta.it e si riferisce al totale di produzione della carta e cartone. 
Fattori di emissione: NMVOC, CO e N2O da EMEP/CORINAIR; per la CO2 calcolato sulla base dei consumi di combustibile del settore dal file combustione
FE NOx, SOx e PM10 sulla base dei rapporti ambientali Assocarta econsumi combustibili  ETS (vedi file carta NOX-SOX.xls)
</t>
        </r>
      </text>
    </comment>
    <comment ref="O38" authorId="1" shapeId="0" xr:uid="{00000000-0006-0000-0500-00003A000000}">
      <text>
        <r>
          <rPr>
            <b/>
            <sz val="9"/>
            <color indexed="81"/>
            <rFont val="Tahoma"/>
            <family val="2"/>
          </rPr>
          <t>ernesto.taurino:</t>
        </r>
        <r>
          <rPr>
            <sz val="9"/>
            <color indexed="81"/>
            <rFont val="Tahoma"/>
            <family val="2"/>
          </rPr>
          <t xml:space="preserve">
2H1 kg/Mg air dried pulp</t>
        </r>
      </text>
    </comment>
    <comment ref="C39" authorId="0" shapeId="0" xr:uid="{00000000-0006-0000-0500-00003B000000}">
      <text>
        <r>
          <rPr>
            <b/>
            <sz val="8"/>
            <color indexed="81"/>
            <rFont val="Tahoma"/>
            <family val="2"/>
          </rPr>
          <t>ANPA:</t>
        </r>
        <r>
          <rPr>
            <sz val="8"/>
            <color indexed="81"/>
            <rFont val="Tahoma"/>
            <family val="2"/>
          </rPr>
          <t xml:space="preserve">
il dato di attività è tratto fino al 1995 dalla pubblicazione di ENIRISORSE "Metalli non ferrosi". Per gli anni successivi viene fornito da Eurallumina (Bref report per il 1997).
Fattore di emissione: per SOX, NOX e particolato dal  1994 si riferiscono alle emissioni di Eurallumina pubblicate sul Piano di disinquinamento per il risanamento del territorio del Sulcis-Iglesiente, per SOX e PM10 dati del 1997 e 1998 forniti dal PMP di Portoscuso e dal 2000 dall'EUROALLUMINA (entrata in funzione impianto SUMITOMO; per gli altri CORINAIR 92 (v. hydroxide calcening).
CO2 calcolato sulla base dei combustibili 
</t>
        </r>
      </text>
    </comment>
    <comment ref="O39" authorId="2" shapeId="0" xr:uid="{00000000-0006-0000-0500-00003C000000}">
      <text>
        <r>
          <rPr>
            <b/>
            <sz val="8"/>
            <color indexed="81"/>
            <rFont val="Tahoma"/>
            <family val="2"/>
          </rPr>
          <t xml:space="preserve"> :</t>
        </r>
        <r>
          <rPr>
            <sz val="8"/>
            <color indexed="81"/>
            <rFont val="Tahoma"/>
            <family val="2"/>
          </rPr>
          <t xml:space="preserve">
GB2007 alumina production rapporto PM2.5/PM10
</t>
        </r>
      </text>
    </comment>
    <comment ref="C40" authorId="0" shapeId="0" xr:uid="{00000000-0006-0000-0500-00003D000000}">
      <text>
        <r>
          <rPr>
            <b/>
            <sz val="8"/>
            <color indexed="81"/>
            <rFont val="Tahoma"/>
            <family val="2"/>
          </rPr>
          <t>ANPA:</t>
        </r>
        <r>
          <rPr>
            <sz val="8"/>
            <color indexed="81"/>
            <rFont val="Tahoma"/>
            <family val="2"/>
          </rPr>
          <t xml:space="preserve">
il dato di attività è tratto fino al 1995 dalla pubblicazione di ENIRISORSE "Metalli non ferrosi". La produzione di magnesio viene interrotta dal 1993. 
</t>
        </r>
      </text>
    </comment>
    <comment ref="C41" authorId="0" shapeId="0" xr:uid="{00000000-0006-0000-0500-00003E000000}">
      <text>
        <r>
          <rPr>
            <b/>
            <sz val="8"/>
            <color indexed="81"/>
            <rFont val="Tahoma"/>
            <family val="2"/>
          </rPr>
          <t>ANPA:</t>
        </r>
        <r>
          <rPr>
            <sz val="8"/>
            <color indexed="81"/>
            <rFont val="Tahoma"/>
            <family val="2"/>
          </rPr>
          <t xml:space="preserve">
Tale produzione non è presente in Italia
</t>
        </r>
      </text>
    </comment>
    <comment ref="C43" authorId="0" shapeId="0" xr:uid="{00000000-0006-0000-0500-00003F000000}">
      <text>
        <r>
          <rPr>
            <b/>
            <sz val="8"/>
            <color indexed="81"/>
            <rFont val="Tahoma"/>
            <family val="2"/>
          </rPr>
          <t>ANPA:</t>
        </r>
        <r>
          <rPr>
            <sz val="8"/>
            <color indexed="81"/>
            <rFont val="Tahoma"/>
            <family val="2"/>
          </rPr>
          <t xml:space="preserve">
il dato di attività si riferisce alla produzione di semilavorati rame e semilavorati in ottone ed è tratto fino al 1994 dalla pubblicazione di ENIRISORSE "Metalli non ferrosi". Per gli anni successivi viene fornito da ASSOMET "Metalli non ferrosi in Italia" . 
Fattori di emissione: per zimco e rame sono tratti dalle dichiarazioni INES 2005. Per NOx, NMVOC e CO2 sono uguali a quelli del rame secondario. </t>
        </r>
      </text>
    </comment>
  </commentList>
</comments>
</file>

<file path=xl/sharedStrings.xml><?xml version="1.0" encoding="utf-8"?>
<sst xmlns="http://schemas.openxmlformats.org/spreadsheetml/2006/main" count="493" uniqueCount="219">
  <si>
    <t>Tj</t>
  </si>
  <si>
    <t>SOx</t>
  </si>
  <si>
    <t>NOx</t>
  </si>
  <si>
    <t>NMVOC</t>
  </si>
  <si>
    <t>CH4</t>
  </si>
  <si>
    <t>CO</t>
  </si>
  <si>
    <t>CO2</t>
  </si>
  <si>
    <t>N2O</t>
  </si>
  <si>
    <t>NH3</t>
  </si>
  <si>
    <t>As</t>
  </si>
  <si>
    <t>Cd</t>
  </si>
  <si>
    <t>Cr</t>
  </si>
  <si>
    <t>Cu</t>
  </si>
  <si>
    <t>Hg</t>
  </si>
  <si>
    <t>Ni</t>
  </si>
  <si>
    <t>Pb</t>
  </si>
  <si>
    <t>Se</t>
  </si>
  <si>
    <t>Zn</t>
  </si>
  <si>
    <t>PM10</t>
  </si>
  <si>
    <t>DIOX</t>
  </si>
  <si>
    <t>PAH</t>
  </si>
  <si>
    <t>PCB</t>
  </si>
  <si>
    <t>HCB</t>
  </si>
  <si>
    <t>01 01</t>
  </si>
  <si>
    <t>Public power</t>
  </si>
  <si>
    <t>Lignite</t>
  </si>
  <si>
    <t>01 04</t>
  </si>
  <si>
    <t>Solid fuel transformation plants</t>
  </si>
  <si>
    <t>01 04 06</t>
  </si>
  <si>
    <t>Coke oven furnaces</t>
  </si>
  <si>
    <t>03 01</t>
  </si>
  <si>
    <t>Comb. in boilers, gas turbines and stationary engines</t>
  </si>
  <si>
    <t>0301</t>
  </si>
  <si>
    <t>Naphta</t>
  </si>
  <si>
    <t>Petcoke</t>
  </si>
  <si>
    <t>Food Processing</t>
  </si>
  <si>
    <t xml:space="preserve">Combustion plants </t>
  </si>
  <si>
    <t>01 03 06</t>
  </si>
  <si>
    <t xml:space="preserve">Refinery furnaces </t>
  </si>
  <si>
    <t>Natural gas</t>
  </si>
  <si>
    <t>Gasoil</t>
  </si>
  <si>
    <t>Low sulphur fuel oil</t>
  </si>
  <si>
    <t>High sulphur fuel oil</t>
  </si>
  <si>
    <t>Biomass</t>
  </si>
  <si>
    <t>Other fuel oils</t>
  </si>
  <si>
    <t>microg Teq/Gj</t>
  </si>
  <si>
    <t>g/Gj</t>
  </si>
  <si>
    <t>CO2 (kg/Gj)</t>
  </si>
  <si>
    <t>Blast furnace gas</t>
  </si>
  <si>
    <t>Oxigen furnaces gas</t>
  </si>
  <si>
    <t>01 04 01-05</t>
  </si>
  <si>
    <t>g/t</t>
  </si>
  <si>
    <t>Coke oven gas</t>
  </si>
  <si>
    <t>LPG</t>
  </si>
  <si>
    <t>Refinery gas</t>
  </si>
  <si>
    <t>Gasoline</t>
  </si>
  <si>
    <t>Kerosene</t>
  </si>
  <si>
    <t>Jet fuel</t>
  </si>
  <si>
    <t>Steam coal</t>
  </si>
  <si>
    <t>Coke</t>
  </si>
  <si>
    <t>Other coal</t>
  </si>
  <si>
    <t>Coking coal</t>
  </si>
  <si>
    <t>01 03 01-05</t>
  </si>
  <si>
    <t>Tar + (gas sintesi da processi di gassificazione)</t>
  </si>
  <si>
    <t>g/GJ</t>
  </si>
  <si>
    <t>IEF</t>
  </si>
  <si>
    <t>Other (mining and quarrying, machinery, textile and leathers, construction and other non specified)</t>
  </si>
  <si>
    <t>Chemicals and petrochemicals</t>
  </si>
  <si>
    <t>Petroleum refineries</t>
  </si>
  <si>
    <t>CODE</t>
  </si>
  <si>
    <t>CORINAIR SECTOR</t>
  </si>
  <si>
    <t>SO2</t>
  </si>
  <si>
    <t>0201</t>
  </si>
  <si>
    <t>Commercial and Institutional plants</t>
  </si>
  <si>
    <t>0202</t>
  </si>
  <si>
    <t>Residential plants</t>
  </si>
  <si>
    <t>0203</t>
  </si>
  <si>
    <t>Plants in agriculture, forestry and aquaculture</t>
  </si>
  <si>
    <t>biomass</t>
  </si>
  <si>
    <t>CORINAIR ACTIVITY</t>
  </si>
  <si>
    <t>FUEL</t>
  </si>
  <si>
    <t>ACTIVITY DATA (Gj)</t>
  </si>
  <si>
    <t>AGGREGATE EMISSION FACTORS (kg/Gj)</t>
  </si>
  <si>
    <t xml:space="preserve"> </t>
  </si>
  <si>
    <t>020103</t>
  </si>
  <si>
    <t>Combustion plants&lt;50 MW</t>
  </si>
  <si>
    <t xml:space="preserve">steam coal </t>
  </si>
  <si>
    <t>coke oven coke</t>
  </si>
  <si>
    <t>wood and similar</t>
  </si>
  <si>
    <t>municipal waste</t>
  </si>
  <si>
    <t>municipal waste/biomass</t>
  </si>
  <si>
    <t>biodiesel</t>
  </si>
  <si>
    <t>residual oil</t>
  </si>
  <si>
    <t>gas oil</t>
  </si>
  <si>
    <t>kerosene</t>
  </si>
  <si>
    <t>natural gas</t>
  </si>
  <si>
    <t>gas works gas</t>
  </si>
  <si>
    <t>020105</t>
  </si>
  <si>
    <t>Stationary engines</t>
  </si>
  <si>
    <t>biogas</t>
  </si>
  <si>
    <t>motor gasoline</t>
  </si>
  <si>
    <t>020202</t>
  </si>
  <si>
    <t>020204</t>
  </si>
  <si>
    <t>020302</t>
  </si>
  <si>
    <t>020304</t>
  </si>
  <si>
    <t>AGGREGATE EMISSION FACTORS (g/Gj)</t>
  </si>
  <si>
    <t>PM2.5</t>
  </si>
  <si>
    <r>
      <t>Diox (</t>
    </r>
    <r>
      <rPr>
        <sz val="10"/>
        <rFont val="Symbol"/>
        <family val="1"/>
        <charset val="2"/>
      </rPr>
      <t>m</t>
    </r>
    <r>
      <rPr>
        <sz val="11"/>
        <color theme="1"/>
        <rFont val="Calibri"/>
        <family val="2"/>
        <scheme val="minor"/>
      </rPr>
      <t>g/GJ)</t>
    </r>
  </si>
  <si>
    <t>mg/GJ</t>
  </si>
  <si>
    <t>01 03</t>
  </si>
  <si>
    <t>03 02</t>
  </si>
  <si>
    <t>Process furnaces without contact (a)</t>
  </si>
  <si>
    <t>03 02 03</t>
  </si>
  <si>
    <t>Blast furnace cowpers</t>
  </si>
  <si>
    <t>areal sources</t>
  </si>
  <si>
    <t>point sources</t>
  </si>
  <si>
    <t>03 02 04</t>
  </si>
  <si>
    <t>Plaster furnaces</t>
  </si>
  <si>
    <t>03 02 05</t>
  </si>
  <si>
    <t>Other furnaces</t>
  </si>
  <si>
    <t>03 03</t>
  </si>
  <si>
    <t xml:space="preserve">Processes with contact </t>
  </si>
  <si>
    <t>03 03 01</t>
  </si>
  <si>
    <t>Sinter and pelletizing plants</t>
  </si>
  <si>
    <t>03 03 02</t>
  </si>
  <si>
    <t>Reheating furnaces steel and iron</t>
  </si>
  <si>
    <t>03 03 03</t>
  </si>
  <si>
    <t>Grey iron foundries</t>
  </si>
  <si>
    <t>03 03 04</t>
  </si>
  <si>
    <t>Primary lead production</t>
  </si>
  <si>
    <t>03 03 05</t>
  </si>
  <si>
    <t>Primary zinc production</t>
  </si>
  <si>
    <t>03 03 06</t>
  </si>
  <si>
    <t>Primary copper production</t>
  </si>
  <si>
    <t>03 03 07</t>
  </si>
  <si>
    <t>Secondary lead production</t>
  </si>
  <si>
    <t>03 03 08</t>
  </si>
  <si>
    <t>Secondary zinc production</t>
  </si>
  <si>
    <t>03 03 09</t>
  </si>
  <si>
    <t>Secondary copper production</t>
  </si>
  <si>
    <t>03 03 10</t>
  </si>
  <si>
    <t>Secondary aluminium production</t>
  </si>
  <si>
    <t>03 03 11</t>
  </si>
  <si>
    <t>Cement (f)</t>
  </si>
  <si>
    <t>clinker</t>
  </si>
  <si>
    <t>cement</t>
  </si>
  <si>
    <t>03 03 12</t>
  </si>
  <si>
    <t>Lime (includ. iron and steel and paper pulp industr.)(f)</t>
  </si>
  <si>
    <t>03 03 13</t>
  </si>
  <si>
    <t>Asphalt concrete plants</t>
  </si>
  <si>
    <t>03 03 14</t>
  </si>
  <si>
    <t>Flat glass (f)</t>
  </si>
  <si>
    <t>03 03 15</t>
  </si>
  <si>
    <t>Container glass (f)</t>
  </si>
  <si>
    <t>03 03 16</t>
  </si>
  <si>
    <t>Glass wool (except binding) (f)</t>
  </si>
  <si>
    <t>03 03 17</t>
  </si>
  <si>
    <t>Other glass (f)</t>
  </si>
  <si>
    <t>03 03 18</t>
  </si>
  <si>
    <t>Mineral wool (except binding)</t>
  </si>
  <si>
    <t>03 03 19</t>
  </si>
  <si>
    <t>Bricks and tiles</t>
  </si>
  <si>
    <t>03 03 20</t>
  </si>
  <si>
    <t>Fine ceramic materials</t>
  </si>
  <si>
    <t>03 03 21</t>
  </si>
  <si>
    <t>Paper-mill industry (drying processes)</t>
  </si>
  <si>
    <t>03 03 22</t>
  </si>
  <si>
    <t>Alumina production</t>
  </si>
  <si>
    <t>03 03 23</t>
  </si>
  <si>
    <t>Magnesium production (dolomite treatment)</t>
  </si>
  <si>
    <t>03 03 24</t>
  </si>
  <si>
    <t>Nickel production (thermal process)</t>
  </si>
  <si>
    <t>03 03 25</t>
  </si>
  <si>
    <t>Enamel production</t>
  </si>
  <si>
    <t>03 03 26</t>
  </si>
  <si>
    <t>Other</t>
  </si>
  <si>
    <t>copper manufactures</t>
  </si>
  <si>
    <t>zinc-copper &amp; brass manufactures</t>
  </si>
  <si>
    <t>ACTIVITY VALUE</t>
  </si>
  <si>
    <t>UNIT</t>
  </si>
  <si>
    <t>Emission Factors (kg/Mg product)</t>
  </si>
  <si>
    <t>Mg product</t>
  </si>
  <si>
    <t>Emission Factors (g/Mg product)</t>
  </si>
  <si>
    <t>Dioxin (mg/t)</t>
  </si>
  <si>
    <t>BC</t>
  </si>
  <si>
    <t>No energy fuel</t>
  </si>
  <si>
    <t>Non energy</t>
  </si>
  <si>
    <t>Biomass (wood +biogas)</t>
  </si>
  <si>
    <t>Benzoapyrene</t>
  </si>
  <si>
    <t>Benzobfluoranthene</t>
  </si>
  <si>
    <t>Benzokfluoranthene</t>
  </si>
  <si>
    <t>Indeno123cdpyrene</t>
  </si>
  <si>
    <t>Country specific</t>
  </si>
  <si>
    <t>EMEP/EEA 2019</t>
  </si>
  <si>
    <t>TNO 1997</t>
  </si>
  <si>
    <t>Other chemical gas</t>
  </si>
  <si>
    <t>1A2a</t>
  </si>
  <si>
    <t>1A2b</t>
  </si>
  <si>
    <t>1A2f</t>
  </si>
  <si>
    <t>1A2d</t>
  </si>
  <si>
    <t>EMEP/CORINAIR 2007</t>
  </si>
  <si>
    <t>IPPC Bref report</t>
  </si>
  <si>
    <t>Country specific fuel based Efs</t>
  </si>
  <si>
    <t>Country specific based on emission data at plant level comunicated in the framework of EPRTR, LCP, ETS or specific studies</t>
  </si>
  <si>
    <t>US EPA AP 42</t>
  </si>
  <si>
    <t>TITOLO</t>
  </si>
  <si>
    <t xml:space="preserve">Fattori di emissione dalla combustione </t>
  </si>
  <si>
    <t>PERIODO DI RIFERIMENTO</t>
  </si>
  <si>
    <t>ABSTRACT</t>
  </si>
  <si>
    <t>AUTORE</t>
  </si>
  <si>
    <t>ISPRA</t>
  </si>
  <si>
    <t>DATA DI PUBBLICAZIONE</t>
  </si>
  <si>
    <t>SITO WEB</t>
  </si>
  <si>
    <t>https://emissioni.sina.isprambiente.it</t>
  </si>
  <si>
    <t>10.06.2026</t>
  </si>
  <si>
    <t>1990-2024</t>
  </si>
  <si>
    <t>Si riportano i fattori di emissione medi per il 2024 utilizzati per l’inventario nazionale delle emissioni in atmosfera relativi alle sorgenti stazionarie di combustione, suddivisi per attività e combustibile.</t>
  </si>
  <si>
    <t>DOI</t>
  </si>
  <si>
    <t>https://doi.org/10.83023/it-ef-combustion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</si>
</sst>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
    <numFmt numFmtId="165" formatCode="#,##0.0"/>
    <numFmt numFmtId="166" formatCode="#,##0.000"/>
    <numFmt numFmtId="167" formatCode="0.000"/>
    <numFmt numFmtId="168" formatCode="0.00000"/>
    <numFmt numFmtId="169" formatCode="0.000000"/>
    <numFmt numFmtId="170" formatCode="0.0000000"/>
    <numFmt numFmtId="171" formatCode="_-* #,##0.000_-;\-* #,##0.000_-;_-* &quot;-&quot;??_-;_-@_-"/>
    <numFmt numFmtId="172" formatCode="_-* #,##0.00000_-;\-* #,##0.00000_-;_-* &quot;-&quot;??_-;_-@_-"/>
    <numFmt numFmtId="173" formatCode="_-* #,##0.000000_-;\-* #,##0.000000_-;_-* &quot;-&quot;??_-;_-@_-"/>
    <numFmt numFmtId="174" formatCode="_-* #,##0.0_-;\-* #,##0.0_-;_-* &quot;-&quot;??_-;_-@_-"/>
    <numFmt numFmtId="175" formatCode="_-* #,##0_-;\-* #,##0_-;_-* &quot;-&quot;??_-;_-@_-"/>
    <numFmt numFmtId="176" formatCode="0.0000"/>
    <numFmt numFmtId="177" formatCode="_-* #,##0.0000_-;\-* #,##0.0000_-;_-* &quot;-&quot;??_-;_-@_-"/>
    <numFmt numFmtId="178" formatCode="#,##0.0000"/>
    <numFmt numFmtId="179" formatCode="_-* #,##0.0000000_-;\-* #,##0.0000000_-;_-* &quot;-&quot;??_-;_-@_-"/>
    <numFmt numFmtId="180" formatCode="_-* #,##0.0000000000_-;\-* #,##0.0000000000_-;_-* &quot;-&quot;??_-;_-@_-"/>
    <numFmt numFmtId="181" formatCode="0.000000000"/>
    <numFmt numFmtId="182" formatCode="#,##0.000000000"/>
    <numFmt numFmtId="183" formatCode="0.00000000"/>
    <numFmt numFmtId="184" formatCode="_-* #,##0.000000000_-;\-* #,##0.000000000_-;_-* &quot;-&quot;??_-;_-@_-"/>
    <numFmt numFmtId="185" formatCode="#,##0.00000"/>
  </numFmts>
  <fonts count="61">
    <font>
      <sz val="11"/>
      <color theme="1"/>
      <name val="Calibri"/>
      <family val="2"/>
      <scheme val="minor"/>
    </font>
    <font>
      <sz val="11"/>
      <color theme="1"/>
      <name val="Calibri"/>
      <family val="2"/>
      <scheme val="minor"/>
    </font>
    <font>
      <b/>
      <sz val="12"/>
      <color indexed="8"/>
      <name val="Arial"/>
      <family val="2"/>
    </font>
    <font>
      <b/>
      <sz val="10"/>
      <color indexed="8"/>
      <name val="Arial"/>
      <family val="2"/>
    </font>
    <font>
      <sz val="10"/>
      <color indexed="8"/>
      <name val="Arial"/>
      <family val="2"/>
    </font>
    <font>
      <sz val="10"/>
      <name val="Arial"/>
      <family val="2"/>
    </font>
    <font>
      <sz val="12"/>
      <color indexed="8"/>
      <name val="Arial"/>
      <family val="2"/>
    </font>
    <font>
      <b/>
      <sz val="10"/>
      <name val="Arial"/>
      <family val="2"/>
    </font>
    <font>
      <sz val="12"/>
      <name val="Arial"/>
      <family val="2"/>
    </font>
    <font>
      <sz val="11"/>
      <color indexed="8"/>
      <name val="Arial"/>
      <family val="2"/>
    </font>
    <font>
      <b/>
      <sz val="11"/>
      <color indexed="8"/>
      <name val="Arial"/>
      <family val="2"/>
    </font>
    <font>
      <i/>
      <sz val="12"/>
      <color indexed="8"/>
      <name val="Arial"/>
      <family val="2"/>
    </font>
    <font>
      <i/>
      <sz val="11"/>
      <color indexed="8"/>
      <name val="Arial"/>
      <family val="2"/>
    </font>
    <font>
      <b/>
      <sz val="12"/>
      <name val="Arial"/>
      <family val="2"/>
    </font>
    <font>
      <b/>
      <sz val="8"/>
      <color indexed="81"/>
      <name val="Tahoma"/>
      <family val="2"/>
    </font>
    <font>
      <sz val="8"/>
      <color indexed="81"/>
      <name val="Tahoma"/>
      <family val="2"/>
    </font>
    <font>
      <sz val="9"/>
      <name val="Times New Roman"/>
      <family val="1"/>
    </font>
    <font>
      <b/>
      <sz val="14"/>
      <name val="Times New Roman"/>
      <family val="1"/>
    </font>
    <font>
      <sz val="8"/>
      <name val="Arial"/>
      <family val="2"/>
    </font>
    <font>
      <sz val="8"/>
      <color indexed="8"/>
      <name val="Arial"/>
      <family val="2"/>
    </font>
    <font>
      <i/>
      <sz val="8"/>
      <name val="Arial"/>
      <family val="2"/>
    </font>
    <font>
      <b/>
      <sz val="8"/>
      <name val="Arial"/>
      <family val="2"/>
    </font>
    <font>
      <sz val="8"/>
      <color theme="1"/>
      <name val="Calibri"/>
      <family val="2"/>
      <scheme val="minor"/>
    </font>
    <font>
      <b/>
      <sz val="8"/>
      <color indexed="8"/>
      <name val="Arial"/>
      <family val="2"/>
    </font>
    <font>
      <i/>
      <sz val="11"/>
      <color theme="1"/>
      <name val="Calibri"/>
      <family val="2"/>
      <scheme val="minor"/>
    </font>
    <font>
      <sz val="10"/>
      <color indexed="10"/>
      <name val="Geneva"/>
    </font>
    <font>
      <sz val="10"/>
      <name val="Geneva"/>
      <family val="2"/>
    </font>
    <font>
      <sz val="10"/>
      <name val="Geneva"/>
    </font>
    <font>
      <sz val="10"/>
      <color indexed="10"/>
      <name val="Geneva"/>
      <family val="2"/>
    </font>
    <font>
      <i/>
      <sz val="10"/>
      <name val="Geneva"/>
    </font>
    <font>
      <b/>
      <sz val="9"/>
      <name val="Times New Roman"/>
      <family val="1"/>
    </font>
    <font>
      <sz val="8"/>
      <name val="Helvetica"/>
    </font>
    <font>
      <sz val="10"/>
      <name val="Symbol"/>
      <family val="1"/>
      <charset val="2"/>
    </font>
    <font>
      <sz val="9"/>
      <color indexed="8"/>
      <name val="Arial"/>
      <family val="2"/>
    </font>
    <font>
      <sz val="9"/>
      <name val="Arial"/>
      <family val="2"/>
    </font>
    <font>
      <sz val="9"/>
      <color theme="1"/>
      <name val="Calibri"/>
      <family val="2"/>
      <scheme val="minor"/>
    </font>
    <font>
      <b/>
      <sz val="9"/>
      <name val="Arial"/>
      <family val="2"/>
    </font>
    <font>
      <sz val="10"/>
      <color theme="1"/>
      <name val="Arial"/>
      <family val="2"/>
    </font>
    <font>
      <sz val="9"/>
      <color theme="1"/>
      <name val="Arial"/>
      <family val="2"/>
    </font>
    <font>
      <i/>
      <sz val="10"/>
      <name val="Arial"/>
      <family val="2"/>
    </font>
    <font>
      <sz val="10"/>
      <color rgb="FFFF0000"/>
      <name val="Arial"/>
      <family val="2"/>
    </font>
    <font>
      <sz val="10"/>
      <color indexed="10"/>
      <name val="Arial"/>
      <family val="2"/>
    </font>
    <font>
      <sz val="11"/>
      <name val="Arial"/>
      <family val="2"/>
    </font>
    <font>
      <sz val="9"/>
      <color indexed="81"/>
      <name val="Tahoma"/>
      <charset val="1"/>
    </font>
    <font>
      <b/>
      <sz val="9"/>
      <color indexed="81"/>
      <name val="Tahoma"/>
      <charset val="1"/>
    </font>
    <font>
      <b/>
      <sz val="9"/>
      <color indexed="81"/>
      <name val="Tahoma"/>
      <family val="2"/>
    </font>
    <font>
      <sz val="9"/>
      <color indexed="81"/>
      <name val="Tahoma"/>
      <family val="2"/>
    </font>
    <font>
      <sz val="11"/>
      <name val="Calibri"/>
      <family val="2"/>
      <scheme val="minor"/>
    </font>
    <font>
      <sz val="11"/>
      <color indexed="10"/>
      <name val="Arial"/>
      <family val="2"/>
    </font>
    <font>
      <i/>
      <sz val="9"/>
      <color indexed="8"/>
      <name val="Arial"/>
      <family val="2"/>
    </font>
    <font>
      <i/>
      <sz val="9"/>
      <name val="Arial"/>
      <family val="2"/>
    </font>
    <font>
      <sz val="9"/>
      <color rgb="FFFF0000"/>
      <name val="Arial"/>
      <family val="2"/>
    </font>
    <font>
      <sz val="8"/>
      <name val="Calibri"/>
      <family val="2"/>
      <scheme val="minor"/>
    </font>
    <font>
      <u/>
      <sz val="11"/>
      <color theme="10"/>
      <name val="Calibri"/>
      <family val="2"/>
      <scheme val="minor"/>
    </font>
    <font>
      <sz val="11"/>
      <color theme="1"/>
      <name val="Titillium Web Regular"/>
    </font>
    <font>
      <sz val="11"/>
      <color rgb="FF87A1D3"/>
      <name val="Titillium Web Regular"/>
    </font>
    <font>
      <b/>
      <sz val="24"/>
      <color theme="0"/>
      <name val="Titillium Web Regular"/>
    </font>
    <font>
      <sz val="28"/>
      <color theme="0"/>
      <name val="Titillium Web Regular"/>
    </font>
    <font>
      <sz val="18"/>
      <color theme="0"/>
      <name val="Titillium Web Regular"/>
    </font>
    <font>
      <sz val="14"/>
      <color theme="0"/>
      <name val="Titillium Web Regular"/>
    </font>
    <font>
      <u/>
      <sz val="14"/>
      <color theme="0"/>
      <name val="Titillium Web Regular"/>
    </font>
  </fonts>
  <fills count="1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254368"/>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49" fontId="16" fillId="0" borderId="6" applyNumberFormat="0" applyFont="0" applyFill="0" applyBorder="0" applyProtection="0">
      <alignment horizontal="left" vertical="center" indent="2"/>
    </xf>
    <xf numFmtId="49" fontId="30" fillId="0" borderId="6" applyNumberFormat="0" applyFill="0" applyBorder="0" applyProtection="0">
      <alignment horizontal="left" vertical="center"/>
    </xf>
    <xf numFmtId="4" fontId="30" fillId="0" borderId="12" applyFill="0" applyBorder="0" applyProtection="0">
      <alignment horizontal="right" vertical="center"/>
    </xf>
    <xf numFmtId="0" fontId="31" fillId="5" borderId="0" applyNumberFormat="0" applyFont="0" applyBorder="0" applyAlignment="0" applyProtection="0"/>
    <xf numFmtId="0" fontId="16" fillId="0" borderId="6" applyNumberFormat="0" applyFill="0" applyAlignment="0" applyProtection="0"/>
    <xf numFmtId="49" fontId="16" fillId="0" borderId="16" applyNumberFormat="0" applyFont="0" applyFill="0" applyBorder="0" applyProtection="0">
      <alignment horizontal="left" vertical="center" indent="5"/>
    </xf>
    <xf numFmtId="4" fontId="16" fillId="0" borderId="6" applyFill="0" applyBorder="0" applyProtection="0">
      <alignment horizontal="right" vertical="center"/>
    </xf>
    <xf numFmtId="0" fontId="27" fillId="0" borderId="0"/>
    <xf numFmtId="0" fontId="53" fillId="0" borderId="0" applyNumberFormat="0" applyFill="0" applyBorder="0" applyAlignment="0" applyProtection="0"/>
  </cellStyleXfs>
  <cellXfs count="609">
    <xf numFmtId="0" fontId="0" fillId="0" borderId="0" xfId="0"/>
    <xf numFmtId="0" fontId="0" fillId="0" borderId="5" xfId="0" applyBorder="1"/>
    <xf numFmtId="0" fontId="6" fillId="0" borderId="0" xfId="0" applyFont="1"/>
    <xf numFmtId="0" fontId="5" fillId="0" borderId="0" xfId="0" applyFont="1"/>
    <xf numFmtId="0" fontId="0" fillId="0" borderId="4" xfId="0" applyBorder="1"/>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6" fillId="2" borderId="0" xfId="0" applyFont="1" applyFill="1"/>
    <xf numFmtId="0" fontId="2" fillId="2" borderId="0" xfId="0" applyFont="1" applyFill="1"/>
    <xf numFmtId="0" fontId="9" fillId="0" borderId="0" xfId="0" applyFont="1" applyAlignment="1">
      <alignment horizontal="center"/>
    </xf>
    <xf numFmtId="0" fontId="10" fillId="0" borderId="0" xfId="0" applyFont="1" applyAlignment="1">
      <alignment horizontal="center"/>
    </xf>
    <xf numFmtId="168" fontId="9" fillId="0" borderId="0" xfId="0" applyNumberFormat="1" applyFont="1" applyAlignment="1">
      <alignment horizontal="center"/>
    </xf>
    <xf numFmtId="169" fontId="9" fillId="0" borderId="0" xfId="0" applyNumberFormat="1" applyFont="1" applyAlignment="1">
      <alignment horizontal="center"/>
    </xf>
    <xf numFmtId="49" fontId="6" fillId="2" borderId="0" xfId="0" applyNumberFormat="1" applyFont="1" applyFill="1"/>
    <xf numFmtId="0" fontId="13" fillId="2" borderId="0" xfId="0" applyFont="1" applyFill="1"/>
    <xf numFmtId="0" fontId="9" fillId="0" borderId="5" xfId="0" applyFont="1" applyBorder="1"/>
    <xf numFmtId="0" fontId="9" fillId="0" borderId="0" xfId="0" applyFont="1"/>
    <xf numFmtId="1" fontId="6" fillId="0" borderId="0" xfId="0" applyNumberFormat="1" applyFont="1" applyAlignment="1">
      <alignment horizontal="right"/>
    </xf>
    <xf numFmtId="1" fontId="6" fillId="0" borderId="0" xfId="0" applyNumberFormat="1" applyFont="1"/>
    <xf numFmtId="1" fontId="11" fillId="0" borderId="0" xfId="0" applyNumberFormat="1" applyFont="1"/>
    <xf numFmtId="0" fontId="17" fillId="2" borderId="0" xfId="2" applyNumberFormat="1" applyFont="1" applyFill="1" applyBorder="1" applyAlignment="1">
      <alignment vertical="center"/>
    </xf>
    <xf numFmtId="0" fontId="8" fillId="2" borderId="0" xfId="0" applyFont="1" applyFill="1"/>
    <xf numFmtId="2" fontId="9" fillId="0" borderId="0" xfId="0" applyNumberFormat="1" applyFont="1" applyAlignment="1">
      <alignment horizontal="center"/>
    </xf>
    <xf numFmtId="0" fontId="16" fillId="0" borderId="0" xfId="2" applyNumberFormat="1" applyFill="1" applyBorder="1">
      <alignment horizontal="left" vertical="center" indent="2"/>
    </xf>
    <xf numFmtId="0" fontId="16" fillId="0" borderId="0" xfId="2" applyNumberFormat="1" applyFont="1" applyFill="1" applyBorder="1">
      <alignment horizontal="left" vertical="center" indent="2"/>
    </xf>
    <xf numFmtId="0" fontId="18" fillId="0" borderId="0" xfId="0" applyFont="1"/>
    <xf numFmtId="0" fontId="18" fillId="0" borderId="11" xfId="0" applyFont="1" applyBorder="1"/>
    <xf numFmtId="3" fontId="18" fillId="0" borderId="11" xfId="0" applyNumberFormat="1" applyFont="1" applyBorder="1"/>
    <xf numFmtId="1" fontId="18" fillId="0" borderId="11" xfId="0" applyNumberFormat="1" applyFont="1" applyBorder="1"/>
    <xf numFmtId="0" fontId="18" fillId="0" borderId="12" xfId="0" applyFont="1" applyBorder="1" applyAlignment="1">
      <alignment horizontal="center"/>
    </xf>
    <xf numFmtId="0" fontId="22" fillId="0" borderId="0" xfId="0" applyFont="1"/>
    <xf numFmtId="3" fontId="19" fillId="0" borderId="0" xfId="0" applyNumberFormat="1" applyFont="1" applyAlignment="1">
      <alignment horizontal="right"/>
    </xf>
    <xf numFmtId="3" fontId="20" fillId="0" borderId="0" xfId="0" applyNumberFormat="1" applyFont="1"/>
    <xf numFmtId="0" fontId="24" fillId="0" borderId="0" xfId="0" applyFont="1"/>
    <xf numFmtId="3" fontId="23" fillId="2" borderId="0" xfId="0" applyNumberFormat="1" applyFont="1" applyFill="1"/>
    <xf numFmtId="3" fontId="18" fillId="0" borderId="11" xfId="0" applyNumberFormat="1" applyFont="1" applyBorder="1" applyAlignment="1">
      <alignment horizontal="right"/>
    </xf>
    <xf numFmtId="3" fontId="21" fillId="2" borderId="0" xfId="0" applyNumberFormat="1" applyFont="1" applyFill="1" applyAlignment="1">
      <alignment horizontal="center"/>
    </xf>
    <xf numFmtId="3" fontId="21" fillId="0" borderId="0" xfId="0" applyNumberFormat="1" applyFont="1" applyAlignment="1">
      <alignment horizontal="center"/>
    </xf>
    <xf numFmtId="3" fontId="23" fillId="2" borderId="0" xfId="0" applyNumberFormat="1" applyFont="1" applyFill="1" applyAlignment="1">
      <alignment horizontal="center"/>
    </xf>
    <xf numFmtId="2" fontId="0" fillId="0" borderId="0" xfId="0" applyNumberFormat="1"/>
    <xf numFmtId="0" fontId="9" fillId="0" borderId="5" xfId="0" applyFont="1" applyBorder="1" applyAlignment="1">
      <alignment horizontal="center"/>
    </xf>
    <xf numFmtId="3" fontId="23" fillId="2" borderId="5" xfId="0" applyNumberFormat="1" applyFont="1" applyFill="1" applyBorder="1" applyAlignment="1">
      <alignment horizontal="center"/>
    </xf>
    <xf numFmtId="3" fontId="23" fillId="2" borderId="2" xfId="0" applyNumberFormat="1" applyFont="1" applyFill="1" applyBorder="1" applyAlignment="1">
      <alignment horizontal="center"/>
    </xf>
    <xf numFmtId="2" fontId="6" fillId="0" borderId="0" xfId="0" applyNumberFormat="1" applyFont="1"/>
    <xf numFmtId="0" fontId="11" fillId="0" borderId="0" xfId="0" applyFont="1"/>
    <xf numFmtId="0" fontId="18" fillId="0" borderId="11" xfId="0" applyFont="1" applyBorder="1" applyAlignment="1">
      <alignment horizontal="center"/>
    </xf>
    <xf numFmtId="3" fontId="19" fillId="0" borderId="11" xfId="0" applyNumberFormat="1" applyFont="1" applyBorder="1" applyAlignment="1">
      <alignment horizontal="right"/>
    </xf>
    <xf numFmtId="0" fontId="24" fillId="0" borderId="4" xfId="0" applyFont="1" applyBorder="1"/>
    <xf numFmtId="0" fontId="7" fillId="0" borderId="11" xfId="0" applyFont="1" applyBorder="1" applyAlignment="1">
      <alignment horizontal="center"/>
    </xf>
    <xf numFmtId="0" fontId="4" fillId="0" borderId="12" xfId="0" applyFont="1" applyBorder="1" applyAlignment="1">
      <alignment horizontal="center"/>
    </xf>
    <xf numFmtId="0" fontId="9" fillId="0" borderId="11" xfId="0" applyFont="1" applyBorder="1" applyAlignment="1">
      <alignment horizontal="center"/>
    </xf>
    <xf numFmtId="4" fontId="20" fillId="0" borderId="5" xfId="0" applyNumberFormat="1" applyFont="1" applyBorder="1"/>
    <xf numFmtId="166" fontId="20" fillId="0" borderId="5" xfId="0" applyNumberFormat="1" applyFont="1" applyBorder="1"/>
    <xf numFmtId="0" fontId="4" fillId="0" borderId="4" xfId="0" applyFont="1" applyBorder="1" applyAlignment="1">
      <alignment horizontal="center"/>
    </xf>
    <xf numFmtId="0" fontId="4" fillId="0" borderId="5" xfId="0" applyFont="1" applyBorder="1" applyAlignment="1">
      <alignment horizontal="center"/>
    </xf>
    <xf numFmtId="3" fontId="23" fillId="2" borderId="2" xfId="0" applyNumberFormat="1" applyFont="1" applyFill="1" applyBorder="1"/>
    <xf numFmtId="0" fontId="11" fillId="0" borderId="14" xfId="0" applyFont="1" applyBorder="1" applyAlignment="1">
      <alignment horizontal="right"/>
    </xf>
    <xf numFmtId="3" fontId="20" fillId="0" borderId="6" xfId="0" applyNumberFormat="1" applyFont="1" applyBorder="1"/>
    <xf numFmtId="164" fontId="12" fillId="0" borderId="15" xfId="0" applyNumberFormat="1" applyFont="1" applyBorder="1" applyAlignment="1">
      <alignment horizontal="right"/>
    </xf>
    <xf numFmtId="43" fontId="23" fillId="0" borderId="0" xfId="1" applyFont="1" applyFill="1" applyBorder="1" applyAlignment="1">
      <alignment horizontal="center"/>
    </xf>
    <xf numFmtId="43" fontId="21" fillId="0" borderId="5" xfId="1" applyFont="1" applyFill="1" applyBorder="1" applyAlignment="1">
      <alignment horizontal="center"/>
    </xf>
    <xf numFmtId="167" fontId="9" fillId="0" borderId="11" xfId="0" applyNumberFormat="1" applyFont="1" applyBorder="1" applyAlignment="1">
      <alignment horizontal="center"/>
    </xf>
    <xf numFmtId="3" fontId="23" fillId="2" borderId="4" xfId="0" applyNumberFormat="1" applyFont="1" applyFill="1" applyBorder="1" applyAlignment="1">
      <alignment horizontal="center"/>
    </xf>
    <xf numFmtId="3" fontId="23" fillId="2" borderId="11" xfId="0" applyNumberFormat="1" applyFont="1" applyFill="1" applyBorder="1" applyAlignment="1">
      <alignment horizontal="center"/>
    </xf>
    <xf numFmtId="0" fontId="0" fillId="0" borderId="11" xfId="0" applyBorder="1"/>
    <xf numFmtId="3" fontId="23" fillId="2" borderId="3" xfId="0" applyNumberFormat="1" applyFont="1" applyFill="1" applyBorder="1" applyAlignment="1">
      <alignment horizontal="center"/>
    </xf>
    <xf numFmtId="3" fontId="0" fillId="0" borderId="5" xfId="0" applyNumberFormat="1" applyBorder="1"/>
    <xf numFmtId="0" fontId="8" fillId="0" borderId="0" xfId="0" applyFont="1"/>
    <xf numFmtId="0" fontId="0" fillId="0" borderId="12" xfId="0" applyBorder="1"/>
    <xf numFmtId="0" fontId="25" fillId="0" borderId="0" xfId="0" applyFont="1"/>
    <xf numFmtId="0" fontId="0" fillId="0" borderId="6" xfId="0" applyBorder="1" applyAlignment="1">
      <alignment horizontal="centerContinuous"/>
    </xf>
    <xf numFmtId="164" fontId="26" fillId="0" borderId="6" xfId="0" applyNumberFormat="1" applyFont="1" applyBorder="1" applyAlignment="1">
      <alignment horizontal="center"/>
    </xf>
    <xf numFmtId="0" fontId="0" fillId="0" borderId="14" xfId="0" applyBorder="1" applyAlignment="1">
      <alignment horizontal="centerContinuous"/>
    </xf>
    <xf numFmtId="0" fontId="0" fillId="0" borderId="15" xfId="0" applyBorder="1" applyAlignment="1">
      <alignment horizontal="centerContinuous"/>
    </xf>
    <xf numFmtId="2" fontId="0" fillId="0" borderId="15" xfId="0" applyNumberFormat="1" applyBorder="1" applyAlignment="1">
      <alignment horizontal="centerContinuous"/>
    </xf>
    <xf numFmtId="167" fontId="25" fillId="0" borderId="6" xfId="0" applyNumberFormat="1" applyFont="1" applyBorder="1" applyAlignment="1">
      <alignment horizontal="center"/>
    </xf>
    <xf numFmtId="0" fontId="0" fillId="0" borderId="8" xfId="0" applyBorder="1" applyAlignment="1">
      <alignment horizontal="center"/>
    </xf>
    <xf numFmtId="2" fontId="0" fillId="0" borderId="8" xfId="0" applyNumberFormat="1" applyBorder="1" applyAlignment="1">
      <alignment horizontal="center"/>
    </xf>
    <xf numFmtId="49" fontId="0" fillId="0" borderId="12" xfId="0" applyNumberFormat="1" applyBorder="1"/>
    <xf numFmtId="0" fontId="0" fillId="0" borderId="9" xfId="0" applyBorder="1"/>
    <xf numFmtId="49" fontId="0" fillId="0" borderId="9" xfId="0" applyNumberFormat="1" applyBorder="1"/>
    <xf numFmtId="0" fontId="0" fillId="0" borderId="6" xfId="0" applyBorder="1"/>
    <xf numFmtId="2" fontId="0" fillId="0" borderId="2" xfId="0" applyNumberFormat="1" applyBorder="1"/>
    <xf numFmtId="0" fontId="0" fillId="0" borderId="10" xfId="0" applyBorder="1"/>
    <xf numFmtId="49" fontId="0" fillId="0" borderId="5" xfId="0" applyNumberFormat="1" applyBorder="1"/>
    <xf numFmtId="49" fontId="0" fillId="0" borderId="6" xfId="0" applyNumberFormat="1" applyBorder="1"/>
    <xf numFmtId="0" fontId="0" fillId="0" borderId="15" xfId="0" applyBorder="1"/>
    <xf numFmtId="0" fontId="0" fillId="0" borderId="8" xfId="0" applyBorder="1"/>
    <xf numFmtId="49" fontId="0" fillId="0" borderId="10" xfId="0" applyNumberFormat="1" applyBorder="1"/>
    <xf numFmtId="49" fontId="0" fillId="0" borderId="11" xfId="0" applyNumberFormat="1" applyBorder="1"/>
    <xf numFmtId="49" fontId="0" fillId="0" borderId="13" xfId="0" applyNumberFormat="1" applyBorder="1"/>
    <xf numFmtId="0" fontId="0" fillId="0" borderId="13" xfId="0" applyBorder="1"/>
    <xf numFmtId="0" fontId="0" fillId="0" borderId="1" xfId="0" applyBorder="1"/>
    <xf numFmtId="0" fontId="0" fillId="0" borderId="7" xfId="0" applyBorder="1"/>
    <xf numFmtId="3" fontId="29" fillId="0" borderId="0" xfId="0" applyNumberFormat="1" applyFont="1"/>
    <xf numFmtId="3" fontId="26" fillId="0" borderId="10" xfId="0" applyNumberFormat="1" applyFont="1" applyBorder="1"/>
    <xf numFmtId="3" fontId="26" fillId="0" borderId="11" xfId="0" applyNumberFormat="1" applyFont="1" applyBorder="1"/>
    <xf numFmtId="3" fontId="26" fillId="0" borderId="12" xfId="0" applyNumberFormat="1" applyFont="1" applyBorder="1"/>
    <xf numFmtId="3" fontId="28" fillId="0" borderId="6" xfId="0" applyNumberFormat="1" applyFont="1" applyBorder="1"/>
    <xf numFmtId="3" fontId="26" fillId="0" borderId="10" xfId="0" applyNumberFormat="1" applyFont="1" applyBorder="1" applyAlignment="1">
      <alignment horizontal="right"/>
    </xf>
    <xf numFmtId="3" fontId="0" fillId="0" borderId="11" xfId="0" applyNumberFormat="1" applyBorder="1" applyAlignment="1">
      <alignment horizontal="right"/>
    </xf>
    <xf numFmtId="3" fontId="26" fillId="0" borderId="12" xfId="0" applyNumberFormat="1" applyFont="1" applyBorder="1" applyAlignment="1">
      <alignment horizontal="right"/>
    </xf>
    <xf numFmtId="167" fontId="28" fillId="0" borderId="5" xfId="0" applyNumberFormat="1" applyFont="1" applyBorder="1" applyAlignment="1">
      <alignment horizontal="center"/>
    </xf>
    <xf numFmtId="167" fontId="28" fillId="0" borderId="6" xfId="0" applyNumberFormat="1" applyFont="1" applyBorder="1" applyAlignment="1">
      <alignment horizontal="center"/>
    </xf>
    <xf numFmtId="3" fontId="28" fillId="0" borderId="6" xfId="0" applyNumberFormat="1" applyFont="1" applyBorder="1" applyAlignment="1">
      <alignment horizontal="center"/>
    </xf>
    <xf numFmtId="3" fontId="28" fillId="0" borderId="0" xfId="0" applyNumberFormat="1" applyFont="1"/>
    <xf numFmtId="3" fontId="28" fillId="0" borderId="14" xfId="0" applyNumberFormat="1" applyFont="1" applyBorder="1"/>
    <xf numFmtId="3" fontId="0" fillId="0" borderId="11" xfId="0" applyNumberFormat="1" applyBorder="1"/>
    <xf numFmtId="3" fontId="28" fillId="0" borderId="1" xfId="0" applyNumberFormat="1" applyFont="1" applyBorder="1"/>
    <xf numFmtId="0" fontId="0" fillId="0" borderId="14" xfId="0" applyBorder="1" applyAlignment="1">
      <alignment horizontal="center"/>
    </xf>
    <xf numFmtId="0" fontId="0" fillId="0" borderId="15" xfId="0" applyBorder="1" applyAlignment="1">
      <alignment horizontal="center"/>
    </xf>
    <xf numFmtId="3" fontId="18" fillId="3" borderId="10" xfId="0" applyNumberFormat="1" applyFont="1" applyFill="1" applyBorder="1"/>
    <xf numFmtId="3" fontId="18" fillId="3" borderId="11" xfId="0" applyNumberFormat="1" applyFont="1" applyFill="1" applyBorder="1" applyAlignment="1">
      <alignment horizontal="right"/>
    </xf>
    <xf numFmtId="3" fontId="18" fillId="3" borderId="11" xfId="0" applyNumberFormat="1" applyFont="1" applyFill="1" applyBorder="1"/>
    <xf numFmtId="174" fontId="33" fillId="0" borderId="0" xfId="1" applyNumberFormat="1" applyFont="1" applyFill="1" applyBorder="1" applyAlignment="1">
      <alignment horizontal="center"/>
    </xf>
    <xf numFmtId="174" fontId="33" fillId="0" borderId="0" xfId="1" applyNumberFormat="1" applyFont="1" applyFill="1" applyAlignment="1">
      <alignment horizontal="center"/>
    </xf>
    <xf numFmtId="3" fontId="33" fillId="0" borderId="0" xfId="0" applyNumberFormat="1" applyFont="1" applyAlignment="1">
      <alignment horizontal="center"/>
    </xf>
    <xf numFmtId="0" fontId="33" fillId="0" borderId="0" xfId="0" applyFont="1" applyAlignment="1">
      <alignment horizontal="center"/>
    </xf>
    <xf numFmtId="0" fontId="33" fillId="0" borderId="5" xfId="0" applyFont="1" applyBorder="1" applyAlignment="1">
      <alignment horizontal="center"/>
    </xf>
    <xf numFmtId="43" fontId="33" fillId="0" borderId="5" xfId="1" applyFont="1" applyBorder="1" applyAlignment="1">
      <alignment horizontal="center"/>
    </xf>
    <xf numFmtId="43" fontId="33" fillId="0" borderId="5" xfId="1" applyFont="1" applyFill="1" applyBorder="1" applyAlignment="1">
      <alignment horizontal="center"/>
    </xf>
    <xf numFmtId="0" fontId="35" fillId="0" borderId="5" xfId="0" applyFont="1" applyBorder="1"/>
    <xf numFmtId="1" fontId="36" fillId="0" borderId="0" xfId="0" applyNumberFormat="1" applyFont="1" applyAlignment="1">
      <alignment horizontal="center"/>
    </xf>
    <xf numFmtId="3" fontId="21" fillId="2" borderId="11" xfId="0" applyNumberFormat="1" applyFont="1" applyFill="1" applyBorder="1" applyAlignment="1">
      <alignment horizontal="center"/>
    </xf>
    <xf numFmtId="3" fontId="21" fillId="2" borderId="0" xfId="1" applyNumberFormat="1" applyFont="1" applyFill="1" applyBorder="1" applyAlignment="1">
      <alignment horizontal="center"/>
    </xf>
    <xf numFmtId="0" fontId="37" fillId="0" borderId="4" xfId="0" applyFont="1" applyBorder="1"/>
    <xf numFmtId="0" fontId="37" fillId="0" borderId="0" xfId="0" applyFont="1"/>
    <xf numFmtId="167" fontId="38" fillId="0" borderId="0" xfId="0" applyNumberFormat="1" applyFont="1"/>
    <xf numFmtId="167" fontId="38" fillId="4" borderId="0" xfId="0" applyNumberFormat="1" applyFont="1" applyFill="1"/>
    <xf numFmtId="43" fontId="38" fillId="0" borderId="0" xfId="1" applyFont="1" applyBorder="1"/>
    <xf numFmtId="167" fontId="34" fillId="0" borderId="0" xfId="0" applyNumberFormat="1" applyFont="1"/>
    <xf numFmtId="167" fontId="34" fillId="4" borderId="0" xfId="0" applyNumberFormat="1" applyFont="1" applyFill="1"/>
    <xf numFmtId="176" fontId="38" fillId="0" borderId="0" xfId="0" applyNumberFormat="1" applyFont="1" applyAlignment="1">
      <alignment horizontal="centerContinuous"/>
    </xf>
    <xf numFmtId="176" fontId="38" fillId="4" borderId="0" xfId="0" applyNumberFormat="1" applyFont="1" applyFill="1" applyAlignment="1">
      <alignment horizontal="centerContinuous"/>
    </xf>
    <xf numFmtId="43" fontId="38" fillId="0" borderId="0" xfId="1" applyFont="1" applyBorder="1" applyAlignment="1">
      <alignment horizontal="centerContinuous"/>
    </xf>
    <xf numFmtId="167" fontId="38" fillId="4" borderId="0" xfId="0" applyNumberFormat="1" applyFont="1" applyFill="1" applyProtection="1">
      <protection locked="0"/>
    </xf>
    <xf numFmtId="167" fontId="38" fillId="0" borderId="0" xfId="0" applyNumberFormat="1" applyFont="1" applyProtection="1">
      <protection locked="0"/>
    </xf>
    <xf numFmtId="43" fontId="38" fillId="0" borderId="0" xfId="1" applyFont="1" applyBorder="1" applyAlignment="1" applyProtection="1">
      <protection locked="0"/>
    </xf>
    <xf numFmtId="167" fontId="34" fillId="0" borderId="0" xfId="0" applyNumberFormat="1" applyFont="1" applyProtection="1">
      <protection locked="0"/>
    </xf>
    <xf numFmtId="167" fontId="34" fillId="4" borderId="0" xfId="0" applyNumberFormat="1" applyFont="1" applyFill="1" applyProtection="1">
      <protection locked="0"/>
    </xf>
    <xf numFmtId="43" fontId="34" fillId="0" borderId="0" xfId="1" applyFont="1" applyBorder="1" applyAlignment="1" applyProtection="1">
      <protection locked="0"/>
    </xf>
    <xf numFmtId="167" fontId="38" fillId="4" borderId="8" xfId="0" applyNumberFormat="1" applyFont="1" applyFill="1" applyBorder="1"/>
    <xf numFmtId="167" fontId="38" fillId="0" borderId="8" xfId="0" quotePrefix="1" applyNumberFormat="1" applyFont="1" applyBorder="1"/>
    <xf numFmtId="167" fontId="38" fillId="0" borderId="8" xfId="0" applyNumberFormat="1" applyFont="1" applyBorder="1"/>
    <xf numFmtId="43" fontId="38" fillId="0" borderId="8" xfId="1" applyFont="1" applyBorder="1" applyAlignment="1"/>
    <xf numFmtId="0" fontId="38" fillId="4" borderId="8" xfId="0" applyFont="1" applyFill="1" applyBorder="1"/>
    <xf numFmtId="2" fontId="38" fillId="4" borderId="8" xfId="0" applyNumberFormat="1" applyFont="1" applyFill="1" applyBorder="1"/>
    <xf numFmtId="2" fontId="38" fillId="0" borderId="8" xfId="0" quotePrefix="1" applyNumberFormat="1" applyFont="1" applyBorder="1"/>
    <xf numFmtId="2" fontId="38" fillId="0" borderId="8" xfId="0" applyNumberFormat="1" applyFont="1" applyBorder="1"/>
    <xf numFmtId="164" fontId="38" fillId="0" borderId="0" xfId="0" applyNumberFormat="1" applyFont="1" applyAlignment="1">
      <alignment horizontal="right"/>
    </xf>
    <xf numFmtId="164" fontId="38" fillId="4" borderId="0" xfId="0" applyNumberFormat="1" applyFont="1" applyFill="1" applyAlignment="1">
      <alignment horizontal="right"/>
    </xf>
    <xf numFmtId="2" fontId="38" fillId="4" borderId="0" xfId="0" applyNumberFormat="1" applyFont="1" applyFill="1" applyAlignment="1">
      <alignment horizontal="center"/>
    </xf>
    <xf numFmtId="2" fontId="38" fillId="0" borderId="0" xfId="0" applyNumberFormat="1" applyFont="1" applyAlignment="1">
      <alignment horizontal="center"/>
    </xf>
    <xf numFmtId="177" fontId="38" fillId="0" borderId="0" xfId="1" applyNumberFormat="1" applyFont="1" applyFill="1" applyBorder="1"/>
    <xf numFmtId="43" fontId="38" fillId="0" borderId="0" xfId="1" applyFont="1" applyFill="1" applyBorder="1"/>
    <xf numFmtId="43" fontId="38" fillId="0" borderId="0" xfId="1" applyFont="1" applyFill="1" applyBorder="1" applyAlignment="1">
      <alignment horizontal="center"/>
    </xf>
    <xf numFmtId="43" fontId="38" fillId="0" borderId="0" xfId="1" applyFont="1" applyFill="1" applyBorder="1" applyAlignment="1" applyProtection="1">
      <protection locked="0"/>
    </xf>
    <xf numFmtId="43" fontId="38" fillId="0" borderId="8" xfId="1" applyFont="1" applyFill="1" applyBorder="1" applyAlignment="1"/>
    <xf numFmtId="167" fontId="38" fillId="0" borderId="0" xfId="0" quotePrefix="1" applyNumberFormat="1" applyFont="1"/>
    <xf numFmtId="164" fontId="38" fillId="0" borderId="1" xfId="0" applyNumberFormat="1" applyFont="1" applyBorder="1"/>
    <xf numFmtId="164" fontId="38" fillId="4" borderId="2" xfId="0" applyNumberFormat="1" applyFont="1" applyFill="1" applyBorder="1" applyAlignment="1">
      <alignment horizontal="right"/>
    </xf>
    <xf numFmtId="2" fontId="38" fillId="4" borderId="2" xfId="0" applyNumberFormat="1" applyFont="1" applyFill="1" applyBorder="1" applyAlignment="1">
      <alignment horizontal="center"/>
    </xf>
    <xf numFmtId="2" fontId="38" fillId="0" borderId="2" xfId="0" applyNumberFormat="1" applyFont="1" applyBorder="1" applyAlignment="1">
      <alignment horizontal="center"/>
    </xf>
    <xf numFmtId="0" fontId="38" fillId="0" borderId="0" xfId="0" applyFont="1"/>
    <xf numFmtId="43" fontId="34" fillId="0" borderId="0" xfId="1" applyFont="1" applyFill="1" applyBorder="1" applyAlignment="1" applyProtection="1">
      <protection locked="0"/>
    </xf>
    <xf numFmtId="168" fontId="38" fillId="0" borderId="0" xfId="0" applyNumberFormat="1" applyFont="1"/>
    <xf numFmtId="171" fontId="38" fillId="0" borderId="0" xfId="1" applyNumberFormat="1" applyFont="1" applyFill="1" applyBorder="1"/>
    <xf numFmtId="172" fontId="38" fillId="0" borderId="0" xfId="1" applyNumberFormat="1" applyFont="1" applyFill="1" applyBorder="1"/>
    <xf numFmtId="1" fontId="34" fillId="0" borderId="0" xfId="9" applyNumberFormat="1" applyFont="1" applyProtection="1">
      <protection locked="0"/>
    </xf>
    <xf numFmtId="0" fontId="38" fillId="0" borderId="8" xfId="0" applyFont="1" applyBorder="1"/>
    <xf numFmtId="2" fontId="38" fillId="0" borderId="7" xfId="0" applyNumberFormat="1" applyFont="1" applyBorder="1"/>
    <xf numFmtId="0" fontId="38" fillId="0" borderId="15" xfId="0" applyFont="1" applyBorder="1"/>
    <xf numFmtId="43" fontId="38" fillId="0" borderId="15" xfId="1" applyFont="1" applyFill="1" applyBorder="1" applyAlignment="1"/>
    <xf numFmtId="43" fontId="38" fillId="0" borderId="15" xfId="1" quotePrefix="1" applyFont="1" applyFill="1" applyBorder="1" applyAlignment="1"/>
    <xf numFmtId="164" fontId="38" fillId="0" borderId="4" xfId="0" applyNumberFormat="1" applyFont="1" applyBorder="1" applyAlignment="1">
      <alignment horizontal="right"/>
    </xf>
    <xf numFmtId="43" fontId="38" fillId="0" borderId="0" xfId="1" applyFont="1" applyFill="1" applyBorder="1" applyAlignment="1">
      <alignment horizontal="right"/>
    </xf>
    <xf numFmtId="167" fontId="38" fillId="0" borderId="0" xfId="1" applyNumberFormat="1" applyFont="1" applyFill="1" applyBorder="1"/>
    <xf numFmtId="43" fontId="38" fillId="0" borderId="8" xfId="1" applyFont="1" applyFill="1" applyBorder="1"/>
    <xf numFmtId="171" fontId="38" fillId="0" borderId="8" xfId="1" applyNumberFormat="1" applyFont="1" applyFill="1" applyBorder="1"/>
    <xf numFmtId="167" fontId="38" fillId="0" borderId="14" xfId="0" applyNumberFormat="1" applyFont="1" applyBorder="1"/>
    <xf numFmtId="167" fontId="38" fillId="0" borderId="15" xfId="0" applyNumberFormat="1" applyFont="1" applyBorder="1"/>
    <xf numFmtId="43" fontId="38" fillId="0" borderId="15" xfId="1" applyFont="1" applyFill="1" applyBorder="1"/>
    <xf numFmtId="43" fontId="38" fillId="0" borderId="13" xfId="1" applyFont="1" applyFill="1" applyBorder="1"/>
    <xf numFmtId="164" fontId="38" fillId="0" borderId="0" xfId="0" applyNumberFormat="1" applyFont="1"/>
    <xf numFmtId="164" fontId="38" fillId="0" borderId="0" xfId="0" applyNumberFormat="1" applyFont="1" applyAlignment="1">
      <alignment horizontal="center"/>
    </xf>
    <xf numFmtId="1" fontId="38" fillId="0" borderId="0" xfId="0" applyNumberFormat="1" applyFont="1" applyAlignment="1">
      <alignment horizontal="center"/>
    </xf>
    <xf numFmtId="0" fontId="38" fillId="0" borderId="0" xfId="0" applyFont="1" applyAlignment="1">
      <alignment horizontal="center"/>
    </xf>
    <xf numFmtId="3" fontId="5" fillId="0" borderId="11" xfId="0" applyNumberFormat="1" applyFont="1" applyBorder="1"/>
    <xf numFmtId="3" fontId="39" fillId="0" borderId="11" xfId="0" applyNumberFormat="1" applyFont="1" applyBorder="1"/>
    <xf numFmtId="0" fontId="40" fillId="0" borderId="12" xfId="0" applyFont="1" applyBorder="1"/>
    <xf numFmtId="0" fontId="40" fillId="0" borderId="4" xfId="0" applyFont="1" applyBorder="1"/>
    <xf numFmtId="0" fontId="40" fillId="0" borderId="1" xfId="0" applyFont="1" applyBorder="1"/>
    <xf numFmtId="3" fontId="5" fillId="0" borderId="4" xfId="0" applyNumberFormat="1" applyFont="1" applyBorder="1"/>
    <xf numFmtId="3" fontId="39" fillId="0" borderId="4" xfId="0" applyNumberFormat="1" applyFont="1" applyBorder="1"/>
    <xf numFmtId="0" fontId="5" fillId="0" borderId="4" xfId="0" applyFont="1" applyBorder="1"/>
    <xf numFmtId="0" fontId="7" fillId="0" borderId="6" xfId="0" applyFont="1" applyBorder="1" applyAlignment="1">
      <alignment horizontal="center"/>
    </xf>
    <xf numFmtId="0" fontId="3" fillId="0" borderId="6" xfId="0" applyFont="1" applyBorder="1" applyAlignment="1">
      <alignment horizontal="center"/>
    </xf>
    <xf numFmtId="0" fontId="4" fillId="0" borderId="10" xfId="0" applyFont="1" applyBorder="1"/>
    <xf numFmtId="0" fontId="3" fillId="0" borderId="1" xfId="0" applyFont="1" applyBorder="1"/>
    <xf numFmtId="0" fontId="4" fillId="0" borderId="2" xfId="0" applyFont="1" applyBorder="1"/>
    <xf numFmtId="0" fontId="41" fillId="0" borderId="10" xfId="0" applyFont="1" applyBorder="1"/>
    <xf numFmtId="0" fontId="4" fillId="0" borderId="15" xfId="0" applyFont="1" applyBorder="1" applyAlignment="1">
      <alignment horizontal="center"/>
    </xf>
    <xf numFmtId="0" fontId="4" fillId="0" borderId="13" xfId="0" applyFont="1" applyBorder="1" applyAlignment="1">
      <alignment horizontal="center"/>
    </xf>
    <xf numFmtId="0" fontId="4" fillId="0" borderId="11" xfId="0" applyFont="1" applyBorder="1"/>
    <xf numFmtId="0" fontId="4" fillId="0" borderId="11" xfId="0" applyFont="1" applyBorder="1" applyAlignment="1">
      <alignment horizontal="center"/>
    </xf>
    <xf numFmtId="0" fontId="37" fillId="0" borderId="5" xfId="0" applyFont="1" applyBorder="1"/>
    <xf numFmtId="0" fontId="4" fillId="0" borderId="12" xfId="0" applyFont="1" applyBorder="1"/>
    <xf numFmtId="0" fontId="4" fillId="0" borderId="7" xfId="0" applyFont="1" applyBorder="1"/>
    <xf numFmtId="0" fontId="4" fillId="0" borderId="0" xfId="0" applyFont="1"/>
    <xf numFmtId="0" fontId="4" fillId="0" borderId="13" xfId="0" applyFont="1" applyBorder="1"/>
    <xf numFmtId="3" fontId="39" fillId="0" borderId="0" xfId="0" applyNumberFormat="1" applyFont="1"/>
    <xf numFmtId="1" fontId="5" fillId="0" borderId="4" xfId="0" applyNumberFormat="1" applyFont="1" applyBorder="1"/>
    <xf numFmtId="0" fontId="40" fillId="0" borderId="0" xfId="0" applyFont="1"/>
    <xf numFmtId="0" fontId="37" fillId="0" borderId="11" xfId="0" applyFont="1" applyBorder="1"/>
    <xf numFmtId="0" fontId="4" fillId="0" borderId="10" xfId="0" applyFont="1" applyBorder="1" applyAlignment="1">
      <alignment horizontal="center"/>
    </xf>
    <xf numFmtId="0" fontId="4" fillId="0" borderId="1" xfId="0" applyFont="1" applyBorder="1"/>
    <xf numFmtId="3" fontId="5" fillId="0" borderId="2" xfId="0" applyNumberFormat="1" applyFont="1" applyBorder="1"/>
    <xf numFmtId="3" fontId="5" fillId="0" borderId="8" xfId="0" applyNumberFormat="1" applyFont="1" applyBorder="1"/>
    <xf numFmtId="3" fontId="23" fillId="2" borderId="1" xfId="0" applyNumberFormat="1" applyFont="1" applyFill="1" applyBorder="1"/>
    <xf numFmtId="0" fontId="9" fillId="0" borderId="4" xfId="0" applyFont="1" applyBorder="1" applyAlignment="1">
      <alignment horizontal="center"/>
    </xf>
    <xf numFmtId="166" fontId="21" fillId="3" borderId="0" xfId="0" applyNumberFormat="1" applyFont="1" applyFill="1"/>
    <xf numFmtId="0" fontId="4" fillId="0" borderId="14" xfId="0" applyFont="1" applyBorder="1" applyAlignment="1">
      <alignment horizontal="center"/>
    </xf>
    <xf numFmtId="43" fontId="33" fillId="0" borderId="0" xfId="1" applyFont="1" applyFill="1" applyBorder="1" applyAlignment="1">
      <alignment horizontal="center"/>
    </xf>
    <xf numFmtId="175" fontId="18" fillId="0" borderId="11" xfId="1" applyNumberFormat="1" applyFont="1" applyFill="1" applyBorder="1"/>
    <xf numFmtId="0" fontId="6" fillId="0" borderId="8" xfId="0" applyFont="1" applyBorder="1"/>
    <xf numFmtId="0" fontId="6" fillId="0" borderId="2" xfId="0" applyFont="1" applyBorder="1"/>
    <xf numFmtId="164" fontId="38" fillId="0" borderId="4" xfId="0" applyNumberFormat="1" applyFont="1" applyBorder="1"/>
    <xf numFmtId="164" fontId="34" fillId="0" borderId="0" xfId="9" applyNumberFormat="1" applyFont="1" applyProtection="1">
      <protection locked="0"/>
    </xf>
    <xf numFmtId="164" fontId="38" fillId="0" borderId="8" xfId="0" applyNumberFormat="1" applyFont="1" applyBorder="1"/>
    <xf numFmtId="168" fontId="38" fillId="0" borderId="8" xfId="0" applyNumberFormat="1" applyFont="1" applyBorder="1"/>
    <xf numFmtId="168" fontId="38" fillId="0" borderId="0" xfId="0" applyNumberFormat="1" applyFont="1" applyAlignment="1">
      <alignment horizontal="right"/>
    </xf>
    <xf numFmtId="165" fontId="21" fillId="2" borderId="0" xfId="0" applyNumberFormat="1" applyFont="1" applyFill="1" applyAlignment="1">
      <alignment horizontal="center"/>
    </xf>
    <xf numFmtId="174" fontId="33" fillId="6" borderId="0" xfId="1" applyNumberFormat="1" applyFont="1" applyFill="1" applyBorder="1" applyAlignment="1">
      <alignment horizontal="center"/>
    </xf>
    <xf numFmtId="174" fontId="33" fillId="6" borderId="0" xfId="1" applyNumberFormat="1" applyFont="1" applyFill="1" applyAlignment="1">
      <alignment horizontal="center"/>
    </xf>
    <xf numFmtId="174" fontId="33" fillId="6" borderId="4" xfId="1" applyNumberFormat="1" applyFont="1" applyFill="1" applyBorder="1" applyAlignment="1">
      <alignment horizontal="center"/>
    </xf>
    <xf numFmtId="174" fontId="33" fillId="6" borderId="7" xfId="1" applyNumberFormat="1" applyFont="1" applyFill="1" applyBorder="1" applyAlignment="1">
      <alignment horizontal="center"/>
    </xf>
    <xf numFmtId="175" fontId="33" fillId="6" borderId="0" xfId="1" applyNumberFormat="1" applyFont="1" applyFill="1" applyAlignment="1">
      <alignment horizontal="center"/>
    </xf>
    <xf numFmtId="43" fontId="33" fillId="6" borderId="4" xfId="1" applyFont="1" applyFill="1" applyBorder="1" applyAlignment="1">
      <alignment horizontal="center"/>
    </xf>
    <xf numFmtId="43" fontId="33" fillId="6" borderId="7" xfId="1" applyFont="1" applyFill="1" applyBorder="1" applyAlignment="1">
      <alignment horizontal="center"/>
    </xf>
    <xf numFmtId="43" fontId="33" fillId="7" borderId="0" xfId="1" applyFont="1" applyFill="1" applyAlignment="1">
      <alignment horizontal="center"/>
    </xf>
    <xf numFmtId="180" fontId="33" fillId="7" borderId="0" xfId="1" applyNumberFormat="1" applyFont="1" applyFill="1" applyBorder="1" applyAlignment="1">
      <alignment horizontal="center"/>
    </xf>
    <xf numFmtId="0" fontId="0" fillId="7" borderId="0" xfId="0" applyFill="1"/>
    <xf numFmtId="177" fontId="33" fillId="8" borderId="11" xfId="1" applyNumberFormat="1" applyFont="1" applyFill="1" applyBorder="1" applyAlignment="1">
      <alignment horizontal="right"/>
    </xf>
    <xf numFmtId="179" fontId="33" fillId="8" borderId="0" xfId="1" applyNumberFormat="1" applyFont="1" applyFill="1" applyBorder="1" applyAlignment="1">
      <alignment horizontal="center"/>
    </xf>
    <xf numFmtId="0" fontId="0" fillId="8" borderId="0" xfId="0" applyFill="1"/>
    <xf numFmtId="1" fontId="36" fillId="7" borderId="0" xfId="0" applyNumberFormat="1" applyFont="1" applyFill="1" applyAlignment="1">
      <alignment horizontal="center"/>
    </xf>
    <xf numFmtId="2" fontId="38" fillId="7" borderId="0" xfId="0" applyNumberFormat="1" applyFont="1" applyFill="1" applyAlignment="1">
      <alignment horizontal="center"/>
    </xf>
    <xf numFmtId="164" fontId="12" fillId="7" borderId="15" xfId="0" applyNumberFormat="1" applyFont="1" applyFill="1" applyBorder="1" applyAlignment="1">
      <alignment horizontal="right"/>
    </xf>
    <xf numFmtId="1" fontId="36" fillId="8" borderId="11" xfId="0" applyNumberFormat="1" applyFont="1" applyFill="1" applyBorder="1" applyAlignment="1">
      <alignment horizontal="center"/>
    </xf>
    <xf numFmtId="43" fontId="38" fillId="8" borderId="11" xfId="1" applyFont="1" applyFill="1" applyBorder="1" applyAlignment="1">
      <alignment horizontal="center"/>
    </xf>
    <xf numFmtId="0" fontId="0" fillId="8" borderId="11" xfId="0" applyFill="1" applyBorder="1"/>
    <xf numFmtId="167" fontId="12" fillId="8" borderId="6" xfId="0" applyNumberFormat="1" applyFont="1" applyFill="1" applyBorder="1" applyAlignment="1">
      <alignment horizontal="right"/>
    </xf>
    <xf numFmtId="1" fontId="36" fillId="8" borderId="4" xfId="0" applyNumberFormat="1" applyFont="1" applyFill="1" applyBorder="1" applyAlignment="1">
      <alignment horizontal="center"/>
    </xf>
    <xf numFmtId="43" fontId="38" fillId="8" borderId="4" xfId="1" applyFont="1" applyFill="1" applyBorder="1" applyAlignment="1">
      <alignment horizontal="center"/>
    </xf>
    <xf numFmtId="0" fontId="0" fillId="8" borderId="4" xfId="0" applyFill="1" applyBorder="1"/>
    <xf numFmtId="176" fontId="12" fillId="8" borderId="15" xfId="0" applyNumberFormat="1" applyFont="1" applyFill="1" applyBorder="1" applyAlignment="1">
      <alignment horizontal="right"/>
    </xf>
    <xf numFmtId="1" fontId="36" fillId="8" borderId="5" xfId="0" applyNumberFormat="1" applyFont="1" applyFill="1" applyBorder="1" applyAlignment="1">
      <alignment horizontal="center"/>
    </xf>
    <xf numFmtId="1" fontId="35" fillId="8" borderId="5" xfId="0" applyNumberFormat="1" applyFont="1" applyFill="1" applyBorder="1" applyAlignment="1">
      <alignment horizontal="center"/>
    </xf>
    <xf numFmtId="169" fontId="35" fillId="8" borderId="5" xfId="0" applyNumberFormat="1" applyFont="1" applyFill="1" applyBorder="1" applyAlignment="1">
      <alignment horizontal="center"/>
    </xf>
    <xf numFmtId="0" fontId="0" fillId="8" borderId="5" xfId="0" applyFill="1" applyBorder="1"/>
    <xf numFmtId="43" fontId="12" fillId="8" borderId="15" xfId="1" applyFont="1" applyFill="1" applyBorder="1" applyAlignment="1">
      <alignment horizontal="right"/>
    </xf>
    <xf numFmtId="1" fontId="38" fillId="7" borderId="0" xfId="0" applyNumberFormat="1" applyFont="1" applyFill="1" applyAlignment="1">
      <alignment horizontal="center"/>
    </xf>
    <xf numFmtId="169" fontId="38" fillId="7" borderId="0" xfId="0" applyNumberFormat="1" applyFont="1" applyFill="1" applyAlignment="1">
      <alignment horizontal="center"/>
    </xf>
    <xf numFmtId="173" fontId="12" fillId="7" borderId="15" xfId="1" applyNumberFormat="1" applyFont="1" applyFill="1" applyBorder="1" applyAlignment="1">
      <alignment horizontal="right"/>
    </xf>
    <xf numFmtId="0" fontId="20" fillId="0" borderId="11" xfId="0" applyFont="1" applyBorder="1" applyAlignment="1">
      <alignment horizontal="center"/>
    </xf>
    <xf numFmtId="166" fontId="21" fillId="2" borderId="0" xfId="0" applyNumberFormat="1" applyFont="1" applyFill="1" applyAlignment="1">
      <alignment horizontal="center"/>
    </xf>
    <xf numFmtId="3" fontId="21" fillId="7" borderId="0" xfId="0" applyNumberFormat="1" applyFont="1" applyFill="1" applyAlignment="1">
      <alignment horizontal="center"/>
    </xf>
    <xf numFmtId="2" fontId="33" fillId="7" borderId="0" xfId="0" applyNumberFormat="1" applyFont="1" applyFill="1" applyAlignment="1">
      <alignment horizontal="center"/>
    </xf>
    <xf numFmtId="2" fontId="33" fillId="7" borderId="5" xfId="0" applyNumberFormat="1" applyFont="1" applyFill="1" applyBorder="1" applyAlignment="1">
      <alignment horizontal="center"/>
    </xf>
    <xf numFmtId="164" fontId="33" fillId="7" borderId="5" xfId="0" applyNumberFormat="1" applyFont="1" applyFill="1" applyBorder="1" applyAlignment="1">
      <alignment horizontal="center"/>
    </xf>
    <xf numFmtId="167" fontId="33" fillId="8" borderId="11" xfId="0" applyNumberFormat="1" applyFont="1" applyFill="1" applyBorder="1" applyAlignment="1">
      <alignment horizontal="center"/>
    </xf>
    <xf numFmtId="43" fontId="33" fillId="8" borderId="11" xfId="1" applyFont="1" applyFill="1" applyBorder="1" applyAlignment="1">
      <alignment horizontal="center"/>
    </xf>
    <xf numFmtId="167" fontId="9" fillId="8" borderId="11" xfId="0" applyNumberFormat="1" applyFont="1" applyFill="1" applyBorder="1" applyAlignment="1">
      <alignment horizontal="center"/>
    </xf>
    <xf numFmtId="43" fontId="23" fillId="8" borderId="11" xfId="1" applyFont="1" applyFill="1" applyBorder="1" applyAlignment="1">
      <alignment horizontal="center"/>
    </xf>
    <xf numFmtId="1" fontId="33" fillId="8" borderId="11" xfId="0" applyNumberFormat="1" applyFont="1" applyFill="1" applyBorder="1" applyAlignment="1">
      <alignment horizontal="center"/>
    </xf>
    <xf numFmtId="169" fontId="33" fillId="8" borderId="0" xfId="0" applyNumberFormat="1" applyFont="1" applyFill="1" applyAlignment="1">
      <alignment horizontal="center"/>
    </xf>
    <xf numFmtId="43" fontId="33" fillId="8" borderId="0" xfId="1" applyFont="1" applyFill="1" applyBorder="1" applyAlignment="1">
      <alignment horizontal="center"/>
    </xf>
    <xf numFmtId="170" fontId="33" fillId="8" borderId="0" xfId="0" applyNumberFormat="1" applyFont="1" applyFill="1" applyAlignment="1">
      <alignment horizontal="center"/>
    </xf>
    <xf numFmtId="43" fontId="23" fillId="8" borderId="0" xfId="1" applyFont="1" applyFill="1" applyBorder="1" applyAlignment="1">
      <alignment horizontal="center"/>
    </xf>
    <xf numFmtId="1" fontId="33" fillId="8" borderId="0" xfId="0" applyNumberFormat="1" applyFont="1" applyFill="1" applyAlignment="1">
      <alignment horizontal="center"/>
    </xf>
    <xf numFmtId="0" fontId="33" fillId="8" borderId="0" xfId="0" applyFont="1" applyFill="1" applyAlignment="1">
      <alignment horizontal="center"/>
    </xf>
    <xf numFmtId="168" fontId="33" fillId="7" borderId="0" xfId="0" applyNumberFormat="1" applyFont="1" applyFill="1" applyAlignment="1">
      <alignment horizontal="center"/>
    </xf>
    <xf numFmtId="43" fontId="33" fillId="7" borderId="0" xfId="1" applyFont="1" applyFill="1" applyBorder="1" applyAlignment="1">
      <alignment horizontal="center"/>
    </xf>
    <xf numFmtId="43" fontId="23" fillId="7" borderId="0" xfId="1" applyFont="1" applyFill="1" applyBorder="1" applyAlignment="1">
      <alignment horizontal="center"/>
    </xf>
    <xf numFmtId="1" fontId="33" fillId="7" borderId="0" xfId="0" applyNumberFormat="1" applyFont="1" applyFill="1" applyAlignment="1">
      <alignment horizontal="center"/>
    </xf>
    <xf numFmtId="182" fontId="33" fillId="7" borderId="0" xfId="0" applyNumberFormat="1" applyFont="1" applyFill="1" applyAlignment="1">
      <alignment horizontal="center"/>
    </xf>
    <xf numFmtId="0" fontId="33" fillId="7" borderId="0" xfId="0" applyFont="1" applyFill="1" applyAlignment="1">
      <alignment horizontal="center"/>
    </xf>
    <xf numFmtId="1" fontId="34" fillId="7" borderId="0" xfId="0" applyNumberFormat="1" applyFont="1" applyFill="1" applyAlignment="1">
      <alignment horizontal="center"/>
    </xf>
    <xf numFmtId="3" fontId="33" fillId="7" borderId="0" xfId="0" applyNumberFormat="1" applyFont="1" applyFill="1" applyAlignment="1">
      <alignment horizontal="center"/>
    </xf>
    <xf numFmtId="2" fontId="12" fillId="7" borderId="15" xfId="0" applyNumberFormat="1" applyFont="1" applyFill="1" applyBorder="1" applyAlignment="1">
      <alignment horizontal="right"/>
    </xf>
    <xf numFmtId="43" fontId="12" fillId="8" borderId="13" xfId="1" applyFont="1" applyFill="1" applyBorder="1" applyAlignment="1">
      <alignment horizontal="right"/>
    </xf>
    <xf numFmtId="4" fontId="23" fillId="2" borderId="0" xfId="0" applyNumberFormat="1" applyFont="1" applyFill="1"/>
    <xf numFmtId="4" fontId="23" fillId="2" borderId="11" xfId="0" applyNumberFormat="1" applyFont="1" applyFill="1" applyBorder="1"/>
    <xf numFmtId="4" fontId="23" fillId="2" borderId="1" xfId="0" applyNumberFormat="1" applyFont="1" applyFill="1" applyBorder="1"/>
    <xf numFmtId="0" fontId="0" fillId="6" borderId="0" xfId="0" applyFill="1"/>
    <xf numFmtId="1" fontId="36" fillId="6" borderId="4" xfId="0" applyNumberFormat="1" applyFont="1" applyFill="1" applyBorder="1" applyAlignment="1">
      <alignment horizontal="center"/>
    </xf>
    <xf numFmtId="1" fontId="36" fillId="6" borderId="0" xfId="0" applyNumberFormat="1" applyFont="1" applyFill="1" applyAlignment="1">
      <alignment horizontal="center"/>
    </xf>
    <xf numFmtId="165" fontId="33" fillId="6" borderId="4" xfId="0" applyNumberFormat="1" applyFont="1" applyFill="1" applyBorder="1" applyAlignment="1">
      <alignment horizontal="center"/>
    </xf>
    <xf numFmtId="3" fontId="33" fillId="6" borderId="0" xfId="0" applyNumberFormat="1" applyFont="1" applyFill="1" applyAlignment="1">
      <alignment horizontal="center"/>
    </xf>
    <xf numFmtId="3" fontId="33" fillId="6" borderId="4" xfId="0" applyNumberFormat="1" applyFont="1" applyFill="1" applyBorder="1" applyAlignment="1">
      <alignment horizontal="center"/>
    </xf>
    <xf numFmtId="3" fontId="0" fillId="6" borderId="4" xfId="0" applyNumberFormat="1" applyFill="1" applyBorder="1"/>
    <xf numFmtId="3" fontId="0" fillId="6" borderId="0" xfId="0" applyNumberFormat="1" applyFill="1"/>
    <xf numFmtId="164" fontId="12" fillId="6" borderId="14" xfId="0" applyNumberFormat="1" applyFont="1" applyFill="1" applyBorder="1" applyAlignment="1">
      <alignment horizontal="right"/>
    </xf>
    <xf numFmtId="164" fontId="12" fillId="6" borderId="15" xfId="0" applyNumberFormat="1" applyFont="1" applyFill="1" applyBorder="1" applyAlignment="1">
      <alignment horizontal="right"/>
    </xf>
    <xf numFmtId="1" fontId="38" fillId="6" borderId="0" xfId="0" applyNumberFormat="1" applyFont="1" applyFill="1" applyAlignment="1">
      <alignment horizontal="center"/>
    </xf>
    <xf numFmtId="0" fontId="38" fillId="6" borderId="0" xfId="0" applyFont="1" applyFill="1" applyAlignment="1">
      <alignment horizontal="center"/>
    </xf>
    <xf numFmtId="164" fontId="38" fillId="6" borderId="0" xfId="0" applyNumberFormat="1" applyFont="1" applyFill="1" applyAlignment="1">
      <alignment horizontal="center"/>
    </xf>
    <xf numFmtId="3" fontId="36" fillId="6" borderId="0" xfId="0" applyNumberFormat="1" applyFont="1" applyFill="1" applyAlignment="1">
      <alignment horizontal="center"/>
    </xf>
    <xf numFmtId="167" fontId="33" fillId="6" borderId="0" xfId="0" applyNumberFormat="1" applyFont="1" applyFill="1" applyAlignment="1">
      <alignment horizontal="center"/>
    </xf>
    <xf numFmtId="167" fontId="34" fillId="6" borderId="0" xfId="0" applyNumberFormat="1" applyFont="1" applyFill="1" applyAlignment="1">
      <alignment horizontal="center"/>
    </xf>
    <xf numFmtId="166" fontId="34" fillId="6" borderId="0" xfId="0" applyNumberFormat="1" applyFont="1" applyFill="1" applyAlignment="1">
      <alignment horizontal="center"/>
    </xf>
    <xf numFmtId="43" fontId="38" fillId="6" borderId="0" xfId="1" applyFont="1" applyFill="1" applyBorder="1"/>
    <xf numFmtId="43" fontId="38" fillId="6" borderId="0" xfId="1" applyFont="1" applyFill="1"/>
    <xf numFmtId="2" fontId="38" fillId="6" borderId="4" xfId="0" applyNumberFormat="1" applyFont="1" applyFill="1" applyBorder="1" applyAlignment="1">
      <alignment horizontal="center"/>
    </xf>
    <xf numFmtId="0" fontId="0" fillId="6" borderId="4" xfId="0" applyFill="1" applyBorder="1"/>
    <xf numFmtId="43" fontId="38" fillId="6" borderId="0" xfId="1" applyFont="1" applyFill="1" applyBorder="1" applyAlignment="1">
      <alignment horizontal="center"/>
    </xf>
    <xf numFmtId="43" fontId="38" fillId="6" borderId="0" xfId="1" applyFont="1" applyFill="1" applyAlignment="1">
      <alignment horizontal="center"/>
    </xf>
    <xf numFmtId="2" fontId="38" fillId="6" borderId="7" xfId="0" applyNumberFormat="1" applyFont="1" applyFill="1" applyBorder="1" applyAlignment="1">
      <alignment horizontal="center"/>
    </xf>
    <xf numFmtId="3" fontId="21" fillId="6" borderId="0" xfId="0" applyNumberFormat="1" applyFont="1" applyFill="1" applyAlignment="1">
      <alignment horizontal="center"/>
    </xf>
    <xf numFmtId="165" fontId="33" fillId="6" borderId="0" xfId="0" applyNumberFormat="1" applyFont="1" applyFill="1" applyAlignment="1">
      <alignment horizontal="center"/>
    </xf>
    <xf numFmtId="165" fontId="23" fillId="6" borderId="0" xfId="0" applyNumberFormat="1" applyFont="1" applyFill="1" applyAlignment="1">
      <alignment horizontal="center"/>
    </xf>
    <xf numFmtId="1" fontId="34" fillId="6" borderId="0" xfId="0" applyNumberFormat="1" applyFont="1" applyFill="1" applyAlignment="1">
      <alignment horizontal="center"/>
    </xf>
    <xf numFmtId="3" fontId="23" fillId="6" borderId="0" xfId="0" applyNumberFormat="1" applyFont="1" applyFill="1" applyAlignment="1">
      <alignment horizontal="center"/>
    </xf>
    <xf numFmtId="2" fontId="34" fillId="6" borderId="0" xfId="0" applyNumberFormat="1" applyFont="1" applyFill="1" applyAlignment="1">
      <alignment horizontal="center"/>
    </xf>
    <xf numFmtId="1" fontId="33" fillId="6" borderId="0" xfId="0" applyNumberFormat="1" applyFont="1" applyFill="1" applyAlignment="1">
      <alignment horizontal="center"/>
    </xf>
    <xf numFmtId="0" fontId="33" fillId="6" borderId="0" xfId="0" applyFont="1" applyFill="1" applyAlignment="1">
      <alignment horizontal="center"/>
    </xf>
    <xf numFmtId="0" fontId="9" fillId="6" borderId="0" xfId="0" applyFont="1" applyFill="1" applyAlignment="1">
      <alignment horizontal="center"/>
    </xf>
    <xf numFmtId="2" fontId="33" fillId="6" borderId="5" xfId="0" applyNumberFormat="1" applyFont="1" applyFill="1" applyBorder="1" applyAlignment="1">
      <alignment horizontal="center"/>
    </xf>
    <xf numFmtId="2" fontId="33" fillId="6" borderId="0" xfId="0" applyNumberFormat="1" applyFont="1" applyFill="1" applyAlignment="1">
      <alignment horizontal="center"/>
    </xf>
    <xf numFmtId="43" fontId="23" fillId="6" borderId="0" xfId="1" applyFont="1" applyFill="1" applyBorder="1" applyAlignment="1">
      <alignment horizontal="center"/>
    </xf>
    <xf numFmtId="2" fontId="12" fillId="6" borderId="15" xfId="0" applyNumberFormat="1" applyFont="1" applyFill="1" applyBorder="1" applyAlignment="1">
      <alignment horizontal="right"/>
    </xf>
    <xf numFmtId="173" fontId="38" fillId="8" borderId="4" xfId="1" applyNumberFormat="1" applyFont="1" applyFill="1" applyBorder="1" applyAlignment="1">
      <alignment horizontal="center"/>
    </xf>
    <xf numFmtId="173" fontId="38" fillId="7" borderId="0" xfId="0" applyNumberFormat="1" applyFont="1" applyFill="1" applyAlignment="1">
      <alignment horizontal="center"/>
    </xf>
    <xf numFmtId="43" fontId="12" fillId="7" borderId="15" xfId="1" applyFont="1" applyFill="1" applyBorder="1" applyAlignment="1">
      <alignment horizontal="right"/>
    </xf>
    <xf numFmtId="3" fontId="20" fillId="6" borderId="0" xfId="0" applyNumberFormat="1" applyFont="1" applyFill="1"/>
    <xf numFmtId="3" fontId="4" fillId="6" borderId="0" xfId="0" applyNumberFormat="1" applyFont="1" applyFill="1" applyAlignment="1">
      <alignment horizontal="center"/>
    </xf>
    <xf numFmtId="3" fontId="3" fillId="6" borderId="0" xfId="0" applyNumberFormat="1" applyFont="1" applyFill="1" applyAlignment="1">
      <alignment horizontal="center"/>
    </xf>
    <xf numFmtId="2" fontId="9" fillId="6" borderId="0" xfId="0" applyNumberFormat="1" applyFont="1" applyFill="1" applyAlignment="1">
      <alignment horizontal="center"/>
    </xf>
    <xf numFmtId="171" fontId="20" fillId="0" borderId="5" xfId="1" applyNumberFormat="1" applyFont="1" applyFill="1" applyBorder="1"/>
    <xf numFmtId="164" fontId="33" fillId="6" borderId="0" xfId="0" applyNumberFormat="1" applyFont="1" applyFill="1" applyAlignment="1">
      <alignment horizontal="center"/>
    </xf>
    <xf numFmtId="164" fontId="33" fillId="7" borderId="0" xfId="0" applyNumberFormat="1" applyFont="1" applyFill="1" applyAlignment="1">
      <alignment horizontal="center"/>
    </xf>
    <xf numFmtId="2" fontId="9" fillId="7" borderId="0" xfId="0" applyNumberFormat="1" applyFont="1" applyFill="1" applyAlignment="1">
      <alignment horizontal="center"/>
    </xf>
    <xf numFmtId="168" fontId="20" fillId="7" borderId="0" xfId="0" applyNumberFormat="1" applyFont="1" applyFill="1"/>
    <xf numFmtId="181" fontId="33" fillId="7" borderId="0" xfId="0" applyNumberFormat="1" applyFont="1" applyFill="1"/>
    <xf numFmtId="169" fontId="33" fillId="7" borderId="0" xfId="0" applyNumberFormat="1" applyFont="1" applyFill="1"/>
    <xf numFmtId="0" fontId="33" fillId="7" borderId="0" xfId="0" applyFont="1" applyFill="1"/>
    <xf numFmtId="168" fontId="33" fillId="7" borderId="0" xfId="0" applyNumberFormat="1" applyFont="1" applyFill="1"/>
    <xf numFmtId="43" fontId="33" fillId="7" borderId="0" xfId="1" applyFont="1" applyFill="1" applyBorder="1"/>
    <xf numFmtId="168" fontId="9" fillId="7" borderId="0" xfId="0" applyNumberFormat="1" applyFont="1" applyFill="1"/>
    <xf numFmtId="4" fontId="20" fillId="7" borderId="0" xfId="0" applyNumberFormat="1" applyFont="1" applyFill="1"/>
    <xf numFmtId="4" fontId="20" fillId="8" borderId="11" xfId="0" applyNumberFormat="1" applyFont="1" applyFill="1" applyBorder="1"/>
    <xf numFmtId="2" fontId="33" fillId="8" borderId="11" xfId="0" applyNumberFormat="1" applyFont="1" applyFill="1" applyBorder="1" applyAlignment="1">
      <alignment horizontal="center"/>
    </xf>
    <xf numFmtId="168" fontId="20" fillId="8" borderId="0" xfId="0" applyNumberFormat="1" applyFont="1" applyFill="1"/>
    <xf numFmtId="176" fontId="33" fillId="8" borderId="0" xfId="0" applyNumberFormat="1" applyFont="1" applyFill="1"/>
    <xf numFmtId="43" fontId="33" fillId="8" borderId="0" xfId="1" applyFont="1" applyFill="1" applyBorder="1"/>
    <xf numFmtId="168" fontId="33" fillId="8" borderId="0" xfId="0" applyNumberFormat="1" applyFont="1" applyFill="1"/>
    <xf numFmtId="168" fontId="9" fillId="8" borderId="0" xfId="0" applyNumberFormat="1" applyFont="1" applyFill="1"/>
    <xf numFmtId="168" fontId="33" fillId="8" borderId="0" xfId="0" applyNumberFormat="1" applyFont="1" applyFill="1" applyAlignment="1">
      <alignment horizontal="center"/>
    </xf>
    <xf numFmtId="168" fontId="20" fillId="8" borderId="5" xfId="0" applyNumberFormat="1" applyFont="1" applyFill="1" applyBorder="1"/>
    <xf numFmtId="170" fontId="33" fillId="8" borderId="5" xfId="0" applyNumberFormat="1" applyFont="1" applyFill="1" applyBorder="1"/>
    <xf numFmtId="169" fontId="33" fillId="8" borderId="5" xfId="0" applyNumberFormat="1" applyFont="1" applyFill="1" applyBorder="1"/>
    <xf numFmtId="0" fontId="33" fillId="8" borderId="5" xfId="0" applyFont="1" applyFill="1" applyBorder="1"/>
    <xf numFmtId="168" fontId="33" fillId="8" borderId="5" xfId="0" applyNumberFormat="1" applyFont="1" applyFill="1" applyBorder="1"/>
    <xf numFmtId="169" fontId="33" fillId="8" borderId="5" xfId="0" applyNumberFormat="1" applyFont="1" applyFill="1" applyBorder="1" applyAlignment="1">
      <alignment horizontal="center"/>
    </xf>
    <xf numFmtId="168" fontId="33" fillId="8" borderId="5" xfId="0" applyNumberFormat="1" applyFont="1" applyFill="1" applyBorder="1" applyAlignment="1">
      <alignment horizontal="center"/>
    </xf>
    <xf numFmtId="1" fontId="33" fillId="8" borderId="5" xfId="0" applyNumberFormat="1" applyFont="1" applyFill="1" applyBorder="1" applyAlignment="1">
      <alignment horizontal="center"/>
    </xf>
    <xf numFmtId="168" fontId="9" fillId="8" borderId="5" xfId="0" applyNumberFormat="1" applyFont="1" applyFill="1" applyBorder="1"/>
    <xf numFmtId="4" fontId="20" fillId="8" borderId="5" xfId="0" applyNumberFormat="1" applyFont="1" applyFill="1" applyBorder="1"/>
    <xf numFmtId="0" fontId="4" fillId="9" borderId="11" xfId="0" applyFont="1" applyFill="1" applyBorder="1"/>
    <xf numFmtId="0" fontId="4" fillId="9" borderId="4" xfId="0" applyFont="1" applyFill="1" applyBorder="1"/>
    <xf numFmtId="0" fontId="6" fillId="9" borderId="0" xfId="0" applyFont="1" applyFill="1"/>
    <xf numFmtId="0" fontId="6" fillId="9" borderId="0" xfId="0" applyFont="1" applyFill="1" applyAlignment="1">
      <alignment horizontal="right"/>
    </xf>
    <xf numFmtId="0" fontId="0" fillId="9" borderId="0" xfId="0" applyFill="1"/>
    <xf numFmtId="0" fontId="4" fillId="10" borderId="11" xfId="0" applyFont="1" applyFill="1" applyBorder="1"/>
    <xf numFmtId="0" fontId="4" fillId="10" borderId="4" xfId="0" applyFont="1" applyFill="1" applyBorder="1"/>
    <xf numFmtId="0" fontId="6" fillId="10" borderId="0" xfId="0" applyFont="1" applyFill="1"/>
    <xf numFmtId="0" fontId="4" fillId="10" borderId="12" xfId="0" applyFont="1" applyFill="1" applyBorder="1"/>
    <xf numFmtId="0" fontId="6" fillId="10" borderId="8" xfId="0" applyFont="1" applyFill="1" applyBorder="1"/>
    <xf numFmtId="0" fontId="4" fillId="10" borderId="0" xfId="0" applyFont="1" applyFill="1"/>
    <xf numFmtId="0" fontId="4" fillId="10" borderId="1" xfId="0" applyFont="1" applyFill="1" applyBorder="1"/>
    <xf numFmtId="0" fontId="6" fillId="10" borderId="10" xfId="0" applyFont="1" applyFill="1" applyBorder="1" applyAlignment="1">
      <alignment horizontal="right"/>
    </xf>
    <xf numFmtId="0" fontId="4" fillId="10" borderId="7" xfId="0" applyFont="1" applyFill="1" applyBorder="1"/>
    <xf numFmtId="0" fontId="6" fillId="10" borderId="12" xfId="0" applyFont="1" applyFill="1" applyBorder="1" applyAlignment="1">
      <alignment horizontal="right"/>
    </xf>
    <xf numFmtId="0" fontId="0" fillId="10" borderId="0" xfId="0" applyFill="1"/>
    <xf numFmtId="0" fontId="4" fillId="11" borderId="11" xfId="0" applyFont="1" applyFill="1" applyBorder="1"/>
    <xf numFmtId="0" fontId="4" fillId="11" borderId="4" xfId="0" applyFont="1" applyFill="1" applyBorder="1"/>
    <xf numFmtId="0" fontId="6" fillId="11" borderId="5" xfId="0" applyFont="1" applyFill="1" applyBorder="1"/>
    <xf numFmtId="0" fontId="6" fillId="11" borderId="0" xfId="0" applyFont="1" applyFill="1" applyAlignment="1">
      <alignment horizontal="right"/>
    </xf>
    <xf numFmtId="0" fontId="6" fillId="11" borderId="0" xfId="0" applyFont="1" applyFill="1"/>
    <xf numFmtId="0" fontId="0" fillId="11" borderId="0" xfId="0" applyFill="1"/>
    <xf numFmtId="0" fontId="4" fillId="7" borderId="11" xfId="0" applyFont="1" applyFill="1" applyBorder="1"/>
    <xf numFmtId="0" fontId="4" fillId="7" borderId="4" xfId="0" applyFont="1" applyFill="1" applyBorder="1"/>
    <xf numFmtId="0" fontId="6" fillId="7" borderId="0" xfId="0" applyFont="1" applyFill="1"/>
    <xf numFmtId="167" fontId="5" fillId="0" borderId="0" xfId="0" applyNumberFormat="1" applyFont="1"/>
    <xf numFmtId="0" fontId="9" fillId="0" borderId="7" xfId="0" applyFont="1" applyBorder="1" applyAlignment="1">
      <alignment horizontal="center"/>
    </xf>
    <xf numFmtId="0" fontId="9" fillId="0" borderId="8" xfId="0" applyFont="1" applyBorder="1" applyAlignment="1">
      <alignment horizontal="center"/>
    </xf>
    <xf numFmtId="0" fontId="9" fillId="0" borderId="1" xfId="0" applyFont="1" applyBorder="1" applyAlignment="1">
      <alignment horizontal="center"/>
    </xf>
    <xf numFmtId="0" fontId="9" fillId="0" borderId="2" xfId="0" applyFont="1" applyBorder="1" applyAlignment="1">
      <alignment horizontal="center"/>
    </xf>
    <xf numFmtId="0" fontId="4" fillId="0" borderId="4" xfId="0" applyFont="1" applyBorder="1"/>
    <xf numFmtId="167" fontId="9" fillId="0" borderId="0" xfId="0" applyNumberFormat="1" applyFont="1" applyAlignment="1">
      <alignment horizontal="center"/>
    </xf>
    <xf numFmtId="167" fontId="9" fillId="0" borderId="7" xfId="0" applyNumberFormat="1" applyFont="1" applyBorder="1" applyAlignment="1">
      <alignment horizontal="center"/>
    </xf>
    <xf numFmtId="167" fontId="9" fillId="0" borderId="8" xfId="0" applyNumberFormat="1" applyFont="1" applyBorder="1" applyAlignment="1">
      <alignment horizontal="center"/>
    </xf>
    <xf numFmtId="167" fontId="9" fillId="0" borderId="2" xfId="0" applyNumberFormat="1" applyFont="1" applyBorder="1" applyAlignment="1">
      <alignment horizontal="center"/>
    </xf>
    <xf numFmtId="167" fontId="4" fillId="0" borderId="4" xfId="0" applyNumberFormat="1" applyFont="1" applyBorder="1"/>
    <xf numFmtId="167" fontId="4" fillId="0" borderId="0" xfId="0" applyNumberFormat="1" applyFont="1"/>
    <xf numFmtId="167" fontId="42" fillId="0" borderId="0" xfId="0" applyNumberFormat="1" applyFont="1" applyAlignment="1">
      <alignment horizontal="center"/>
    </xf>
    <xf numFmtId="167" fontId="9" fillId="0" borderId="4" xfId="0" applyNumberFormat="1" applyFont="1" applyBorder="1" applyAlignment="1">
      <alignment horizontal="center"/>
    </xf>
    <xf numFmtId="167" fontId="4" fillId="0" borderId="1" xfId="0" applyNumberFormat="1" applyFont="1" applyBorder="1"/>
    <xf numFmtId="167" fontId="4" fillId="0" borderId="2" xfId="0" applyNumberFormat="1" applyFont="1" applyBorder="1"/>
    <xf numFmtId="167" fontId="4" fillId="0" borderId="7" xfId="0" applyNumberFormat="1" applyFont="1" applyBorder="1"/>
    <xf numFmtId="167" fontId="4" fillId="0" borderId="8" xfId="0" applyNumberFormat="1" applyFont="1" applyBorder="1"/>
    <xf numFmtId="167" fontId="0" fillId="0" borderId="0" xfId="0" applyNumberFormat="1"/>
    <xf numFmtId="167" fontId="0" fillId="0" borderId="4" xfId="0" applyNumberFormat="1" applyBorder="1"/>
    <xf numFmtId="0" fontId="9" fillId="0" borderId="3" xfId="0" applyFont="1" applyBorder="1" applyAlignment="1">
      <alignment horizontal="center"/>
    </xf>
    <xf numFmtId="0" fontId="9" fillId="0" borderId="9" xfId="0" applyFont="1" applyBorder="1" applyAlignment="1">
      <alignment horizontal="center"/>
    </xf>
    <xf numFmtId="167" fontId="5" fillId="6" borderId="4" xfId="0" applyNumberFormat="1" applyFont="1" applyFill="1" applyBorder="1"/>
    <xf numFmtId="167" fontId="5" fillId="6" borderId="0" xfId="0" applyNumberFormat="1" applyFont="1" applyFill="1"/>
    <xf numFmtId="167" fontId="5" fillId="6" borderId="5" xfId="0" applyNumberFormat="1" applyFont="1" applyFill="1" applyBorder="1"/>
    <xf numFmtId="167" fontId="5" fillId="6" borderId="2" xfId="0" applyNumberFormat="1" applyFont="1" applyFill="1" applyBorder="1"/>
    <xf numFmtId="167" fontId="5" fillId="6" borderId="8" xfId="0" applyNumberFormat="1" applyFont="1" applyFill="1" applyBorder="1"/>
    <xf numFmtId="167" fontId="0" fillId="6" borderId="0" xfId="0" applyNumberFormat="1" applyFill="1"/>
    <xf numFmtId="167" fontId="0" fillId="6" borderId="2" xfId="0" applyNumberFormat="1" applyFill="1" applyBorder="1"/>
    <xf numFmtId="167" fontId="0" fillId="6" borderId="8" xfId="0" applyNumberFormat="1" applyFill="1" applyBorder="1"/>
    <xf numFmtId="167" fontId="5" fillId="7" borderId="0" xfId="0" applyNumberFormat="1" applyFont="1" applyFill="1"/>
    <xf numFmtId="167" fontId="4" fillId="7" borderId="0" xfId="0" applyNumberFormat="1" applyFont="1" applyFill="1"/>
    <xf numFmtId="167" fontId="47" fillId="7" borderId="0" xfId="0" applyNumberFormat="1" applyFont="1" applyFill="1"/>
    <xf numFmtId="167" fontId="0" fillId="7" borderId="0" xfId="0" applyNumberFormat="1" applyFill="1"/>
    <xf numFmtId="167" fontId="5" fillId="8" borderId="0" xfId="0" applyNumberFormat="1" applyFont="1" applyFill="1"/>
    <xf numFmtId="167" fontId="0" fillId="8" borderId="0" xfId="0" applyNumberFormat="1" applyFill="1"/>
    <xf numFmtId="167" fontId="5" fillId="12" borderId="0" xfId="0" applyNumberFormat="1" applyFont="1" applyFill="1"/>
    <xf numFmtId="167" fontId="0" fillId="12" borderId="4" xfId="0" applyNumberFormat="1" applyFill="1" applyBorder="1"/>
    <xf numFmtId="167" fontId="0" fillId="11" borderId="4" xfId="0" applyNumberFormat="1" applyFill="1" applyBorder="1"/>
    <xf numFmtId="167" fontId="0" fillId="11" borderId="0" xfId="0" applyNumberFormat="1" applyFill="1"/>
    <xf numFmtId="167" fontId="0" fillId="10" borderId="4" xfId="0" applyNumberFormat="1" applyFill="1" applyBorder="1"/>
    <xf numFmtId="167" fontId="0" fillId="10" borderId="0" xfId="0" applyNumberFormat="1" applyFill="1"/>
    <xf numFmtId="167" fontId="5" fillId="10" borderId="0" xfId="0" applyNumberFormat="1" applyFont="1" applyFill="1"/>
    <xf numFmtId="167" fontId="5" fillId="10" borderId="4" xfId="0" applyNumberFormat="1" applyFont="1" applyFill="1" applyBorder="1"/>
    <xf numFmtId="0" fontId="42" fillId="0" borderId="8" xfId="0" applyFont="1" applyBorder="1" applyAlignment="1">
      <alignment horizontal="center"/>
    </xf>
    <xf numFmtId="0" fontId="42" fillId="0" borderId="0" xfId="0" applyFont="1" applyAlignment="1">
      <alignment horizontal="center"/>
    </xf>
    <xf numFmtId="0" fontId="42" fillId="0" borderId="2" xfId="0" applyFont="1" applyBorder="1" applyAlignment="1">
      <alignment horizontal="center"/>
    </xf>
    <xf numFmtId="167" fontId="9" fillId="0" borderId="1" xfId="0" applyNumberFormat="1" applyFont="1" applyBorder="1" applyAlignment="1">
      <alignment horizontal="center"/>
    </xf>
    <xf numFmtId="167" fontId="0" fillId="8" borderId="4" xfId="0" applyNumberFormat="1" applyFill="1" applyBorder="1"/>
    <xf numFmtId="167" fontId="48" fillId="0" borderId="4" xfId="0" applyNumberFormat="1" applyFont="1" applyBorder="1" applyAlignment="1">
      <alignment horizontal="center"/>
    </xf>
    <xf numFmtId="167" fontId="47" fillId="0" borderId="0" xfId="0" applyNumberFormat="1" applyFont="1"/>
    <xf numFmtId="167" fontId="0" fillId="13" borderId="4" xfId="0" applyNumberFormat="1" applyFill="1" applyBorder="1"/>
    <xf numFmtId="0" fontId="0" fillId="13" borderId="0" xfId="0" applyFill="1"/>
    <xf numFmtId="167" fontId="0" fillId="6" borderId="4" xfId="0" applyNumberFormat="1" applyFill="1" applyBorder="1"/>
    <xf numFmtId="167" fontId="0" fillId="13" borderId="0" xfId="0" applyNumberFormat="1" applyFill="1"/>
    <xf numFmtId="167" fontId="0" fillId="8" borderId="2" xfId="0" applyNumberFormat="1" applyFill="1" applyBorder="1"/>
    <xf numFmtId="167" fontId="0" fillId="8" borderId="8" xfId="0" applyNumberFormat="1" applyFill="1" applyBorder="1"/>
    <xf numFmtId="3" fontId="21" fillId="3" borderId="10" xfId="0" applyNumberFormat="1" applyFont="1" applyFill="1" applyBorder="1"/>
    <xf numFmtId="164" fontId="49" fillId="6" borderId="15" xfId="0" applyNumberFormat="1" applyFont="1" applyFill="1" applyBorder="1" applyAlignment="1">
      <alignment horizontal="right"/>
    </xf>
    <xf numFmtId="164" fontId="49" fillId="0" borderId="15" xfId="0" applyNumberFormat="1" applyFont="1" applyBorder="1" applyAlignment="1">
      <alignment horizontal="right"/>
    </xf>
    <xf numFmtId="2" fontId="49" fillId="6" borderId="15" xfId="0" applyNumberFormat="1" applyFont="1" applyFill="1" applyBorder="1" applyAlignment="1">
      <alignment horizontal="right"/>
    </xf>
    <xf numFmtId="164" fontId="49" fillId="0" borderId="13" xfId="0" applyNumberFormat="1" applyFont="1" applyBorder="1" applyAlignment="1">
      <alignment horizontal="right"/>
    </xf>
    <xf numFmtId="2" fontId="49" fillId="7" borderId="15" xfId="0" applyNumberFormat="1" applyFont="1" applyFill="1" applyBorder="1" applyAlignment="1">
      <alignment horizontal="right"/>
    </xf>
    <xf numFmtId="177" fontId="49" fillId="8" borderId="6" xfId="1" applyNumberFormat="1" applyFont="1" applyFill="1" applyBorder="1" applyAlignment="1">
      <alignment horizontal="right"/>
    </xf>
    <xf numFmtId="179" fontId="49" fillId="8" borderId="14" xfId="1" applyNumberFormat="1" applyFont="1" applyFill="1" applyBorder="1" applyAlignment="1">
      <alignment horizontal="center"/>
    </xf>
    <xf numFmtId="180" fontId="49" fillId="7" borderId="15" xfId="1" applyNumberFormat="1" applyFont="1" applyFill="1" applyBorder="1" applyAlignment="1">
      <alignment horizontal="center"/>
    </xf>
    <xf numFmtId="179" fontId="49" fillId="8" borderId="13" xfId="1" applyNumberFormat="1" applyFont="1" applyFill="1" applyBorder="1" applyAlignment="1">
      <alignment horizontal="center"/>
    </xf>
    <xf numFmtId="43" fontId="21" fillId="8" borderId="0" xfId="1" applyFont="1" applyFill="1" applyAlignment="1">
      <alignment horizontal="center"/>
    </xf>
    <xf numFmtId="43" fontId="21" fillId="7" borderId="0" xfId="1" applyFont="1" applyFill="1" applyAlignment="1">
      <alignment horizontal="center"/>
    </xf>
    <xf numFmtId="184" fontId="33" fillId="7" borderId="0" xfId="1" applyNumberFormat="1" applyFont="1" applyFill="1" applyBorder="1" applyAlignment="1">
      <alignment horizontal="center"/>
    </xf>
    <xf numFmtId="167" fontId="33" fillId="8" borderId="0" xfId="0" applyNumberFormat="1" applyFont="1" applyFill="1" applyAlignment="1">
      <alignment horizontal="center"/>
    </xf>
    <xf numFmtId="169" fontId="33" fillId="7" borderId="0" xfId="1" applyNumberFormat="1" applyFont="1" applyFill="1" applyBorder="1" applyAlignment="1">
      <alignment horizontal="center"/>
    </xf>
    <xf numFmtId="183" fontId="33" fillId="8" borderId="5" xfId="1" applyNumberFormat="1" applyFont="1" applyFill="1" applyBorder="1" applyAlignment="1">
      <alignment horizontal="center"/>
    </xf>
    <xf numFmtId="183" fontId="33" fillId="8" borderId="5" xfId="0" applyNumberFormat="1" applyFont="1" applyFill="1" applyBorder="1" applyAlignment="1">
      <alignment horizontal="center"/>
    </xf>
    <xf numFmtId="0" fontId="49" fillId="0" borderId="14" xfId="0" applyFont="1" applyBorder="1" applyAlignment="1">
      <alignment horizontal="right"/>
    </xf>
    <xf numFmtId="3" fontId="50" fillId="0" borderId="6" xfId="0" applyNumberFormat="1" applyFont="1" applyBorder="1"/>
    <xf numFmtId="164" fontId="49" fillId="6" borderId="14" xfId="0" applyNumberFormat="1" applyFont="1" applyFill="1" applyBorder="1" applyAlignment="1">
      <alignment horizontal="right"/>
    </xf>
    <xf numFmtId="167" fontId="49" fillId="6" borderId="15" xfId="0" applyNumberFormat="1" applyFont="1" applyFill="1" applyBorder="1" applyAlignment="1">
      <alignment horizontal="right"/>
    </xf>
    <xf numFmtId="164" fontId="49" fillId="7" borderId="15" xfId="0" applyNumberFormat="1" applyFont="1" applyFill="1" applyBorder="1" applyAlignment="1">
      <alignment horizontal="right"/>
    </xf>
    <xf numFmtId="164" fontId="49" fillId="8" borderId="14" xfId="0" applyNumberFormat="1" applyFont="1" applyFill="1" applyBorder="1" applyAlignment="1">
      <alignment horizontal="right"/>
    </xf>
    <xf numFmtId="164" fontId="49" fillId="8" borderId="13" xfId="0" applyNumberFormat="1" applyFont="1" applyFill="1" applyBorder="1" applyAlignment="1">
      <alignment horizontal="right"/>
    </xf>
    <xf numFmtId="176" fontId="5" fillId="10" borderId="0" xfId="0" applyNumberFormat="1" applyFont="1" applyFill="1"/>
    <xf numFmtId="176" fontId="0" fillId="8" borderId="0" xfId="0" applyNumberFormat="1" applyFill="1"/>
    <xf numFmtId="168" fontId="0" fillId="8" borderId="0" xfId="0" applyNumberFormat="1" applyFill="1"/>
    <xf numFmtId="176" fontId="38" fillId="0" borderId="0" xfId="0" applyNumberFormat="1" applyFont="1"/>
    <xf numFmtId="165" fontId="38" fillId="6" borderId="5" xfId="0" applyNumberFormat="1" applyFont="1" applyFill="1" applyBorder="1" applyAlignment="1">
      <alignment horizontal="center"/>
    </xf>
    <xf numFmtId="3" fontId="0" fillId="6" borderId="5" xfId="0" applyNumberFormat="1" applyFill="1" applyBorder="1"/>
    <xf numFmtId="165" fontId="35" fillId="6" borderId="5" xfId="0" applyNumberFormat="1" applyFont="1" applyFill="1" applyBorder="1" applyAlignment="1">
      <alignment horizontal="center"/>
    </xf>
    <xf numFmtId="164" fontId="12" fillId="6" borderId="13" xfId="0" applyNumberFormat="1" applyFont="1" applyFill="1" applyBorder="1" applyAlignment="1">
      <alignment horizontal="right"/>
    </xf>
    <xf numFmtId="2" fontId="49" fillId="6" borderId="13" xfId="0" applyNumberFormat="1" applyFont="1" applyFill="1" applyBorder="1" applyAlignment="1">
      <alignment horizontal="right"/>
    </xf>
    <xf numFmtId="167" fontId="38" fillId="6" borderId="0" xfId="0" applyNumberFormat="1" applyFont="1" applyFill="1"/>
    <xf numFmtId="167" fontId="34" fillId="6" borderId="0" xfId="0" applyNumberFormat="1" applyFont="1" applyFill="1"/>
    <xf numFmtId="167" fontId="34" fillId="6" borderId="0" xfId="0" applyNumberFormat="1" applyFont="1" applyFill="1" applyProtection="1">
      <protection locked="0"/>
    </xf>
    <xf numFmtId="167" fontId="38" fillId="6" borderId="7" xfId="0" applyNumberFormat="1" applyFont="1" applyFill="1" applyBorder="1"/>
    <xf numFmtId="176" fontId="38" fillId="6" borderId="0" xfId="0" applyNumberFormat="1" applyFont="1" applyFill="1" applyAlignment="1">
      <alignment horizontal="centerContinuous"/>
    </xf>
    <xf numFmtId="0" fontId="38" fillId="6" borderId="8" xfId="0" applyFont="1" applyFill="1" applyBorder="1"/>
    <xf numFmtId="164" fontId="38" fillId="6" borderId="0" xfId="0" applyNumberFormat="1" applyFont="1" applyFill="1" applyAlignment="1">
      <alignment horizontal="right"/>
    </xf>
    <xf numFmtId="164" fontId="38" fillId="6" borderId="1" xfId="0" applyNumberFormat="1" applyFont="1" applyFill="1" applyBorder="1"/>
    <xf numFmtId="0" fontId="38" fillId="6" borderId="4" xfId="0" applyFont="1" applyFill="1" applyBorder="1"/>
    <xf numFmtId="164" fontId="38" fillId="6" borderId="4" xfId="0" applyNumberFormat="1" applyFont="1" applyFill="1" applyBorder="1"/>
    <xf numFmtId="164" fontId="38" fillId="6" borderId="0" xfId="0" applyNumberFormat="1" applyFont="1" applyFill="1"/>
    <xf numFmtId="168" fontId="38" fillId="6" borderId="0" xfId="0" applyNumberFormat="1" applyFont="1" applyFill="1"/>
    <xf numFmtId="0" fontId="38" fillId="6" borderId="0" xfId="0" applyFont="1" applyFill="1"/>
    <xf numFmtId="176" fontId="38" fillId="6" borderId="0" xfId="0" applyNumberFormat="1" applyFont="1" applyFill="1"/>
    <xf numFmtId="43" fontId="34" fillId="6" borderId="0" xfId="1" applyFont="1" applyFill="1" applyBorder="1" applyAlignment="1" applyProtection="1">
      <protection locked="0"/>
    </xf>
    <xf numFmtId="167" fontId="38" fillId="6" borderId="8" xfId="0" applyNumberFormat="1" applyFont="1" applyFill="1" applyBorder="1"/>
    <xf numFmtId="2" fontId="38" fillId="6" borderId="8" xfId="0" applyNumberFormat="1" applyFont="1" applyFill="1" applyBorder="1"/>
    <xf numFmtId="167" fontId="38" fillId="6" borderId="0" xfId="0" applyNumberFormat="1" applyFont="1" applyFill="1" applyAlignment="1">
      <alignment horizontal="right"/>
    </xf>
    <xf numFmtId="164" fontId="38" fillId="6" borderId="2" xfId="0" applyNumberFormat="1" applyFont="1" applyFill="1" applyBorder="1" applyAlignment="1">
      <alignment horizontal="right"/>
    </xf>
    <xf numFmtId="171" fontId="38" fillId="6" borderId="0" xfId="1" applyNumberFormat="1" applyFont="1" applyFill="1" applyBorder="1"/>
    <xf numFmtId="171" fontId="34" fillId="6" borderId="0" xfId="1" applyNumberFormat="1" applyFont="1" applyFill="1" applyBorder="1"/>
    <xf numFmtId="43" fontId="38" fillId="0" borderId="5" xfId="1" applyFont="1" applyBorder="1"/>
    <xf numFmtId="167" fontId="38" fillId="7" borderId="0" xfId="0" applyNumberFormat="1" applyFont="1" applyFill="1"/>
    <xf numFmtId="176" fontId="38" fillId="7" borderId="0" xfId="0" applyNumberFormat="1" applyFont="1" applyFill="1" applyAlignment="1">
      <alignment horizontal="centerContinuous"/>
    </xf>
    <xf numFmtId="167" fontId="38" fillId="7" borderId="0" xfId="0" applyNumberFormat="1" applyFont="1" applyFill="1" applyProtection="1">
      <protection locked="0"/>
    </xf>
    <xf numFmtId="167" fontId="34" fillId="7" borderId="0" xfId="0" applyNumberFormat="1" applyFont="1" applyFill="1" applyProtection="1">
      <protection locked="0"/>
    </xf>
    <xf numFmtId="167" fontId="38" fillId="7" borderId="8" xfId="0" applyNumberFormat="1" applyFont="1" applyFill="1" applyBorder="1"/>
    <xf numFmtId="2" fontId="38" fillId="7" borderId="8" xfId="0" applyNumberFormat="1" applyFont="1" applyFill="1" applyBorder="1"/>
    <xf numFmtId="167" fontId="38" fillId="7" borderId="0" xfId="0" applyNumberFormat="1" applyFont="1" applyFill="1" applyAlignment="1">
      <alignment horizontal="right"/>
    </xf>
    <xf numFmtId="164" fontId="38" fillId="7" borderId="0" xfId="0" applyNumberFormat="1" applyFont="1" applyFill="1" applyAlignment="1">
      <alignment horizontal="right"/>
    </xf>
    <xf numFmtId="164" fontId="38" fillId="7" borderId="2" xfId="0" applyNumberFormat="1" applyFont="1" applyFill="1" applyBorder="1" applyAlignment="1">
      <alignment horizontal="right"/>
    </xf>
    <xf numFmtId="167" fontId="38" fillId="7" borderId="8" xfId="0" quotePrefix="1" applyNumberFormat="1" applyFont="1" applyFill="1" applyBorder="1"/>
    <xf numFmtId="164" fontId="38" fillId="7" borderId="4" xfId="0" applyNumberFormat="1" applyFont="1" applyFill="1" applyBorder="1"/>
    <xf numFmtId="164" fontId="38" fillId="7" borderId="0" xfId="0" applyNumberFormat="1" applyFont="1" applyFill="1"/>
    <xf numFmtId="164" fontId="38" fillId="7" borderId="7" xfId="0" applyNumberFormat="1" applyFont="1" applyFill="1" applyBorder="1"/>
    <xf numFmtId="164" fontId="38" fillId="7" borderId="8" xfId="0" applyNumberFormat="1" applyFont="1" applyFill="1" applyBorder="1"/>
    <xf numFmtId="164" fontId="34" fillId="7" borderId="0" xfId="9" applyNumberFormat="1" applyFont="1" applyFill="1" applyProtection="1">
      <protection locked="0"/>
    </xf>
    <xf numFmtId="164" fontId="34" fillId="7" borderId="4" xfId="9" applyNumberFormat="1" applyFont="1" applyFill="1" applyBorder="1" applyProtection="1">
      <protection locked="0"/>
    </xf>
    <xf numFmtId="0" fontId="0" fillId="14" borderId="0" xfId="0" applyFill="1"/>
    <xf numFmtId="174" fontId="34" fillId="6" borderId="0" xfId="1" applyNumberFormat="1" applyFont="1" applyFill="1" applyAlignment="1">
      <alignment horizontal="center"/>
    </xf>
    <xf numFmtId="167" fontId="4" fillId="8" borderId="0" xfId="0" applyNumberFormat="1" applyFont="1" applyFill="1" applyAlignment="1">
      <alignment horizontal="right"/>
    </xf>
    <xf numFmtId="176" fontId="5" fillId="6" borderId="0" xfId="0" applyNumberFormat="1" applyFont="1" applyFill="1"/>
    <xf numFmtId="168" fontId="5" fillId="6" borderId="0" xfId="0" applyNumberFormat="1" applyFont="1" applyFill="1"/>
    <xf numFmtId="43" fontId="38" fillId="7" borderId="0" xfId="1" applyFont="1" applyFill="1" applyAlignment="1">
      <alignment horizontal="center"/>
    </xf>
    <xf numFmtId="178" fontId="33" fillId="6" borderId="0" xfId="0" applyNumberFormat="1" applyFont="1" applyFill="1" applyAlignment="1">
      <alignment horizontal="center"/>
    </xf>
    <xf numFmtId="171" fontId="38" fillId="8" borderId="11" xfId="1" applyNumberFormat="1" applyFont="1" applyFill="1" applyBorder="1" applyAlignment="1">
      <alignment horizontal="center"/>
    </xf>
    <xf numFmtId="171" fontId="38" fillId="8" borderId="11" xfId="0" applyNumberFormat="1" applyFont="1" applyFill="1" applyBorder="1" applyAlignment="1">
      <alignment horizontal="center"/>
    </xf>
    <xf numFmtId="172" fontId="38" fillId="8" borderId="4" xfId="0" applyNumberFormat="1" applyFont="1" applyFill="1" applyBorder="1" applyAlignment="1">
      <alignment horizontal="center"/>
    </xf>
    <xf numFmtId="168" fontId="38" fillId="8" borderId="4" xfId="0" applyNumberFormat="1" applyFont="1" applyFill="1" applyBorder="1" applyAlignment="1">
      <alignment horizontal="center"/>
    </xf>
    <xf numFmtId="168" fontId="38" fillId="8" borderId="0" xfId="0" applyNumberFormat="1" applyFont="1" applyFill="1" applyAlignment="1">
      <alignment horizontal="center"/>
    </xf>
    <xf numFmtId="167" fontId="38" fillId="8" borderId="11" xfId="0" applyNumberFormat="1" applyFont="1" applyFill="1" applyBorder="1" applyAlignment="1">
      <alignment horizontal="center"/>
    </xf>
    <xf numFmtId="4" fontId="23" fillId="6" borderId="0" xfId="0" applyNumberFormat="1" applyFont="1" applyFill="1" applyAlignment="1">
      <alignment horizontal="center"/>
    </xf>
    <xf numFmtId="177" fontId="12" fillId="6" borderId="15" xfId="1" applyNumberFormat="1" applyFont="1" applyFill="1" applyBorder="1" applyAlignment="1">
      <alignment horizontal="right"/>
    </xf>
    <xf numFmtId="176" fontId="5" fillId="8" borderId="0" xfId="0" applyNumberFormat="1" applyFont="1" applyFill="1"/>
    <xf numFmtId="176" fontId="0" fillId="6" borderId="0" xfId="0" applyNumberFormat="1" applyFill="1"/>
    <xf numFmtId="1" fontId="51" fillId="8" borderId="11" xfId="0" applyNumberFormat="1" applyFont="1" applyFill="1" applyBorder="1" applyAlignment="1">
      <alignment horizontal="center"/>
    </xf>
    <xf numFmtId="185" fontId="20" fillId="8" borderId="11" xfId="0" applyNumberFormat="1" applyFont="1" applyFill="1" applyBorder="1"/>
    <xf numFmtId="4" fontId="20" fillId="6" borderId="0" xfId="0" applyNumberFormat="1" applyFont="1" applyFill="1"/>
    <xf numFmtId="4" fontId="20" fillId="0" borderId="0" xfId="0" applyNumberFormat="1" applyFont="1"/>
    <xf numFmtId="4" fontId="20" fillId="8" borderId="0" xfId="0" applyNumberFormat="1" applyFont="1" applyFill="1"/>
    <xf numFmtId="166" fontId="20" fillId="6" borderId="0" xfId="0" applyNumberFormat="1" applyFont="1" applyFill="1"/>
    <xf numFmtId="166" fontId="20" fillId="0" borderId="0" xfId="0" applyNumberFormat="1" applyFont="1"/>
    <xf numFmtId="166" fontId="20" fillId="7" borderId="0" xfId="0" applyNumberFormat="1" applyFont="1" applyFill="1"/>
    <xf numFmtId="166" fontId="20" fillId="8" borderId="0" xfId="0" applyNumberFormat="1" applyFont="1" applyFill="1"/>
    <xf numFmtId="2" fontId="34" fillId="6" borderId="5" xfId="0" applyNumberFormat="1" applyFont="1" applyFill="1" applyBorder="1" applyAlignment="1">
      <alignment horizontal="center"/>
    </xf>
    <xf numFmtId="166" fontId="20" fillId="8" borderId="5" xfId="0" applyNumberFormat="1" applyFont="1" applyFill="1" applyBorder="1"/>
    <xf numFmtId="166" fontId="20" fillId="7" borderId="5" xfId="0" applyNumberFormat="1" applyFont="1" applyFill="1" applyBorder="1"/>
    <xf numFmtId="3" fontId="52" fillId="0" borderId="0" xfId="0" applyNumberFormat="1" applyFont="1"/>
    <xf numFmtId="167" fontId="38" fillId="0" borderId="4" xfId="0" applyNumberFormat="1" applyFont="1" applyBorder="1"/>
    <xf numFmtId="167" fontId="38" fillId="6" borderId="4" xfId="0" applyNumberFormat="1" applyFont="1" applyFill="1" applyBorder="1"/>
    <xf numFmtId="167" fontId="38" fillId="6" borderId="0" xfId="1" applyNumberFormat="1" applyFont="1" applyFill="1"/>
    <xf numFmtId="167" fontId="38" fillId="0" borderId="0" xfId="1" applyNumberFormat="1" applyFont="1" applyFill="1"/>
    <xf numFmtId="167" fontId="38" fillId="0" borderId="0" xfId="1" applyNumberFormat="1" applyFont="1"/>
    <xf numFmtId="167" fontId="38" fillId="7" borderId="4" xfId="0" applyNumberFormat="1" applyFont="1" applyFill="1" applyBorder="1"/>
    <xf numFmtId="167" fontId="38" fillId="0" borderId="4" xfId="1" applyNumberFormat="1" applyFont="1" applyBorder="1"/>
    <xf numFmtId="167" fontId="38" fillId="0" borderId="0" xfId="1" applyNumberFormat="1" applyFont="1" applyBorder="1"/>
    <xf numFmtId="167" fontId="38" fillId="0" borderId="4" xfId="0" applyNumberFormat="1" applyFont="1" applyBorder="1" applyAlignment="1">
      <alignment horizontal="centerContinuous"/>
    </xf>
    <xf numFmtId="167" fontId="38" fillId="0" borderId="0" xfId="0" applyNumberFormat="1" applyFont="1" applyAlignment="1">
      <alignment horizontal="centerContinuous"/>
    </xf>
    <xf numFmtId="167" fontId="34" fillId="0" borderId="4" xfId="9" applyNumberFormat="1" applyFont="1" applyBorder="1" applyProtection="1">
      <protection locked="0"/>
    </xf>
    <xf numFmtId="167" fontId="34" fillId="7" borderId="0" xfId="9" applyNumberFormat="1" applyFont="1" applyFill="1" applyProtection="1">
      <protection locked="0"/>
    </xf>
    <xf numFmtId="167" fontId="34" fillId="0" borderId="0" xfId="9" applyNumberFormat="1" applyFont="1" applyProtection="1">
      <protection locked="0"/>
    </xf>
    <xf numFmtId="167" fontId="38" fillId="7" borderId="7" xfId="0" applyNumberFormat="1" applyFont="1" applyFill="1" applyBorder="1"/>
    <xf numFmtId="167" fontId="34" fillId="6" borderId="4" xfId="9" applyNumberFormat="1" applyFont="1" applyFill="1" applyBorder="1"/>
    <xf numFmtId="167" fontId="34" fillId="6" borderId="0" xfId="9" applyNumberFormat="1" applyFont="1" applyFill="1"/>
    <xf numFmtId="167" fontId="34" fillId="6" borderId="0" xfId="1" applyNumberFormat="1" applyFont="1" applyFill="1" applyBorder="1"/>
    <xf numFmtId="167" fontId="38" fillId="0" borderId="4" xfId="1" applyNumberFormat="1" applyFont="1" applyFill="1" applyBorder="1"/>
    <xf numFmtId="167" fontId="38" fillId="0" borderId="4" xfId="0" applyNumberFormat="1" applyFont="1" applyBorder="1" applyAlignment="1">
      <alignment horizontal="right"/>
    </xf>
    <xf numFmtId="167" fontId="38" fillId="0" borderId="0" xfId="0" applyNumberFormat="1" applyFont="1" applyAlignment="1">
      <alignment horizontal="right"/>
    </xf>
    <xf numFmtId="167" fontId="38" fillId="0" borderId="8" xfId="1" applyNumberFormat="1" applyFont="1" applyFill="1" applyBorder="1"/>
    <xf numFmtId="1" fontId="36" fillId="6" borderId="5" xfId="0" applyNumberFormat="1" applyFont="1" applyFill="1" applyBorder="1" applyAlignment="1">
      <alignment horizontal="center"/>
    </xf>
    <xf numFmtId="4" fontId="23" fillId="6" borderId="5" xfId="0" applyNumberFormat="1" applyFont="1" applyFill="1" applyBorder="1" applyAlignment="1">
      <alignment horizontal="center"/>
    </xf>
    <xf numFmtId="174" fontId="34" fillId="6" borderId="0" xfId="1" applyNumberFormat="1" applyFont="1" applyFill="1" applyBorder="1" applyAlignment="1">
      <alignment horizontal="center"/>
    </xf>
    <xf numFmtId="166" fontId="21" fillId="3" borderId="5" xfId="0" applyNumberFormat="1" applyFont="1" applyFill="1" applyBorder="1"/>
    <xf numFmtId="166" fontId="21" fillId="3" borderId="11" xfId="0" applyNumberFormat="1" applyFont="1" applyFill="1" applyBorder="1"/>
    <xf numFmtId="166" fontId="47" fillId="0" borderId="0" xfId="0" applyNumberFormat="1" applyFont="1"/>
    <xf numFmtId="166" fontId="47" fillId="0" borderId="11" xfId="0" applyNumberFormat="1" applyFont="1" applyBorder="1" applyAlignment="1">
      <alignment horizontal="center"/>
    </xf>
    <xf numFmtId="166" fontId="47" fillId="0" borderId="0" xfId="0" applyNumberFormat="1" applyFont="1" applyAlignment="1">
      <alignment horizontal="center"/>
    </xf>
    <xf numFmtId="166" fontId="47" fillId="0" borderId="5" xfId="0" applyNumberFormat="1" applyFont="1" applyBorder="1" applyAlignment="1">
      <alignment horizontal="center"/>
    </xf>
    <xf numFmtId="166" fontId="47" fillId="0" borderId="0" xfId="0" applyNumberFormat="1" applyFont="1" applyAlignment="1">
      <alignment horizontal="right"/>
    </xf>
    <xf numFmtId="166" fontId="47" fillId="0" borderId="5" xfId="0" applyNumberFormat="1" applyFont="1" applyBorder="1" applyAlignment="1">
      <alignment horizontal="right"/>
    </xf>
    <xf numFmtId="167" fontId="47" fillId="10" borderId="0" xfId="0" applyNumberFormat="1" applyFont="1" applyFill="1"/>
    <xf numFmtId="0" fontId="7" fillId="0" borderId="14" xfId="0" applyFont="1" applyBorder="1" applyAlignment="1">
      <alignment horizontal="center"/>
    </xf>
    <xf numFmtId="0" fontId="7" fillId="0" borderId="15" xfId="0" applyFont="1" applyBorder="1" applyAlignment="1">
      <alignment horizontal="center"/>
    </xf>
    <xf numFmtId="0" fontId="7" fillId="0" borderId="13" xfId="0" applyFont="1" applyBorder="1" applyAlignment="1">
      <alignment horizontal="center"/>
    </xf>
    <xf numFmtId="0" fontId="13" fillId="0" borderId="14" xfId="0" applyFont="1" applyBorder="1" applyAlignment="1">
      <alignment horizontal="center"/>
    </xf>
    <xf numFmtId="0" fontId="13" fillId="0" borderId="15"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7"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54" fillId="15" borderId="0" xfId="0" applyFont="1" applyFill="1" applyAlignment="1">
      <alignment horizontal="left" vertical="top"/>
    </xf>
    <xf numFmtId="0" fontId="55" fillId="16" borderId="0" xfId="0" applyFont="1" applyFill="1" applyAlignment="1">
      <alignment horizontal="left" vertical="top"/>
    </xf>
    <xf numFmtId="0" fontId="54" fillId="16" borderId="0" xfId="0" applyFont="1" applyFill="1" applyAlignment="1">
      <alignment horizontal="left" vertical="top"/>
    </xf>
    <xf numFmtId="0" fontId="56" fillId="16" borderId="0" xfId="0" applyFont="1" applyFill="1" applyAlignment="1">
      <alignment horizontal="left" vertical="top" wrapText="1"/>
    </xf>
    <xf numFmtId="0" fontId="57" fillId="16" borderId="0" xfId="0" applyFont="1" applyFill="1" applyAlignment="1">
      <alignment horizontal="left" vertical="top" wrapText="1"/>
    </xf>
    <xf numFmtId="0" fontId="58" fillId="16" borderId="0" xfId="0" applyFont="1" applyFill="1" applyAlignment="1">
      <alignment horizontal="left" vertical="top"/>
    </xf>
    <xf numFmtId="0" fontId="58" fillId="16" borderId="0" xfId="0" applyFont="1" applyFill="1" applyAlignment="1">
      <alignment horizontal="left" vertical="top" wrapText="1"/>
    </xf>
    <xf numFmtId="0" fontId="59" fillId="16" borderId="0" xfId="0" applyFont="1" applyFill="1" applyAlignment="1">
      <alignment horizontal="left" vertical="top"/>
    </xf>
    <xf numFmtId="0" fontId="60" fillId="16" borderId="0" xfId="10" applyFont="1" applyFill="1" applyAlignment="1">
      <alignment horizontal="left" vertical="top"/>
    </xf>
  </cellXfs>
  <cellStyles count="11">
    <cellStyle name="2x indented GHG Textfiels" xfId="2" xr:uid="{00000000-0005-0000-0000-000000000000}"/>
    <cellStyle name="5x indented GHG Textfiels" xfId="7" xr:uid="{00000000-0005-0000-0000-000001000000}"/>
    <cellStyle name="Bold GHG Numbers (0.00)" xfId="4" xr:uid="{00000000-0005-0000-0000-000002000000}"/>
    <cellStyle name="Collegamento ipertestuale" xfId="10" builtinId="8"/>
    <cellStyle name="Migliaia" xfId="1" builtinId="3"/>
    <cellStyle name="Normal GHG Numbers (0.00)" xfId="8" xr:uid="{00000000-0005-0000-0000-000004000000}"/>
    <cellStyle name="Normal GHG Textfiels Bold" xfId="3" xr:uid="{00000000-0005-0000-0000-000005000000}"/>
    <cellStyle name="Normal GHG whole table" xfId="6" xr:uid="{00000000-0005-0000-0000-000006000000}"/>
    <cellStyle name="Normal GHG-Shade" xfId="5" xr:uid="{00000000-0005-0000-0000-000007000000}"/>
    <cellStyle name="Normale" xfId="0" builtinId="0"/>
    <cellStyle name="Normale_riscaldamento"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3931103</xdr:colOff>
      <xdr:row>7</xdr:row>
      <xdr:rowOff>10129</xdr:rowOff>
    </xdr:to>
    <xdr:pic>
      <xdr:nvPicPr>
        <xdr:cNvPr id="2" name="Immagine 1">
          <a:extLst>
            <a:ext uri="{FF2B5EF4-FFF2-40B4-BE49-F238E27FC236}">
              <a16:creationId xmlns:a16="http://schemas.microsoft.com/office/drawing/2014/main" id="{0F6E828D-68B6-46BC-B525-9CEE63F8BBEA}"/>
            </a:ext>
          </a:extLst>
        </xdr:cNvPr>
        <xdr:cNvPicPr>
          <a:picLocks noChangeAspect="1"/>
        </xdr:cNvPicPr>
      </xdr:nvPicPr>
      <xdr:blipFill>
        <a:blip xmlns:r="http://schemas.openxmlformats.org/officeDocument/2006/relationships" r:embed="rId1"/>
        <a:stretch>
          <a:fillRect/>
        </a:stretch>
      </xdr:blipFill>
      <xdr:spPr>
        <a:xfrm>
          <a:off x="0" y="0"/>
          <a:ext cx="5464628" cy="120075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missioni.sina.isprambiente.it/"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F4143-6DC8-47B6-9192-D918ADFCB9BC}">
  <dimension ref="B1:B29"/>
  <sheetViews>
    <sheetView tabSelected="1" zoomScale="97" zoomScaleNormal="97" workbookViewId="0">
      <selection activeCell="D11" sqref="D11"/>
    </sheetView>
  </sheetViews>
  <sheetFormatPr defaultColWidth="9.1796875" defaultRowHeight="14"/>
  <cols>
    <col min="1" max="1" width="22" style="602" customWidth="1"/>
    <col min="2" max="2" width="138.81640625" style="602" customWidth="1"/>
    <col min="3" max="16384" width="9.1796875" style="602"/>
  </cols>
  <sheetData>
    <row r="1" spans="2:2" s="600" customFormat="1"/>
    <row r="2" spans="2:2" s="600" customFormat="1"/>
    <row r="3" spans="2:2" s="600" customFormat="1"/>
    <row r="4" spans="2:2" s="600" customFormat="1"/>
    <row r="5" spans="2:2" s="600" customFormat="1"/>
    <row r="6" spans="2:2" s="600" customFormat="1"/>
    <row r="7" spans="2:2" s="600" customFormat="1" ht="8.15" customHeight="1"/>
    <row r="10" spans="2:2">
      <c r="B10" s="601" t="s">
        <v>205</v>
      </c>
    </row>
    <row r="11" spans="2:2" ht="40" customHeight="1">
      <c r="B11" s="603" t="s">
        <v>206</v>
      </c>
    </row>
    <row r="12" spans="2:2" ht="19" customHeight="1">
      <c r="B12" s="604"/>
    </row>
    <row r="13" spans="2:2">
      <c r="B13" s="601" t="s">
        <v>207</v>
      </c>
    </row>
    <row r="14" spans="2:2" ht="22.5">
      <c r="B14" s="605" t="s">
        <v>215</v>
      </c>
    </row>
    <row r="16" spans="2:2">
      <c r="B16" s="601" t="s">
        <v>208</v>
      </c>
    </row>
    <row r="17" spans="2:2" ht="68.150000000000006" customHeight="1">
      <c r="B17" s="606" t="s">
        <v>216</v>
      </c>
    </row>
    <row r="18" spans="2:2" ht="15" customHeight="1"/>
    <row r="19" spans="2:2">
      <c r="B19" s="601" t="s">
        <v>209</v>
      </c>
    </row>
    <row r="20" spans="2:2" ht="17.5">
      <c r="B20" s="607" t="s">
        <v>210</v>
      </c>
    </row>
    <row r="22" spans="2:2">
      <c r="B22" s="601" t="s">
        <v>211</v>
      </c>
    </row>
    <row r="23" spans="2:2" ht="17.5">
      <c r="B23" s="607" t="s">
        <v>214</v>
      </c>
    </row>
    <row r="25" spans="2:2">
      <c r="B25" s="601" t="s">
        <v>212</v>
      </c>
    </row>
    <row r="26" spans="2:2" ht="17.5">
      <c r="B26" s="608" t="s">
        <v>213</v>
      </c>
    </row>
    <row r="27" spans="2:2" ht="17.5">
      <c r="B27" s="607"/>
    </row>
    <row r="28" spans="2:2">
      <c r="B28" s="601" t="s">
        <v>217</v>
      </c>
    </row>
    <row r="29" spans="2:2" ht="17.5">
      <c r="B29" s="608" t="s">
        <v>218</v>
      </c>
    </row>
  </sheetData>
  <hyperlinks>
    <hyperlink ref="B26" r:id="rId1" xr:uid="{BB5EFCAD-788B-4BBB-B0AF-04AAF4F02E4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B79"/>
  <sheetViews>
    <sheetView workbookViewId="0">
      <selection activeCell="AB3" sqref="AB3"/>
    </sheetView>
  </sheetViews>
  <sheetFormatPr defaultRowHeight="14.5"/>
  <cols>
    <col min="2" max="2" width="17.90625" customWidth="1"/>
    <col min="3" max="3" width="11.453125" style="32" customWidth="1"/>
    <col min="4" max="8" width="8" customWidth="1"/>
    <col min="9" max="9" width="10.453125" customWidth="1"/>
    <col min="10" max="10" width="8.36328125" customWidth="1"/>
    <col min="11" max="11" width="7.6328125" customWidth="1"/>
    <col min="12" max="20" width="8" customWidth="1"/>
    <col min="21" max="23" width="10.54296875" customWidth="1"/>
    <col min="24" max="24" width="13.54296875" customWidth="1"/>
    <col min="25" max="25" width="12.36328125" customWidth="1"/>
    <col min="26" max="26" width="14" customWidth="1"/>
    <col min="27" max="27" width="12.54296875" customWidth="1"/>
  </cols>
  <sheetData>
    <row r="1" spans="1:28" ht="15.5">
      <c r="A1" s="9" t="s">
        <v>23</v>
      </c>
      <c r="B1" s="10" t="s">
        <v>24</v>
      </c>
      <c r="C1" s="28"/>
      <c r="D1" s="591" t="s">
        <v>64</v>
      </c>
      <c r="E1" s="592"/>
      <c r="F1" s="592"/>
      <c r="G1" s="592"/>
      <c r="H1" s="592"/>
      <c r="I1" s="592"/>
      <c r="J1" s="592"/>
      <c r="K1" s="593"/>
      <c r="L1" s="595" t="s">
        <v>108</v>
      </c>
      <c r="M1" s="596"/>
      <c r="N1" s="596"/>
      <c r="O1" s="596"/>
      <c r="P1" s="596"/>
      <c r="Q1" s="596"/>
      <c r="R1" s="596"/>
      <c r="S1" s="596"/>
      <c r="T1" s="596"/>
      <c r="U1" s="595" t="s">
        <v>64</v>
      </c>
      <c r="V1" s="596"/>
      <c r="W1" s="597"/>
      <c r="X1" s="50" t="s">
        <v>45</v>
      </c>
      <c r="Y1" s="594" t="s">
        <v>46</v>
      </c>
      <c r="Z1" s="594"/>
      <c r="AA1" s="594"/>
      <c r="AB1" s="4"/>
    </row>
    <row r="2" spans="1:28">
      <c r="C2" s="55" t="s">
        <v>0</v>
      </c>
      <c r="D2" s="55" t="s">
        <v>1</v>
      </c>
      <c r="E2" s="8" t="s">
        <v>2</v>
      </c>
      <c r="F2" s="8" t="s">
        <v>3</v>
      </c>
      <c r="G2" s="8" t="s">
        <v>4</v>
      </c>
      <c r="H2" s="8" t="s">
        <v>5</v>
      </c>
      <c r="I2" s="8" t="s">
        <v>47</v>
      </c>
      <c r="J2" s="8" t="s">
        <v>7</v>
      </c>
      <c r="K2" s="56" t="s">
        <v>8</v>
      </c>
      <c r="L2" s="6" t="s">
        <v>9</v>
      </c>
      <c r="M2" s="6" t="s">
        <v>10</v>
      </c>
      <c r="N2" s="6" t="s">
        <v>11</v>
      </c>
      <c r="O2" s="6" t="s">
        <v>12</v>
      </c>
      <c r="P2" s="6" t="s">
        <v>13</v>
      </c>
      <c r="Q2" s="6" t="s">
        <v>14</v>
      </c>
      <c r="R2" s="6" t="s">
        <v>15</v>
      </c>
      <c r="S2" s="6" t="s">
        <v>16</v>
      </c>
      <c r="T2" s="6" t="s">
        <v>17</v>
      </c>
      <c r="U2" s="5" t="s">
        <v>18</v>
      </c>
      <c r="V2" s="6" t="s">
        <v>106</v>
      </c>
      <c r="W2" s="7" t="s">
        <v>184</v>
      </c>
      <c r="X2" s="51" t="s">
        <v>19</v>
      </c>
      <c r="Y2" s="6" t="s">
        <v>20</v>
      </c>
      <c r="Z2" s="6" t="s">
        <v>21</v>
      </c>
      <c r="AA2" s="6" t="s">
        <v>22</v>
      </c>
      <c r="AB2" s="4"/>
    </row>
    <row r="3" spans="1:28" ht="15.5">
      <c r="B3" s="2"/>
      <c r="C3" s="452">
        <f>SUM(C5:C12)</f>
        <v>802736.31125830323</v>
      </c>
      <c r="D3" s="57">
        <v>1408.4879044908353</v>
      </c>
      <c r="E3" s="57">
        <v>15907.573667605091</v>
      </c>
      <c r="F3" s="57">
        <v>1881.9664073679801</v>
      </c>
      <c r="G3" s="57">
        <v>3247.4888453519238</v>
      </c>
      <c r="H3" s="57">
        <v>14995.3010424981</v>
      </c>
      <c r="I3" s="57">
        <v>43637818.623514511</v>
      </c>
      <c r="J3" s="57">
        <v>430.35899047910624</v>
      </c>
      <c r="K3" s="57">
        <v>18.315553372898417</v>
      </c>
      <c r="L3" s="220">
        <v>432.88893514729551</v>
      </c>
      <c r="M3" s="36">
        <v>26.902766169770942</v>
      </c>
      <c r="N3" s="36">
        <v>3689.2190507449809</v>
      </c>
      <c r="O3" s="36">
        <v>1677.2401120204679</v>
      </c>
      <c r="P3" s="36">
        <v>246.08699920294529</v>
      </c>
      <c r="Q3" s="36">
        <v>2286.1002455080888</v>
      </c>
      <c r="R3" s="36">
        <v>598.75474303353565</v>
      </c>
      <c r="S3" s="36">
        <v>878.53832796913014</v>
      </c>
      <c r="T3" s="36">
        <v>403.91578096436825</v>
      </c>
      <c r="U3" s="295">
        <v>200.87922215668533</v>
      </c>
      <c r="V3" s="293">
        <v>151.86686251847641</v>
      </c>
      <c r="W3" s="293">
        <v>5.1929224449209865</v>
      </c>
      <c r="X3" s="294">
        <v>1.1921249386098121</v>
      </c>
      <c r="Y3" s="293">
        <v>330.43709206035192</v>
      </c>
      <c r="Z3" s="293">
        <v>0.30922455610144095</v>
      </c>
      <c r="AA3" s="293">
        <v>0.52568452470696481</v>
      </c>
      <c r="AB3" s="4"/>
    </row>
    <row r="4" spans="1:28" ht="15.5">
      <c r="A4" s="2"/>
      <c r="C4" s="28"/>
      <c r="F4" s="33"/>
      <c r="G4" s="11"/>
      <c r="H4" s="11"/>
      <c r="I4" s="12"/>
      <c r="J4" s="12"/>
      <c r="K4" s="11"/>
      <c r="L4" s="221"/>
      <c r="M4" s="11"/>
      <c r="N4" s="11"/>
      <c r="O4" s="11"/>
      <c r="P4" s="11"/>
      <c r="Q4" s="11"/>
      <c r="R4" s="11"/>
      <c r="S4" s="11"/>
      <c r="T4" s="11"/>
      <c r="U4" s="221"/>
      <c r="V4" s="11"/>
      <c r="W4" s="11"/>
      <c r="X4" s="52"/>
      <c r="Y4" s="11"/>
      <c r="Z4" s="11"/>
      <c r="AA4" s="11"/>
      <c r="AB4" s="4"/>
    </row>
    <row r="5" spans="1:28" ht="15.5">
      <c r="A5" s="2"/>
      <c r="B5" s="2" t="s">
        <v>58</v>
      </c>
      <c r="C5" s="48">
        <v>38157.402860205038</v>
      </c>
      <c r="D5" s="234">
        <v>26.260501013345653</v>
      </c>
      <c r="E5" s="234">
        <v>33.771737412238345</v>
      </c>
      <c r="F5" s="117">
        <v>1.5</v>
      </c>
      <c r="G5" s="235">
        <v>1.5</v>
      </c>
      <c r="H5" s="117">
        <v>12</v>
      </c>
      <c r="I5" s="524">
        <v>92.227254202533359</v>
      </c>
      <c r="J5" s="235">
        <v>1.5</v>
      </c>
      <c r="K5" s="224">
        <v>0.48</v>
      </c>
      <c r="L5" s="236">
        <v>8.3728016965254177</v>
      </c>
      <c r="M5" s="235">
        <v>0.14819118046947641</v>
      </c>
      <c r="N5" s="235">
        <v>10.595669403567562</v>
      </c>
      <c r="O5" s="235">
        <v>2.8156324289200514</v>
      </c>
      <c r="P5" s="235">
        <v>0.85209928769948917</v>
      </c>
      <c r="Q5" s="235">
        <v>6.6315553260090674</v>
      </c>
      <c r="R5" s="235">
        <v>4.6309743896711373</v>
      </c>
      <c r="S5" s="235">
        <v>4.5939265945537686</v>
      </c>
      <c r="T5" s="235">
        <v>9.8122244420744664</v>
      </c>
      <c r="U5" s="239">
        <v>1.3385083861307254</v>
      </c>
      <c r="V5" s="241">
        <v>0.59102967699278786</v>
      </c>
      <c r="W5" s="241">
        <v>1.3002652893841333E-2</v>
      </c>
      <c r="X5" s="244">
        <v>3.7613527027952121E-3</v>
      </c>
      <c r="Y5" s="245">
        <v>9.4748474583411386E-7</v>
      </c>
      <c r="Z5" s="242">
        <v>3.3000000000000002E-9</v>
      </c>
      <c r="AA5" s="245">
        <v>5.0953791280532467E-7</v>
      </c>
      <c r="AB5" s="4"/>
    </row>
    <row r="6" spans="1:28" ht="15.5">
      <c r="A6" s="2"/>
      <c r="B6" s="2" t="s">
        <v>25</v>
      </c>
      <c r="C6" s="37">
        <v>0</v>
      </c>
      <c r="D6" s="576">
        <v>382.15343460399356</v>
      </c>
      <c r="E6" s="234">
        <v>33.771737412238345</v>
      </c>
      <c r="F6" s="117">
        <v>1.5</v>
      </c>
      <c r="G6" s="235">
        <v>1.5</v>
      </c>
      <c r="H6" s="117">
        <v>12</v>
      </c>
      <c r="I6" s="235">
        <v>101</v>
      </c>
      <c r="J6" s="235">
        <v>1.5</v>
      </c>
      <c r="K6" s="224">
        <v>0.86</v>
      </c>
      <c r="L6" s="236">
        <v>8.3728016965254177</v>
      </c>
      <c r="M6" s="235">
        <v>0.14819118046947641</v>
      </c>
      <c r="N6" s="235">
        <v>10.595669403567562</v>
      </c>
      <c r="O6" s="235">
        <v>2.8156324289200514</v>
      </c>
      <c r="P6" s="235">
        <v>0.85209928769948917</v>
      </c>
      <c r="Q6" s="235">
        <v>6.6315553260090674</v>
      </c>
      <c r="R6" s="235">
        <v>4.6309743896711373</v>
      </c>
      <c r="S6" s="235">
        <v>4.5939265945537686</v>
      </c>
      <c r="T6" s="235">
        <v>9.8122244420744664</v>
      </c>
      <c r="U6" s="239">
        <v>1.3385083861307254</v>
      </c>
      <c r="V6" s="241">
        <v>0.54218061210358492</v>
      </c>
      <c r="W6" s="241">
        <v>1.1927973466278868E-2</v>
      </c>
      <c r="X6" s="244">
        <v>9.5538358650998391E-3</v>
      </c>
      <c r="Y6" s="245">
        <v>2.4066112544186493E-6</v>
      </c>
      <c r="Z6" s="242"/>
      <c r="AA6" s="245"/>
      <c r="AB6" s="4"/>
    </row>
    <row r="7" spans="1:28" ht="15.5">
      <c r="A7" s="2"/>
      <c r="B7" s="2" t="s">
        <v>39</v>
      </c>
      <c r="C7" s="48">
        <v>667790.23773956823</v>
      </c>
      <c r="D7" s="234">
        <v>0.13281876325378345</v>
      </c>
      <c r="E7" s="234">
        <v>16.119449229220848</v>
      </c>
      <c r="F7" s="117">
        <v>2.5</v>
      </c>
      <c r="G7" s="235">
        <v>1.5</v>
      </c>
      <c r="H7" s="117">
        <v>20</v>
      </c>
      <c r="I7" s="235">
        <v>59.088958691145862</v>
      </c>
      <c r="J7" s="235">
        <v>0.1</v>
      </c>
      <c r="K7" s="116">
        <v>0</v>
      </c>
      <c r="L7" s="236">
        <v>0.16</v>
      </c>
      <c r="M7" s="235">
        <v>0.03</v>
      </c>
      <c r="N7" s="235">
        <v>4.8587045577587276</v>
      </c>
      <c r="O7" s="235">
        <v>2.29</v>
      </c>
      <c r="P7" s="235">
        <v>0.31</v>
      </c>
      <c r="Q7" s="235">
        <v>2.68</v>
      </c>
      <c r="R7" s="235">
        <v>0.6</v>
      </c>
      <c r="S7" s="235">
        <v>1.04</v>
      </c>
      <c r="T7" s="235">
        <v>0</v>
      </c>
      <c r="U7" s="239">
        <v>7.3230424036433345E-2</v>
      </c>
      <c r="V7" s="241">
        <v>7.3230424036433345E-2</v>
      </c>
      <c r="W7" s="241">
        <v>1.8307606009108337E-3</v>
      </c>
      <c r="X7" s="244">
        <v>0</v>
      </c>
      <c r="Y7" s="245">
        <v>0</v>
      </c>
      <c r="Z7" s="242"/>
      <c r="AA7" s="245"/>
      <c r="AB7" s="4"/>
    </row>
    <row r="8" spans="1:28" ht="15.5">
      <c r="A8" s="2"/>
      <c r="B8" s="2" t="s">
        <v>40</v>
      </c>
      <c r="C8" s="37">
        <v>1760.3059725582157</v>
      </c>
      <c r="D8" s="234">
        <v>5.5262427004846399</v>
      </c>
      <c r="E8" s="234">
        <v>50</v>
      </c>
      <c r="F8" s="117">
        <v>1.5</v>
      </c>
      <c r="G8" s="235">
        <v>1.5</v>
      </c>
      <c r="H8" s="117">
        <v>12</v>
      </c>
      <c r="I8" s="235">
        <v>74.099999999999994</v>
      </c>
      <c r="J8" s="235">
        <v>0.6</v>
      </c>
      <c r="K8" s="116">
        <v>0</v>
      </c>
      <c r="L8" s="236">
        <v>0.77384120744887253</v>
      </c>
      <c r="M8" s="235">
        <v>0.14330392730534675</v>
      </c>
      <c r="N8" s="235">
        <v>4.7576903865375133</v>
      </c>
      <c r="O8" s="235">
        <v>4.7863511719985814</v>
      </c>
      <c r="P8" s="235">
        <v>0.77384120744887253</v>
      </c>
      <c r="Q8" s="235">
        <v>28.71810703199149</v>
      </c>
      <c r="R8" s="235">
        <v>2.5221491205741033</v>
      </c>
      <c r="S8" s="235">
        <v>1.0317882765984967</v>
      </c>
      <c r="T8" s="235">
        <v>3.4817186097302617</v>
      </c>
      <c r="U8" s="239">
        <v>5</v>
      </c>
      <c r="V8" s="241">
        <v>1.25</v>
      </c>
      <c r="W8" s="241">
        <v>0.41875000000000001</v>
      </c>
      <c r="X8" s="244">
        <v>2.3416264375244699E-2</v>
      </c>
      <c r="Y8" s="245">
        <v>8.9031026569412518E-4</v>
      </c>
      <c r="Z8" s="242"/>
      <c r="AA8" s="245"/>
      <c r="AB8" s="4"/>
    </row>
    <row r="9" spans="1:28" ht="15.5">
      <c r="B9" s="2" t="s">
        <v>41</v>
      </c>
      <c r="C9" s="37">
        <v>5121.8760812689052</v>
      </c>
      <c r="D9" s="234">
        <v>21.555838630519673</v>
      </c>
      <c r="E9" s="234">
        <v>22.357731810337896</v>
      </c>
      <c r="F9" s="117">
        <v>3</v>
      </c>
      <c r="G9" s="235">
        <v>3</v>
      </c>
      <c r="H9" s="117">
        <v>15</v>
      </c>
      <c r="I9" s="235">
        <v>76.475036910814254</v>
      </c>
      <c r="J9" s="235">
        <v>0.6</v>
      </c>
      <c r="K9" s="116">
        <v>0</v>
      </c>
      <c r="L9" s="236">
        <v>0.77384120744887253</v>
      </c>
      <c r="M9" s="235">
        <v>0.14330392730534675</v>
      </c>
      <c r="N9" s="235">
        <v>4.7576903865375133</v>
      </c>
      <c r="O9" s="235">
        <v>4.7863511719985814</v>
      </c>
      <c r="P9" s="235">
        <v>0.77384120744887253</v>
      </c>
      <c r="Q9" s="235">
        <v>28.71810703199149</v>
      </c>
      <c r="R9" s="235">
        <v>2.5221491205741033</v>
      </c>
      <c r="S9" s="235">
        <v>1.0317882765984967</v>
      </c>
      <c r="T9" s="235">
        <v>3.4817186097302617</v>
      </c>
      <c r="U9" s="239">
        <v>1.3197508012883354</v>
      </c>
      <c r="V9" s="241">
        <v>1.0107615263835268</v>
      </c>
      <c r="W9" s="241">
        <v>5.6602645477477502E-2</v>
      </c>
      <c r="X9" s="244">
        <v>2.4372030268111831E-2</v>
      </c>
      <c r="Y9" s="245">
        <v>8.9031026569412518E-4</v>
      </c>
      <c r="Z9" s="242">
        <v>0</v>
      </c>
      <c r="AA9" s="245"/>
      <c r="AB9" s="4"/>
    </row>
    <row r="10" spans="1:28" ht="15.5">
      <c r="B10" s="2" t="s">
        <v>42</v>
      </c>
      <c r="C10" s="48">
        <v>349.41126581325807</v>
      </c>
      <c r="D10" s="234">
        <v>21.555838630519673</v>
      </c>
      <c r="E10" s="234">
        <v>22.357731810337896</v>
      </c>
      <c r="F10" s="117">
        <v>3</v>
      </c>
      <c r="G10" s="235">
        <v>3</v>
      </c>
      <c r="H10" s="117">
        <v>15</v>
      </c>
      <c r="I10" s="235">
        <v>76.475036910814254</v>
      </c>
      <c r="J10" s="235">
        <v>0.6</v>
      </c>
      <c r="K10" s="116">
        <v>0</v>
      </c>
      <c r="L10" s="236">
        <v>0.77384120744887253</v>
      </c>
      <c r="M10" s="235">
        <v>0.14330392730534675</v>
      </c>
      <c r="N10" s="235">
        <v>4.7576903865375133</v>
      </c>
      <c r="O10" s="235">
        <v>4.7863511719985814</v>
      </c>
      <c r="P10" s="235">
        <v>0.77384120744887253</v>
      </c>
      <c r="Q10" s="235">
        <v>28.71810703199149</v>
      </c>
      <c r="R10" s="235">
        <v>2.5221491205741033</v>
      </c>
      <c r="S10" s="235">
        <v>1.0317882765984967</v>
      </c>
      <c r="T10" s="235">
        <v>3.4817186097302617</v>
      </c>
      <c r="U10" s="239">
        <v>1.3197508012883354</v>
      </c>
      <c r="V10" s="241">
        <v>1.0107615263835268</v>
      </c>
      <c r="W10" s="241">
        <v>5.6602645477477502E-2</v>
      </c>
      <c r="X10" s="244">
        <v>2.4372030268111831E-2</v>
      </c>
      <c r="Y10" s="245">
        <v>8.9031026569412518E-4</v>
      </c>
      <c r="Z10" s="242">
        <v>0</v>
      </c>
      <c r="AA10" s="245"/>
      <c r="AB10" s="4"/>
    </row>
    <row r="11" spans="1:28" ht="15.5">
      <c r="A11" s="45"/>
      <c r="B11" s="2" t="s">
        <v>44</v>
      </c>
      <c r="C11" s="48">
        <v>1243.1811468890073</v>
      </c>
      <c r="D11" s="576">
        <v>13.177287347536705</v>
      </c>
      <c r="E11" s="234">
        <v>22.357731810337896</v>
      </c>
      <c r="F11" s="117">
        <v>3</v>
      </c>
      <c r="G11" s="235">
        <v>3</v>
      </c>
      <c r="H11" s="117">
        <v>15</v>
      </c>
      <c r="I11" s="235">
        <v>89.110733352873567</v>
      </c>
      <c r="J11" s="235">
        <v>2</v>
      </c>
      <c r="K11" s="116">
        <v>0</v>
      </c>
      <c r="L11" s="236">
        <v>0.77384120744887253</v>
      </c>
      <c r="M11" s="235">
        <v>0.14330392730534675</v>
      </c>
      <c r="N11" s="235">
        <v>4.7576903865375133</v>
      </c>
      <c r="O11" s="235">
        <v>4.7863511719985814</v>
      </c>
      <c r="P11" s="235">
        <v>0.77384120744887253</v>
      </c>
      <c r="Q11" s="235">
        <v>28.71810703199149</v>
      </c>
      <c r="R11" s="235">
        <v>2.5221491205741033</v>
      </c>
      <c r="S11" s="235">
        <v>1.0317882765984967</v>
      </c>
      <c r="T11" s="235">
        <v>3.4817186097302617</v>
      </c>
      <c r="U11" s="239">
        <v>1.3197508012883354</v>
      </c>
      <c r="V11" s="241">
        <v>1.0107615263835268</v>
      </c>
      <c r="W11" s="241">
        <v>5.6602645477477502E-2</v>
      </c>
      <c r="X11" s="244">
        <v>2.4372030268111831E-2</v>
      </c>
      <c r="Y11" s="245">
        <v>8.9031026569412518E-4</v>
      </c>
      <c r="Z11" s="242"/>
      <c r="AA11" s="245"/>
      <c r="AB11" s="4"/>
    </row>
    <row r="12" spans="1:28" ht="15.5">
      <c r="A12" s="2"/>
      <c r="B12" s="2" t="s">
        <v>43</v>
      </c>
      <c r="C12" s="37">
        <v>88313.896192000655</v>
      </c>
      <c r="D12" s="234">
        <v>1.9669893598922021</v>
      </c>
      <c r="E12" s="234">
        <v>40.949223353679272</v>
      </c>
      <c r="F12" s="116">
        <v>1.5</v>
      </c>
      <c r="G12" s="235">
        <v>24.523700271392698</v>
      </c>
      <c r="H12" s="116">
        <v>12</v>
      </c>
      <c r="I12" s="234">
        <v>88.129853283608426</v>
      </c>
      <c r="J12" s="235">
        <v>3.3915222523769661</v>
      </c>
      <c r="K12" s="116"/>
      <c r="L12" s="237"/>
      <c r="M12" s="238"/>
      <c r="N12" s="238"/>
      <c r="O12" s="238"/>
      <c r="P12" s="238"/>
      <c r="Q12" s="238"/>
      <c r="R12" s="238"/>
      <c r="S12" s="238"/>
      <c r="T12" s="238"/>
      <c r="U12" s="240">
        <v>0.94254363933133833</v>
      </c>
      <c r="V12" s="241">
        <v>0.80876325181334174</v>
      </c>
      <c r="W12" s="241">
        <v>2.6689187309840278E-2</v>
      </c>
      <c r="X12" s="244">
        <v>9.5538358650998391E-3</v>
      </c>
      <c r="Y12" s="245">
        <v>3.6557752937804535E-3</v>
      </c>
      <c r="Z12" s="242">
        <v>3.4999999999999999E-6</v>
      </c>
      <c r="AA12" s="245">
        <v>5.7323015190599033E-6</v>
      </c>
      <c r="AB12" s="4"/>
    </row>
    <row r="13" spans="1:28" s="35" customFormat="1" ht="15.5">
      <c r="A13" s="46"/>
      <c r="B13" s="58" t="s">
        <v>65</v>
      </c>
      <c r="C13" s="59"/>
      <c r="D13" s="471">
        <f t="shared" ref="D13:K13" si="0">D3*1000/($C5+$C6+$C7+$C8+$C9+$C10+$C12+$C11)</f>
        <v>1.7546084370881465</v>
      </c>
      <c r="E13" s="453">
        <f t="shared" si="0"/>
        <v>19.816686307200545</v>
      </c>
      <c r="F13" s="454">
        <f t="shared" si="0"/>
        <v>2.3444391152780479</v>
      </c>
      <c r="G13" s="453">
        <f t="shared" si="0"/>
        <v>4.0455237913200017</v>
      </c>
      <c r="H13" s="454">
        <f t="shared" si="0"/>
        <v>18.68023263952356</v>
      </c>
      <c r="I13" s="453">
        <f>I3/($C5+$C6+$C7+$C8+$C9+$C10+$C12+$C11)</f>
        <v>54.361336358525335</v>
      </c>
      <c r="J13" s="453">
        <f t="shared" si="0"/>
        <v>0.53611501615581714</v>
      </c>
      <c r="K13" s="456">
        <f t="shared" si="0"/>
        <v>2.2816400748321038E-2</v>
      </c>
      <c r="L13" s="455">
        <f t="shared" ref="L13:W13" si="1">L3*1000/($C5+$C6+$C7+$C8+$C9+$C10+$C12+$C11)</f>
        <v>0.53926666711853921</v>
      </c>
      <c r="M13" s="455">
        <f t="shared" si="1"/>
        <v>3.3513827383241684E-2</v>
      </c>
      <c r="N13" s="455">
        <f t="shared" si="1"/>
        <v>4.5958043743680479</v>
      </c>
      <c r="O13" s="455">
        <f t="shared" si="1"/>
        <v>2.0894035668965376</v>
      </c>
      <c r="P13" s="455">
        <f t="shared" si="1"/>
        <v>0.30656019386640132</v>
      </c>
      <c r="Q13" s="455">
        <f t="shared" si="1"/>
        <v>2.8478844340859411</v>
      </c>
      <c r="R13" s="455">
        <f t="shared" si="1"/>
        <v>0.74589218730491602</v>
      </c>
      <c r="S13" s="455">
        <f t="shared" si="1"/>
        <v>1.0944295351383893</v>
      </c>
      <c r="T13" s="484">
        <f t="shared" si="1"/>
        <v>0.50317367646073363</v>
      </c>
      <c r="U13" s="455">
        <f t="shared" si="1"/>
        <v>0.25024309893469704</v>
      </c>
      <c r="V13" s="457">
        <f t="shared" si="1"/>
        <v>0.1891864867560587</v>
      </c>
      <c r="W13" s="457">
        <f t="shared" si="1"/>
        <v>6.4690264687055077E-3</v>
      </c>
      <c r="X13" s="458">
        <f>X3*1000/C3</f>
        <v>1.4850766333730878E-3</v>
      </c>
      <c r="Y13" s="459">
        <f>Y3/C3</f>
        <v>4.1163840158468226E-4</v>
      </c>
      <c r="Z13" s="460">
        <f>Z3/C3</f>
        <v>3.8521311639276168E-7</v>
      </c>
      <c r="AA13" s="461">
        <f>AA3/C3</f>
        <v>6.5486576019333809E-7</v>
      </c>
      <c r="AB13" s="49"/>
    </row>
    <row r="16" spans="1:28">
      <c r="B16" s="296" t="s">
        <v>192</v>
      </c>
    </row>
    <row r="17" spans="2:2">
      <c r="B17" s="243" t="s">
        <v>193</v>
      </c>
    </row>
    <row r="18" spans="2:2">
      <c r="B18" s="246" t="s">
        <v>194</v>
      </c>
    </row>
    <row r="76" spans="2:27" ht="16.5" customHeight="1">
      <c r="B76" s="25"/>
      <c r="C76" s="27"/>
      <c r="D76" s="11"/>
      <c r="E76" s="24"/>
      <c r="F76" s="24"/>
      <c r="G76" s="24"/>
      <c r="H76" s="24"/>
      <c r="I76" s="11"/>
      <c r="J76" s="11"/>
      <c r="K76" s="42"/>
      <c r="L76" s="11"/>
      <c r="M76" s="11"/>
      <c r="N76" s="11"/>
      <c r="O76" s="11"/>
      <c r="P76" s="11"/>
      <c r="Q76" s="11"/>
      <c r="R76" s="11"/>
      <c r="S76" s="11"/>
      <c r="T76" s="11"/>
      <c r="U76" s="11"/>
      <c r="V76" s="11"/>
      <c r="W76" s="11"/>
      <c r="X76" s="11"/>
      <c r="Y76" s="17"/>
      <c r="Z76" s="18"/>
      <c r="AA76" s="18"/>
    </row>
    <row r="77" spans="2:27" ht="16.5" customHeight="1">
      <c r="B77" s="25"/>
      <c r="C77" s="27"/>
      <c r="D77" s="11"/>
      <c r="E77" s="24"/>
      <c r="F77" s="24"/>
      <c r="G77" s="24"/>
      <c r="H77" s="24"/>
      <c r="I77" s="11"/>
      <c r="J77" s="11"/>
      <c r="K77" s="42"/>
      <c r="L77" s="11"/>
      <c r="M77" s="11"/>
      <c r="N77" s="11"/>
      <c r="O77" s="11"/>
      <c r="P77" s="11"/>
      <c r="Q77" s="11"/>
      <c r="R77" s="11"/>
      <c r="S77" s="11"/>
      <c r="T77" s="11"/>
      <c r="U77" s="11"/>
      <c r="V77" s="11"/>
      <c r="W77" s="11"/>
      <c r="X77" s="11"/>
      <c r="Y77" s="17"/>
      <c r="Z77" s="18"/>
      <c r="AA77" s="18"/>
    </row>
    <row r="78" spans="2:27" ht="16.5" customHeight="1">
      <c r="B78" s="26"/>
      <c r="C78" s="27"/>
      <c r="D78" s="11"/>
      <c r="E78" s="24"/>
      <c r="F78" s="24"/>
      <c r="G78" s="24"/>
      <c r="H78" s="24"/>
      <c r="I78" s="11"/>
      <c r="J78" s="11"/>
      <c r="K78" s="42"/>
      <c r="L78" s="11"/>
      <c r="M78" s="11"/>
      <c r="N78" s="11"/>
      <c r="O78" s="11"/>
      <c r="P78" s="11"/>
      <c r="Q78" s="11"/>
      <c r="R78" s="11"/>
      <c r="S78" s="11"/>
      <c r="T78" s="11"/>
      <c r="U78" s="11"/>
      <c r="V78" s="11"/>
      <c r="W78" s="11"/>
      <c r="X78" s="11"/>
      <c r="Y78" s="17"/>
      <c r="Z78" s="18"/>
      <c r="AA78" s="18"/>
    </row>
    <row r="79" spans="2:27" ht="16.5" customHeight="1">
      <c r="B79" s="25"/>
      <c r="C79" s="27"/>
      <c r="D79" s="11"/>
      <c r="E79" s="11"/>
      <c r="F79" s="11"/>
      <c r="G79" s="11"/>
      <c r="H79" s="11"/>
      <c r="I79" s="11"/>
      <c r="J79" s="11"/>
      <c r="K79" s="42"/>
      <c r="L79" s="11"/>
      <c r="M79" s="11"/>
      <c r="N79" s="11"/>
      <c r="O79" s="11"/>
      <c r="P79" s="11"/>
      <c r="Q79" s="11"/>
      <c r="R79" s="11"/>
      <c r="S79" s="11"/>
      <c r="T79" s="11"/>
      <c r="U79" s="11"/>
      <c r="V79" s="11"/>
      <c r="W79" s="11"/>
      <c r="X79" s="11"/>
      <c r="Y79" s="17"/>
      <c r="Z79" s="18"/>
      <c r="AA79" s="18"/>
    </row>
  </sheetData>
  <mergeCells count="4">
    <mergeCell ref="D1:K1"/>
    <mergeCell ref="Y1:AA1"/>
    <mergeCell ref="L1:T1"/>
    <mergeCell ref="U1:W1"/>
  </mergeCells>
  <pageMargins left="0.7" right="0.7" top="0.75" bottom="0.75" header="0.3" footer="0.3"/>
  <pageSetup paperSize="9" orientation="portrait" horizontalDpi="200" verticalDpi="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B29"/>
  <sheetViews>
    <sheetView zoomScale="90" zoomScaleNormal="90" workbookViewId="0">
      <selection activeCell="U15" sqref="U15:AA23"/>
    </sheetView>
  </sheetViews>
  <sheetFormatPr defaultRowHeight="14.5"/>
  <cols>
    <col min="2" max="2" width="14.54296875" customWidth="1"/>
    <col min="3" max="3" width="11.54296875" customWidth="1"/>
    <col min="5" max="5" width="9.54296875" bestFit="1" customWidth="1"/>
    <col min="7" max="7" width="8.90625" customWidth="1"/>
    <col min="9" max="9" width="11" customWidth="1"/>
    <col min="10" max="12" width="8.90625" customWidth="1"/>
    <col min="14" max="15" width="8.90625" customWidth="1"/>
    <col min="17" max="21" width="8.90625" customWidth="1"/>
    <col min="23" max="23" width="8.90625" customWidth="1"/>
    <col min="24" max="24" width="14.08984375" customWidth="1"/>
    <col min="25" max="25" width="12.36328125" customWidth="1"/>
    <col min="26" max="26" width="11.54296875" bestFit="1" customWidth="1"/>
  </cols>
  <sheetData>
    <row r="1" spans="1:27" ht="24" customHeight="1">
      <c r="A1" s="15" t="s">
        <v>109</v>
      </c>
      <c r="B1" s="22" t="s">
        <v>68</v>
      </c>
      <c r="C1" s="28"/>
      <c r="D1" s="592" t="s">
        <v>64</v>
      </c>
      <c r="E1" s="592"/>
      <c r="F1" s="592"/>
      <c r="G1" s="592"/>
      <c r="H1" s="592"/>
      <c r="I1" s="592"/>
      <c r="J1" s="592"/>
      <c r="K1" s="593"/>
      <c r="L1" s="595" t="s">
        <v>108</v>
      </c>
      <c r="M1" s="596"/>
      <c r="N1" s="596"/>
      <c r="O1" s="596"/>
      <c r="P1" s="596"/>
      <c r="Q1" s="596"/>
      <c r="R1" s="596"/>
      <c r="S1" s="596"/>
      <c r="T1" s="596"/>
      <c r="U1" s="595" t="s">
        <v>64</v>
      </c>
      <c r="V1" s="596"/>
      <c r="W1" s="597"/>
      <c r="X1" s="50" t="s">
        <v>45</v>
      </c>
      <c r="Y1" s="598" t="s">
        <v>46</v>
      </c>
      <c r="Z1" s="594"/>
      <c r="AA1" s="599"/>
    </row>
    <row r="2" spans="1:27" ht="15.5">
      <c r="A2" s="2"/>
      <c r="B2" s="2"/>
      <c r="C2" s="31" t="s">
        <v>0</v>
      </c>
      <c r="D2" s="55" t="s">
        <v>1</v>
      </c>
      <c r="E2" s="8" t="s">
        <v>2</v>
      </c>
      <c r="F2" s="6" t="s">
        <v>3</v>
      </c>
      <c r="G2" s="8" t="s">
        <v>4</v>
      </c>
      <c r="H2" s="6" t="s">
        <v>5</v>
      </c>
      <c r="I2" s="8" t="s">
        <v>47</v>
      </c>
      <c r="J2" s="6" t="s">
        <v>7</v>
      </c>
      <c r="K2" s="7" t="s">
        <v>8</v>
      </c>
      <c r="L2" s="6" t="s">
        <v>9</v>
      </c>
      <c r="M2" s="6" t="s">
        <v>10</v>
      </c>
      <c r="N2" s="6" t="s">
        <v>11</v>
      </c>
      <c r="O2" s="6" t="s">
        <v>12</v>
      </c>
      <c r="P2" s="6" t="s">
        <v>13</v>
      </c>
      <c r="Q2" s="6" t="s">
        <v>14</v>
      </c>
      <c r="R2" s="6" t="s">
        <v>15</v>
      </c>
      <c r="S2" s="6" t="s">
        <v>16</v>
      </c>
      <c r="T2" s="6" t="s">
        <v>17</v>
      </c>
      <c r="U2" s="5" t="s">
        <v>18</v>
      </c>
      <c r="V2" s="6" t="s">
        <v>106</v>
      </c>
      <c r="W2" s="7" t="s">
        <v>184</v>
      </c>
      <c r="X2" s="51" t="s">
        <v>19</v>
      </c>
      <c r="Y2" s="6" t="s">
        <v>20</v>
      </c>
      <c r="Z2" s="6" t="s">
        <v>21</v>
      </c>
      <c r="AA2" s="6" t="s">
        <v>22</v>
      </c>
    </row>
    <row r="3" spans="1:27">
      <c r="C3" s="114">
        <f>SUM(C6:C12,C15:C23)</f>
        <v>254748.36833700899</v>
      </c>
      <c r="D3" s="44">
        <f t="shared" ref="D3:W3" si="0">D5+D14</f>
        <v>4294.9420429878637</v>
      </c>
      <c r="E3" s="44">
        <f t="shared" si="0"/>
        <v>7226.7319326031038</v>
      </c>
      <c r="F3" s="44">
        <f t="shared" si="0"/>
        <v>652.28236934112226</v>
      </c>
      <c r="G3" s="44">
        <f t="shared" si="0"/>
        <v>415.3813455731331</v>
      </c>
      <c r="H3" s="44">
        <f t="shared" si="0"/>
        <v>2895.636089879531</v>
      </c>
      <c r="I3" s="44">
        <f t="shared" si="0"/>
        <v>17182244.306881674</v>
      </c>
      <c r="J3" s="44">
        <f t="shared" si="0"/>
        <v>430.5324077635243</v>
      </c>
      <c r="K3" s="67">
        <f t="shared" si="0"/>
        <v>50.949673667401797</v>
      </c>
      <c r="L3" s="44">
        <f t="shared" si="0"/>
        <v>81.426346920785818</v>
      </c>
      <c r="M3" s="40">
        <f t="shared" si="0"/>
        <v>15.096156690975693</v>
      </c>
      <c r="N3" s="40">
        <f t="shared" si="0"/>
        <v>680.61350401270101</v>
      </c>
      <c r="O3" s="40">
        <f t="shared" si="0"/>
        <v>564.03872502959757</v>
      </c>
      <c r="P3" s="40">
        <f t="shared" si="0"/>
        <v>88.393787707005856</v>
      </c>
      <c r="Q3" s="40">
        <f t="shared" si="0"/>
        <v>2870.4997162069612</v>
      </c>
      <c r="R3" s="40">
        <f t="shared" si="0"/>
        <v>269.03672933855785</v>
      </c>
      <c r="S3" s="40">
        <f t="shared" si="0"/>
        <v>146.96680289399373</v>
      </c>
      <c r="T3" s="67">
        <f t="shared" si="0"/>
        <v>332.92064588852929</v>
      </c>
      <c r="U3" s="44">
        <f t="shared" si="0"/>
        <v>1497.375762194014</v>
      </c>
      <c r="V3" s="40">
        <f t="shared" si="0"/>
        <v>1209.4478115172371</v>
      </c>
      <c r="W3" s="67">
        <f t="shared" si="0"/>
        <v>49.050187124184745</v>
      </c>
      <c r="X3" s="65">
        <f>X5+X14</f>
        <v>2.0117234139135829</v>
      </c>
      <c r="Y3" s="64">
        <f>Y5+Y14</f>
        <v>34.746927811385802</v>
      </c>
      <c r="Z3" s="40">
        <f>Z5+Z14</f>
        <v>0</v>
      </c>
      <c r="AA3" s="43">
        <f>AA5+AA14</f>
        <v>0</v>
      </c>
    </row>
    <row r="4" spans="1:27" ht="15.5">
      <c r="A4" s="23" t="s">
        <v>62</v>
      </c>
      <c r="B4" s="2" t="s">
        <v>36</v>
      </c>
      <c r="C4" s="28"/>
      <c r="K4" s="68"/>
      <c r="U4" s="4"/>
      <c r="X4" s="66"/>
      <c r="Y4" s="4"/>
      <c r="AA4" s="1"/>
    </row>
    <row r="5" spans="1:27" ht="15.5">
      <c r="A5" s="69"/>
      <c r="C5" s="28"/>
      <c r="D5" s="297">
        <f>($C6*D6+$C7*D7+$C8*D8+C9*D9+$C10*D10+$C11*D11+$C12*D12)/1000</f>
        <v>2035.8830122273682</v>
      </c>
      <c r="E5" s="298">
        <f>($C6*E6+$C7*E7+$C8*E8+C9*E9+$C10*E10+$C11*E11+$C12*E12)/1000</f>
        <v>1507.1229244249796</v>
      </c>
      <c r="F5" s="124">
        <f>($C6*F6+$C7*F7+$C8*F8+C9*F9+$C10*F10+$C11*F11+$C12*F12)/1000</f>
        <v>255.05281614528229</v>
      </c>
      <c r="G5" s="298">
        <f>($C6*G6+$C7*G7+$C8*G8+$C9*G9+$C10*G10+$C11*G11+$C12*G12)/1000</f>
        <v>184.24069421791714</v>
      </c>
      <c r="H5" s="124">
        <f>($C6*H6+$C7*H7+$C8*H8+$C9*H9+$C10*H10+$C11*H11+$C12*H12)/1000</f>
        <v>979.15302467578726</v>
      </c>
      <c r="I5" s="309">
        <f>($C6*I6+$C7*I7+$C8*I8+$C9*I9+$C10*I10+$C11*I11+$C12*I12)</f>
        <v>6663194.9039602708</v>
      </c>
      <c r="J5" s="298">
        <f>($C6*J6+$C7*J7+$C8*J8+$C9*J9+$C10*J10+$C11*J11+$C12*J12)/1000</f>
        <v>106.83457576526824</v>
      </c>
      <c r="K5" s="574">
        <f>($C6*K6+$C7*K7+$C8*K8+$C9*K9+$C10*K10+$C11*K11+$C12*K12)/1000</f>
        <v>18.579890467576195</v>
      </c>
      <c r="L5" s="298">
        <f t="shared" ref="L5:W5" si="1">($C6*L6+$C7*L7+$C8*L8+$C9*L9+$C10*L10+$C11*L11+$C12*L12)/1000</f>
        <v>42.773745291798058</v>
      </c>
      <c r="M5" s="298">
        <f t="shared" si="1"/>
        <v>7.9382675004224046</v>
      </c>
      <c r="N5" s="298">
        <f t="shared" si="1"/>
        <v>442.97158288633176</v>
      </c>
      <c r="O5" s="298">
        <f t="shared" si="1"/>
        <v>324.96522606511775</v>
      </c>
      <c r="P5" s="298">
        <f t="shared" si="1"/>
        <v>49.741186078018089</v>
      </c>
      <c r="Q5" s="298">
        <f t="shared" si="1"/>
        <v>1436.0587224200824</v>
      </c>
      <c r="R5" s="298">
        <f t="shared" si="1"/>
        <v>143.05787958481994</v>
      </c>
      <c r="S5" s="298">
        <f t="shared" si="1"/>
        <v>95.43000072201005</v>
      </c>
      <c r="T5" s="298">
        <f t="shared" si="1"/>
        <v>159.01225084479753</v>
      </c>
      <c r="U5" s="297">
        <f t="shared" si="1"/>
        <v>469.59345960393387</v>
      </c>
      <c r="V5" s="247">
        <f t="shared" si="1"/>
        <v>362.66621216500261</v>
      </c>
      <c r="W5" s="247">
        <f t="shared" si="1"/>
        <v>19.909803124923805</v>
      </c>
      <c r="X5" s="250">
        <f>($C6*X6+$C7*X7+$C8*X8+$C9*X9+$C10*X10+$C11*X11+$C12*X12)/1000</f>
        <v>1.1144374139135829</v>
      </c>
      <c r="Y5" s="254">
        <f>($C6*Y6+$C7*Y7+$C8*Y8+$C9*Y9+$C10*Y10+$C11*Y11+$C12*Y12)</f>
        <v>16.596108620671515</v>
      </c>
      <c r="Z5" s="247">
        <f>($C6*Z6+$C7*Z7+$C8*Z8+$C9*Z9+$C10*Z10+$C11*Z11+$C12*Z12)</f>
        <v>0</v>
      </c>
      <c r="AA5" s="258">
        <f>($C6*AA6+$C7*AA7+$C8*AA8+$C9*AA9+$C10*AA10+$C11*AA11+$C12*AA12)</f>
        <v>0</v>
      </c>
    </row>
    <row r="6" spans="1:27" ht="15.5">
      <c r="B6" s="2" t="s">
        <v>54</v>
      </c>
      <c r="C6" s="29">
        <v>716.97581753760073</v>
      </c>
      <c r="D6" s="299">
        <v>0.39124379724182257</v>
      </c>
      <c r="E6" s="300">
        <v>22.357731810337896</v>
      </c>
      <c r="F6" s="186">
        <v>2.5</v>
      </c>
      <c r="G6" s="306">
        <v>1</v>
      </c>
      <c r="H6" s="187">
        <v>13</v>
      </c>
      <c r="I6" s="310">
        <v>56.069992929332656</v>
      </c>
      <c r="J6" s="308">
        <v>2</v>
      </c>
      <c r="K6" s="480">
        <v>0.2</v>
      </c>
      <c r="L6" s="313">
        <v>0</v>
      </c>
      <c r="M6" s="314">
        <v>0</v>
      </c>
      <c r="N6" s="314">
        <v>0</v>
      </c>
      <c r="O6" s="314">
        <v>0</v>
      </c>
      <c r="P6" s="314">
        <v>0</v>
      </c>
      <c r="Q6" s="314">
        <v>0</v>
      </c>
      <c r="R6" s="314">
        <v>0</v>
      </c>
      <c r="S6" s="314">
        <v>0</v>
      </c>
      <c r="T6" s="314">
        <v>0</v>
      </c>
      <c r="U6" s="315">
        <v>5</v>
      </c>
      <c r="V6" s="248">
        <v>5</v>
      </c>
      <c r="W6" s="248">
        <v>0.125</v>
      </c>
      <c r="X6" s="530">
        <v>0</v>
      </c>
      <c r="Y6" s="333">
        <v>0</v>
      </c>
      <c r="Z6" s="334"/>
      <c r="AA6" s="259"/>
    </row>
    <row r="7" spans="1:27" ht="15.5">
      <c r="B7" s="2" t="s">
        <v>56</v>
      </c>
      <c r="C7" s="29">
        <v>0</v>
      </c>
      <c r="D7" s="301">
        <v>44.350245661526642</v>
      </c>
      <c r="E7" s="300">
        <v>22.357731810337896</v>
      </c>
      <c r="F7" s="188">
        <v>3</v>
      </c>
      <c r="G7" s="307">
        <v>7</v>
      </c>
      <c r="H7" s="188">
        <v>60</v>
      </c>
      <c r="I7" s="310">
        <v>71.900000000000006</v>
      </c>
      <c r="J7" s="307">
        <v>2</v>
      </c>
      <c r="K7" s="480">
        <v>0.2</v>
      </c>
      <c r="L7" s="313">
        <v>0.77384120744887253</v>
      </c>
      <c r="M7" s="314">
        <v>0.14330392730534675</v>
      </c>
      <c r="N7" s="314">
        <v>4.7576903865375133</v>
      </c>
      <c r="O7" s="314">
        <v>4.7863511719985814</v>
      </c>
      <c r="P7" s="314">
        <v>0.77384120744887253</v>
      </c>
      <c r="Q7" s="314">
        <v>28.71810703199149</v>
      </c>
      <c r="R7" s="314">
        <v>2.5221491205741033</v>
      </c>
      <c r="S7" s="314">
        <v>1.0317882765984967</v>
      </c>
      <c r="T7" s="314">
        <v>3.4817186097302617</v>
      </c>
      <c r="U7" s="315">
        <v>10</v>
      </c>
      <c r="V7" s="248">
        <v>2.5</v>
      </c>
      <c r="W7" s="248">
        <v>0.83750000000000002</v>
      </c>
      <c r="X7" s="531">
        <v>2.2965951598797683E-2</v>
      </c>
      <c r="Y7" s="532">
        <v>3.6338697129754738E-4</v>
      </c>
      <c r="Z7" s="334"/>
      <c r="AA7" s="260"/>
    </row>
    <row r="8" spans="1:27" ht="15.5">
      <c r="B8" s="2" t="s">
        <v>34</v>
      </c>
      <c r="C8" s="29">
        <v>0</v>
      </c>
      <c r="D8" s="301">
        <v>44.350245661526642</v>
      </c>
      <c r="E8" s="300">
        <v>22.357731810337896</v>
      </c>
      <c r="F8" s="188">
        <v>1.5</v>
      </c>
      <c r="G8" s="307">
        <v>1.5</v>
      </c>
      <c r="H8" s="188">
        <v>9</v>
      </c>
      <c r="I8" s="310">
        <v>95.308235779142592</v>
      </c>
      <c r="J8" s="307">
        <v>2</v>
      </c>
      <c r="K8" s="480">
        <v>0.2</v>
      </c>
      <c r="L8" s="313">
        <v>0.77384120744887253</v>
      </c>
      <c r="M8" s="314">
        <v>0.14330392730534675</v>
      </c>
      <c r="N8" s="314">
        <v>4.7576903865375133</v>
      </c>
      <c r="O8" s="314">
        <v>4.7863511719985814</v>
      </c>
      <c r="P8" s="314">
        <v>0.77384120744887253</v>
      </c>
      <c r="Q8" s="314">
        <v>28.71810703199149</v>
      </c>
      <c r="R8" s="314">
        <v>2.5221491205741033</v>
      </c>
      <c r="S8" s="314">
        <v>1.0317882765984967</v>
      </c>
      <c r="T8" s="314">
        <v>3.4817186097302617</v>
      </c>
      <c r="U8" s="315">
        <v>10</v>
      </c>
      <c r="V8" s="248">
        <v>4.4155844155844157</v>
      </c>
      <c r="W8" s="248">
        <v>0.14571428571428571</v>
      </c>
      <c r="X8" s="531">
        <v>2.8776614051505531E-2</v>
      </c>
      <c r="Y8" s="532">
        <v>3.6338697129754738E-4</v>
      </c>
      <c r="Z8" s="334"/>
      <c r="AA8" s="260"/>
    </row>
    <row r="9" spans="1:27" ht="15.5">
      <c r="B9" s="2" t="s">
        <v>63</v>
      </c>
      <c r="C9" s="29">
        <v>45670.620940018081</v>
      </c>
      <c r="D9" s="301">
        <v>44.350245661526642</v>
      </c>
      <c r="E9" s="300">
        <v>22.357731810337896</v>
      </c>
      <c r="F9" s="187">
        <v>3</v>
      </c>
      <c r="G9" s="306">
        <v>3</v>
      </c>
      <c r="H9" s="187">
        <v>8</v>
      </c>
      <c r="I9" s="310">
        <v>84.830293289079165</v>
      </c>
      <c r="J9" s="308">
        <v>2</v>
      </c>
      <c r="K9" s="480">
        <v>0.2</v>
      </c>
      <c r="L9" s="313">
        <v>0.77384120744887253</v>
      </c>
      <c r="M9" s="314">
        <v>0.14330392730534675</v>
      </c>
      <c r="N9" s="314">
        <v>4.7576903865375133</v>
      </c>
      <c r="O9" s="314">
        <v>4.7863511719985814</v>
      </c>
      <c r="P9" s="314">
        <v>0.77384120744887253</v>
      </c>
      <c r="Q9" s="314">
        <v>28.71810703199149</v>
      </c>
      <c r="R9" s="314">
        <v>2.5221491205741033</v>
      </c>
      <c r="S9" s="314">
        <v>1.0317882765984967</v>
      </c>
      <c r="T9" s="314">
        <v>3.4817186097302617</v>
      </c>
      <c r="U9" s="315">
        <v>10</v>
      </c>
      <c r="V9" s="248">
        <v>7.6587301587301591</v>
      </c>
      <c r="W9" s="248">
        <v>0.42888888888888893</v>
      </c>
      <c r="X9" s="531">
        <v>2.4372030268111831E-2</v>
      </c>
      <c r="Y9" s="532">
        <v>3.6338697129754738E-4</v>
      </c>
      <c r="Z9" s="334"/>
      <c r="AA9" s="260"/>
    </row>
    <row r="10" spans="1:27" ht="15.5">
      <c r="B10" s="2" t="s">
        <v>42</v>
      </c>
      <c r="C10" s="29">
        <v>0</v>
      </c>
      <c r="D10" s="301">
        <v>44.350245661526642</v>
      </c>
      <c r="E10" s="300">
        <v>22.357731810337896</v>
      </c>
      <c r="F10" s="187">
        <v>3</v>
      </c>
      <c r="G10" s="306">
        <v>3</v>
      </c>
      <c r="H10" s="187">
        <v>10</v>
      </c>
      <c r="I10" s="310">
        <v>76.475036910814254</v>
      </c>
      <c r="J10" s="308">
        <v>2</v>
      </c>
      <c r="K10" s="480">
        <v>0.2</v>
      </c>
      <c r="L10" s="313">
        <v>0.77384120744887253</v>
      </c>
      <c r="M10" s="314">
        <v>0.14330392730534675</v>
      </c>
      <c r="N10" s="314">
        <v>4.7576903865375133</v>
      </c>
      <c r="O10" s="314">
        <v>4.7863511719985814</v>
      </c>
      <c r="P10" s="314">
        <v>0.77384120744887253</v>
      </c>
      <c r="Q10" s="314">
        <v>28.71810703199149</v>
      </c>
      <c r="R10" s="314">
        <v>2.5221491205741033</v>
      </c>
      <c r="S10" s="314">
        <v>1.0317882765984967</v>
      </c>
      <c r="T10" s="314">
        <v>3.4817186097302617</v>
      </c>
      <c r="U10" s="315">
        <v>10</v>
      </c>
      <c r="V10" s="248">
        <v>7.6587301587301591</v>
      </c>
      <c r="W10" s="248">
        <v>0.42888888888888893</v>
      </c>
      <c r="X10" s="531">
        <v>2.4372030268111831E-2</v>
      </c>
      <c r="Y10" s="532">
        <v>3.6338697129754738E-4</v>
      </c>
      <c r="Z10" s="334">
        <v>0</v>
      </c>
      <c r="AA10" s="260"/>
    </row>
    <row r="11" spans="1:27" ht="15.5">
      <c r="B11" s="2" t="s">
        <v>39</v>
      </c>
      <c r="C11" s="29">
        <v>46449.605241466903</v>
      </c>
      <c r="D11" s="299">
        <v>0.21713263329772356</v>
      </c>
      <c r="E11" s="300">
        <v>10.088561527618966</v>
      </c>
      <c r="F11" s="186">
        <v>2.5</v>
      </c>
      <c r="G11" s="306">
        <v>1</v>
      </c>
      <c r="H11" s="187">
        <v>13</v>
      </c>
      <c r="I11" s="310">
        <v>59.088958691145862</v>
      </c>
      <c r="J11" s="308">
        <v>0.3</v>
      </c>
      <c r="K11" s="480">
        <v>0.2</v>
      </c>
      <c r="L11" s="313">
        <v>0.16</v>
      </c>
      <c r="M11" s="314">
        <v>0.03</v>
      </c>
      <c r="N11" s="314">
        <v>4.8587045577587276</v>
      </c>
      <c r="O11" s="314">
        <v>2.29</v>
      </c>
      <c r="P11" s="314">
        <v>0.31</v>
      </c>
      <c r="Q11" s="314">
        <v>2.68</v>
      </c>
      <c r="R11" s="314">
        <v>0.6</v>
      </c>
      <c r="S11" s="314">
        <v>1.04</v>
      </c>
      <c r="T11" s="314">
        <v>0</v>
      </c>
      <c r="U11" s="315">
        <v>0.2</v>
      </c>
      <c r="V11" s="248">
        <v>0.2</v>
      </c>
      <c r="W11" s="248">
        <v>5.000000000000001E-3</v>
      </c>
      <c r="X11" s="530">
        <v>0</v>
      </c>
      <c r="Y11" s="333">
        <v>0</v>
      </c>
      <c r="Z11" s="334"/>
      <c r="AA11" s="260"/>
    </row>
    <row r="12" spans="1:27" ht="15.5">
      <c r="B12" s="2" t="s">
        <v>53</v>
      </c>
      <c r="C12" s="29">
        <v>62.250338858399992</v>
      </c>
      <c r="D12" s="299">
        <v>0.21713263329772359</v>
      </c>
      <c r="E12" s="300">
        <v>22.357731810337896</v>
      </c>
      <c r="F12" s="187">
        <v>2</v>
      </c>
      <c r="G12" s="306">
        <v>1</v>
      </c>
      <c r="H12" s="187">
        <v>10</v>
      </c>
      <c r="I12" s="310">
        <v>65.591620000000006</v>
      </c>
      <c r="J12" s="308">
        <v>2</v>
      </c>
      <c r="K12" s="480">
        <v>0.2</v>
      </c>
      <c r="L12" s="313">
        <v>0</v>
      </c>
      <c r="M12" s="314">
        <v>0</v>
      </c>
      <c r="N12" s="314">
        <v>0</v>
      </c>
      <c r="O12" s="314">
        <v>0</v>
      </c>
      <c r="P12" s="314">
        <v>0</v>
      </c>
      <c r="Q12" s="314">
        <v>0</v>
      </c>
      <c r="R12" s="314">
        <v>0</v>
      </c>
      <c r="S12" s="314">
        <v>0</v>
      </c>
      <c r="T12" s="314">
        <v>0</v>
      </c>
      <c r="U12" s="315">
        <v>0.2</v>
      </c>
      <c r="V12" s="248">
        <v>0.2</v>
      </c>
      <c r="W12" s="248">
        <v>5.000000000000001E-3</v>
      </c>
      <c r="X12" s="531">
        <v>2.1713263329772359E-2</v>
      </c>
      <c r="Y12" s="333">
        <v>0</v>
      </c>
      <c r="Z12" s="334"/>
      <c r="AA12" s="260"/>
    </row>
    <row r="13" spans="1:27">
      <c r="C13" s="28"/>
      <c r="D13" s="302"/>
      <c r="E13" s="303"/>
      <c r="G13" s="296"/>
      <c r="I13" s="296"/>
      <c r="J13" s="296"/>
      <c r="K13" s="481"/>
      <c r="L13" s="296"/>
      <c r="M13" s="296"/>
      <c r="N13" s="296"/>
      <c r="O13" s="296"/>
      <c r="P13" s="296"/>
      <c r="Q13" s="296"/>
      <c r="R13" s="296"/>
      <c r="S13" s="296"/>
      <c r="T13" s="296"/>
      <c r="U13" s="316"/>
      <c r="V13" s="243"/>
      <c r="W13" s="243"/>
      <c r="X13" s="252"/>
      <c r="Y13" s="256"/>
      <c r="Z13" s="243"/>
      <c r="AA13" s="261"/>
    </row>
    <row r="14" spans="1:27" ht="15.5">
      <c r="A14" s="23" t="s">
        <v>37</v>
      </c>
      <c r="B14" s="69" t="s">
        <v>38</v>
      </c>
      <c r="C14" s="28"/>
      <c r="D14" s="297">
        <f>($C15*D15+$C16*D16+$C17*D17+$C18*D18+$C19*D19+$C20*D20+$C21*D21+$C22*D22+$C23*D23)/1000</f>
        <v>2259.0590307604957</v>
      </c>
      <c r="E14" s="298">
        <f>($C15*E15+$C16*E16+$C17*E17+$C18*E18+$C19*E19+$C20*E20+$C21*E21+$C22*E22+$C23*E23)/1000</f>
        <v>5719.609008178124</v>
      </c>
      <c r="F14" s="124">
        <f t="shared" ref="F14:J14" si="2">($C15*F15+$C16*F16+$C17*F17+$C18*F18+$C19*F19+$C20*F20+$C21*F21+$C22*F22+$C23*F23)/1000</f>
        <v>397.22955319583997</v>
      </c>
      <c r="G14" s="298">
        <f t="shared" si="2"/>
        <v>231.14065135521599</v>
      </c>
      <c r="H14" s="124">
        <f t="shared" si="2"/>
        <v>1916.4830652037438</v>
      </c>
      <c r="I14" s="298">
        <f>($C15*I15+$C16*I16+$C17*I17+$C18*I18+$C19*I19+$C20*I20+$C21*I21+$C22*I22+$C23*I23)</f>
        <v>10519049.402921403</v>
      </c>
      <c r="J14" s="298">
        <f t="shared" si="2"/>
        <v>323.69783199825605</v>
      </c>
      <c r="K14" s="298">
        <f>($C15*K15+$C16*K16+$C17*K17+$C18*K18+$C19*K19+$C20*K20+$C21*K21+K22*C22+K23*C23)/1000</f>
        <v>32.369783199825598</v>
      </c>
      <c r="L14" s="297">
        <f>($C15*L15+$C16*L16+$C17*L17+$C18*L18+$C19*L19+$C20*L20+$C21*L21+$C22*L22+$C23*L23)/1000</f>
        <v>38.652601628987767</v>
      </c>
      <c r="M14" s="298">
        <f t="shared" ref="M14:W14" si="3">($C15*M15+$C16*M16+$C17*M17+$C18*M18+$C19*M19+$C20*M20+$C21*M21+$C22*M22+$C23*M23)/1000</f>
        <v>7.1578891905532895</v>
      </c>
      <c r="N14" s="298">
        <f t="shared" si="3"/>
        <v>237.64192112636928</v>
      </c>
      <c r="O14" s="298">
        <f t="shared" si="3"/>
        <v>239.07349896447982</v>
      </c>
      <c r="P14" s="298">
        <f t="shared" si="3"/>
        <v>38.652601628987767</v>
      </c>
      <c r="Q14" s="298">
        <f t="shared" si="3"/>
        <v>1434.4409937868791</v>
      </c>
      <c r="R14" s="298">
        <f t="shared" si="3"/>
        <v>125.97884975373792</v>
      </c>
      <c r="S14" s="298">
        <f t="shared" si="3"/>
        <v>51.53680217198368</v>
      </c>
      <c r="T14" s="298">
        <f t="shared" si="3"/>
        <v>173.90839504373179</v>
      </c>
      <c r="U14" s="297">
        <f>($C15*U15+$C16*U16+$C17*U17+$C18*U18+$C19*U19+$C20*U20+$C21*U21+$C22*U22+$C23*U23)/1000</f>
        <v>1027.78230259008</v>
      </c>
      <c r="V14" s="247">
        <f t="shared" si="3"/>
        <v>846.78159935223448</v>
      </c>
      <c r="W14" s="247">
        <f t="shared" si="3"/>
        <v>29.140383999260944</v>
      </c>
      <c r="X14" s="250">
        <f t="shared" ref="X14" si="4">($C15*X15+$C16*X16+$C17*X17+$C18*X18+$C19*X19+$C20*X20+$C21*X21+$C22*X22)/1000</f>
        <v>0.89728600000000003</v>
      </c>
      <c r="Y14" s="254">
        <f>($C15*Y15+$C16*Y16+$C17*Y17+$C18*Y18+$C19*Y19+$C20*Y20+$C21*Y21+$C22*Y22+$C23*Y23)</f>
        <v>18.150819190714287</v>
      </c>
      <c r="Z14" s="247">
        <f t="shared" ref="Z14:AA14" si="5">($C15*Z15+$C16*Z16+$C17*Z17+$C18*Z18+$C19*Z19+$C20*Z20+$C21*Z21+$C22*Z22+$C23*Z23)</f>
        <v>0</v>
      </c>
      <c r="AA14" s="258">
        <f t="shared" si="5"/>
        <v>0</v>
      </c>
    </row>
    <row r="15" spans="1:27" ht="15.5">
      <c r="A15" s="3"/>
      <c r="B15" s="2" t="s">
        <v>53</v>
      </c>
      <c r="C15" s="29">
        <v>6047.8702812000001</v>
      </c>
      <c r="D15" s="299">
        <v>0.21713263329772359</v>
      </c>
      <c r="E15" s="300">
        <v>35.339186381754573</v>
      </c>
      <c r="F15" s="187">
        <v>2</v>
      </c>
      <c r="G15" s="306">
        <v>1</v>
      </c>
      <c r="H15" s="187">
        <v>10</v>
      </c>
      <c r="I15" s="311">
        <v>65.591620000000006</v>
      </c>
      <c r="J15" s="308">
        <v>2</v>
      </c>
      <c r="K15" s="482">
        <v>0.2</v>
      </c>
      <c r="L15" s="317">
        <v>0</v>
      </c>
      <c r="M15" s="317">
        <v>0</v>
      </c>
      <c r="N15" s="317">
        <v>0</v>
      </c>
      <c r="O15" s="317">
        <v>0</v>
      </c>
      <c r="P15" s="317">
        <v>0</v>
      </c>
      <c r="Q15" s="317">
        <v>0</v>
      </c>
      <c r="R15" s="317">
        <v>0</v>
      </c>
      <c r="S15" s="317">
        <v>0</v>
      </c>
      <c r="T15" s="317">
        <v>0</v>
      </c>
      <c r="U15" s="315">
        <v>0.2</v>
      </c>
      <c r="V15" s="248">
        <v>0.2</v>
      </c>
      <c r="W15" s="248">
        <v>5.000000000000001E-3</v>
      </c>
      <c r="X15" s="535">
        <v>2.1713263329772359E-2</v>
      </c>
      <c r="Y15" s="255">
        <v>0</v>
      </c>
      <c r="Z15" s="263"/>
      <c r="AA15" s="259"/>
    </row>
    <row r="16" spans="1:27" ht="15.5">
      <c r="A16" s="3"/>
      <c r="B16" s="2" t="s">
        <v>54</v>
      </c>
      <c r="C16" s="29">
        <v>105852.03646780799</v>
      </c>
      <c r="D16" s="299">
        <v>0.39124379724182257</v>
      </c>
      <c r="E16" s="300">
        <v>35.339186381754573</v>
      </c>
      <c r="F16" s="186">
        <v>2.5</v>
      </c>
      <c r="G16" s="308">
        <v>1</v>
      </c>
      <c r="H16" s="186">
        <v>13</v>
      </c>
      <c r="I16" s="311">
        <v>56.069992929332656</v>
      </c>
      <c r="J16" s="308">
        <v>2</v>
      </c>
      <c r="K16" s="482">
        <v>0.2</v>
      </c>
      <c r="L16" s="317">
        <v>0</v>
      </c>
      <c r="M16" s="317">
        <v>0</v>
      </c>
      <c r="N16" s="317">
        <v>0</v>
      </c>
      <c r="O16" s="317">
        <v>0</v>
      </c>
      <c r="P16" s="317">
        <v>0</v>
      </c>
      <c r="Q16" s="317">
        <v>0</v>
      </c>
      <c r="R16" s="317">
        <v>0</v>
      </c>
      <c r="S16" s="317">
        <v>0</v>
      </c>
      <c r="T16" s="317">
        <v>0</v>
      </c>
      <c r="U16" s="315">
        <v>5</v>
      </c>
      <c r="V16" s="248">
        <v>5</v>
      </c>
      <c r="W16" s="248">
        <v>0.125</v>
      </c>
      <c r="X16" s="251">
        <v>0</v>
      </c>
      <c r="Y16" s="255">
        <v>0</v>
      </c>
      <c r="Z16" s="263"/>
      <c r="AA16" s="259"/>
    </row>
    <row r="17" spans="1:28" ht="15.5">
      <c r="A17" s="3"/>
      <c r="B17" s="2" t="s">
        <v>56</v>
      </c>
      <c r="C17" s="29">
        <v>0</v>
      </c>
      <c r="D17" s="301">
        <v>44.350245661526642</v>
      </c>
      <c r="E17" s="300">
        <v>35.339186381754573</v>
      </c>
      <c r="F17" s="188">
        <v>3</v>
      </c>
      <c r="G17" s="307">
        <v>7</v>
      </c>
      <c r="H17" s="188">
        <v>60</v>
      </c>
      <c r="I17" s="311">
        <v>71.900000000000006</v>
      </c>
      <c r="J17" s="307">
        <v>2</v>
      </c>
      <c r="K17" s="482">
        <v>0.2</v>
      </c>
      <c r="L17" s="317">
        <v>0.77384120744887253</v>
      </c>
      <c r="M17" s="318">
        <v>0.14330392730534675</v>
      </c>
      <c r="N17" s="318">
        <v>4.7576903865375133</v>
      </c>
      <c r="O17" s="318">
        <v>4.7863511719985814</v>
      </c>
      <c r="P17" s="318">
        <v>0.77384120744887253</v>
      </c>
      <c r="Q17" s="318">
        <v>28.71810703199149</v>
      </c>
      <c r="R17" s="318">
        <v>2.5221491205741033</v>
      </c>
      <c r="S17" s="318">
        <v>1.0317882765984967</v>
      </c>
      <c r="T17" s="318">
        <v>3.4817186097302617</v>
      </c>
      <c r="U17" s="315">
        <v>10</v>
      </c>
      <c r="V17" s="248">
        <v>2.5</v>
      </c>
      <c r="W17" s="248">
        <v>0.83750000000000002</v>
      </c>
      <c r="X17" s="535">
        <v>2.2965951598797683E-2</v>
      </c>
      <c r="Y17" s="533">
        <v>3.6338697129754738E-4</v>
      </c>
      <c r="Z17" s="264"/>
      <c r="AA17" s="260"/>
    </row>
    <row r="18" spans="1:28" ht="15.5">
      <c r="A18" s="3"/>
      <c r="B18" s="2" t="s">
        <v>55</v>
      </c>
      <c r="C18" s="29">
        <v>0</v>
      </c>
      <c r="D18" s="301">
        <v>22.747228250237711</v>
      </c>
      <c r="E18" s="300">
        <v>35.339186381754573</v>
      </c>
      <c r="F18" s="188">
        <v>3</v>
      </c>
      <c r="G18" s="307">
        <v>7</v>
      </c>
      <c r="H18" s="188">
        <v>60</v>
      </c>
      <c r="I18" s="311">
        <v>73.338305545600491</v>
      </c>
      <c r="J18" s="307">
        <v>2</v>
      </c>
      <c r="K18" s="482">
        <v>0.2</v>
      </c>
      <c r="L18" s="317">
        <v>0.77384120744887253</v>
      </c>
      <c r="M18" s="318">
        <v>0.14330392730534675</v>
      </c>
      <c r="N18" s="318">
        <v>4.7576903865375133</v>
      </c>
      <c r="O18" s="318">
        <v>4.7863511719985814</v>
      </c>
      <c r="P18" s="318">
        <v>0.77384120744887253</v>
      </c>
      <c r="Q18" s="318">
        <v>28.71810703199149</v>
      </c>
      <c r="R18" s="318">
        <v>2.5221491205741033</v>
      </c>
      <c r="S18" s="318">
        <v>1.0317882765984967</v>
      </c>
      <c r="T18" s="318">
        <v>3.4817186097302617</v>
      </c>
      <c r="U18" s="315">
        <v>5</v>
      </c>
      <c r="V18" s="248">
        <v>1.25</v>
      </c>
      <c r="W18" s="248">
        <v>0.41875000000000001</v>
      </c>
      <c r="X18" s="535">
        <v>2.2965951598797683E-2</v>
      </c>
      <c r="Y18" s="533">
        <v>3.6338697129754738E-4</v>
      </c>
      <c r="Z18" s="264"/>
      <c r="AA18" s="260"/>
    </row>
    <row r="19" spans="1:28" ht="15.5">
      <c r="A19" s="3"/>
      <c r="B19" s="2" t="s">
        <v>40</v>
      </c>
      <c r="C19" s="29">
        <v>435.50926127999998</v>
      </c>
      <c r="D19" s="301">
        <v>46.832528750489395</v>
      </c>
      <c r="E19" s="300">
        <v>35.339186381754573</v>
      </c>
      <c r="F19" s="188">
        <v>3</v>
      </c>
      <c r="G19" s="307">
        <v>0.1</v>
      </c>
      <c r="H19" s="188">
        <v>10</v>
      </c>
      <c r="I19" s="311">
        <v>74.099999999999994</v>
      </c>
      <c r="J19" s="307">
        <v>2</v>
      </c>
      <c r="K19" s="482">
        <v>0.2</v>
      </c>
      <c r="L19" s="317">
        <v>0.77384120744887253</v>
      </c>
      <c r="M19" s="318">
        <v>0.14330392730534675</v>
      </c>
      <c r="N19" s="318">
        <v>4.7576903865375133</v>
      </c>
      <c r="O19" s="318">
        <v>4.7863511719985814</v>
      </c>
      <c r="P19" s="318">
        <v>0.77384120744887253</v>
      </c>
      <c r="Q19" s="318">
        <v>28.71810703199149</v>
      </c>
      <c r="R19" s="318">
        <v>2.5221491205741033</v>
      </c>
      <c r="S19" s="318">
        <v>1.0317882765984967</v>
      </c>
      <c r="T19" s="318">
        <v>3.4817186097302617</v>
      </c>
      <c r="U19" s="315">
        <v>5</v>
      </c>
      <c r="V19" s="248">
        <v>1.25</v>
      </c>
      <c r="W19" s="248">
        <v>0.41875000000000001</v>
      </c>
      <c r="X19" s="535">
        <v>2.3416264375244699E-2</v>
      </c>
      <c r="Y19" s="533">
        <v>3.6338697129754738E-4</v>
      </c>
      <c r="Z19" s="264"/>
      <c r="AA19" s="260"/>
    </row>
    <row r="20" spans="1:28" ht="15.5">
      <c r="A20" s="3"/>
      <c r="B20" s="2" t="s">
        <v>42</v>
      </c>
      <c r="C20" s="29">
        <v>715.93543123199993</v>
      </c>
      <c r="D20" s="301">
        <v>44.350245661526642</v>
      </c>
      <c r="E20" s="300">
        <v>35.339186381754573</v>
      </c>
      <c r="F20" s="188">
        <v>3</v>
      </c>
      <c r="G20" s="307">
        <v>3</v>
      </c>
      <c r="H20" s="188">
        <v>10</v>
      </c>
      <c r="I20" s="312">
        <v>76.475036910814254</v>
      </c>
      <c r="J20" s="307">
        <v>2</v>
      </c>
      <c r="K20" s="482">
        <v>0.2</v>
      </c>
      <c r="L20" s="317">
        <v>0.77384120744887253</v>
      </c>
      <c r="M20" s="318">
        <v>0.14330392730534675</v>
      </c>
      <c r="N20" s="318">
        <v>4.7576903865375133</v>
      </c>
      <c r="O20" s="318">
        <v>4.7863511719985814</v>
      </c>
      <c r="P20" s="318">
        <v>0.77384120744887253</v>
      </c>
      <c r="Q20" s="318">
        <v>28.71810703199149</v>
      </c>
      <c r="R20" s="318">
        <v>2.5221491205741033</v>
      </c>
      <c r="S20" s="318">
        <v>1.0317882765984967</v>
      </c>
      <c r="T20" s="318">
        <v>3.4817186097302617</v>
      </c>
      <c r="U20" s="315">
        <v>10</v>
      </c>
      <c r="V20" s="248">
        <v>7.6587301587301591</v>
      </c>
      <c r="W20" s="248">
        <v>0.42888888888888893</v>
      </c>
      <c r="X20" s="535">
        <v>2.4372030268111831E-2</v>
      </c>
      <c r="Y20" s="533">
        <v>3.6338697129754738E-4</v>
      </c>
      <c r="Z20" s="528">
        <v>0</v>
      </c>
      <c r="AA20" s="260"/>
    </row>
    <row r="21" spans="1:28" ht="15.5">
      <c r="A21" s="3"/>
      <c r="B21" s="2" t="s">
        <v>41</v>
      </c>
      <c r="C21" s="29">
        <v>7196.2080331679999</v>
      </c>
      <c r="D21" s="301">
        <v>44.350245661526642</v>
      </c>
      <c r="E21" s="300">
        <v>35.339186381754573</v>
      </c>
      <c r="F21" s="188">
        <v>3</v>
      </c>
      <c r="G21" s="307">
        <v>3</v>
      </c>
      <c r="H21" s="188">
        <v>10</v>
      </c>
      <c r="I21" s="312">
        <v>76.475036910814254</v>
      </c>
      <c r="J21" s="307">
        <v>2</v>
      </c>
      <c r="K21" s="482">
        <v>0.2</v>
      </c>
      <c r="L21" s="317">
        <v>0.77384120744887253</v>
      </c>
      <c r="M21" s="318">
        <v>0.14330392730534675</v>
      </c>
      <c r="N21" s="318">
        <v>4.7576903865375133</v>
      </c>
      <c r="O21" s="318">
        <v>4.7863511719985814</v>
      </c>
      <c r="P21" s="318">
        <v>0.77384120744887253</v>
      </c>
      <c r="Q21" s="318">
        <v>28.71810703199149</v>
      </c>
      <c r="R21" s="318">
        <v>2.5221491205741033</v>
      </c>
      <c r="S21" s="318">
        <v>1.0317882765984967</v>
      </c>
      <c r="T21" s="318">
        <v>3.4817186097302617</v>
      </c>
      <c r="U21" s="315">
        <v>10</v>
      </c>
      <c r="V21" s="248">
        <v>7.6587301587301591</v>
      </c>
      <c r="W21" s="248">
        <v>0.42888888888888893</v>
      </c>
      <c r="X21" s="535">
        <v>2.4372030268111831E-2</v>
      </c>
      <c r="Y21" s="533">
        <v>3.6338697129754738E-4</v>
      </c>
      <c r="Z21" s="528">
        <v>0</v>
      </c>
      <c r="AA21" s="260"/>
    </row>
    <row r="22" spans="1:28" ht="15.5">
      <c r="A22" s="3"/>
      <c r="B22" s="2" t="s">
        <v>34</v>
      </c>
      <c r="C22" s="29">
        <v>19562.204190960001</v>
      </c>
      <c r="D22" s="301">
        <v>44.350245661526642</v>
      </c>
      <c r="E22" s="300">
        <v>35.339186381754573</v>
      </c>
      <c r="F22" s="188">
        <v>1.5</v>
      </c>
      <c r="G22" s="307">
        <v>1.5</v>
      </c>
      <c r="H22" s="188">
        <v>9</v>
      </c>
      <c r="I22" s="311">
        <v>95.308235779142592</v>
      </c>
      <c r="J22" s="307">
        <v>2</v>
      </c>
      <c r="K22" s="482">
        <v>0.2</v>
      </c>
      <c r="L22" s="317">
        <v>0.77384120744887253</v>
      </c>
      <c r="M22" s="318">
        <v>0.14330392730534675</v>
      </c>
      <c r="N22" s="318">
        <v>4.7576903865375133</v>
      </c>
      <c r="O22" s="318">
        <v>4.7863511719985814</v>
      </c>
      <c r="P22" s="318">
        <v>0.77384120744887253</v>
      </c>
      <c r="Q22" s="318">
        <v>28.71810703199149</v>
      </c>
      <c r="R22" s="318">
        <v>2.5221491205741033</v>
      </c>
      <c r="S22" s="318">
        <v>1.0317882765984967</v>
      </c>
      <c r="T22" s="318">
        <v>3.4817186097302617</v>
      </c>
      <c r="U22" s="315">
        <v>10</v>
      </c>
      <c r="V22" s="248">
        <v>4.4155844155844157</v>
      </c>
      <c r="W22" s="248">
        <v>0.14571428571428571</v>
      </c>
      <c r="X22" s="535">
        <v>2.8776614051505531E-2</v>
      </c>
      <c r="Y22" s="533">
        <v>3.6338697129754738E-4</v>
      </c>
      <c r="Z22" s="528"/>
      <c r="AA22" s="260"/>
    </row>
    <row r="23" spans="1:28" ht="15.5">
      <c r="A23" s="3"/>
      <c r="B23" s="2" t="s">
        <v>185</v>
      </c>
      <c r="C23" s="29">
        <v>22039.15233348</v>
      </c>
      <c r="D23" s="301">
        <v>44.350245661526642</v>
      </c>
      <c r="E23" s="300">
        <v>35.339186381754573</v>
      </c>
      <c r="F23" s="188">
        <v>3</v>
      </c>
      <c r="G23" s="307">
        <v>3</v>
      </c>
      <c r="H23" s="188">
        <v>10</v>
      </c>
      <c r="I23" s="311">
        <v>76.475036910814254</v>
      </c>
      <c r="J23" s="307">
        <v>2</v>
      </c>
      <c r="K23" s="482">
        <v>0.2</v>
      </c>
      <c r="L23" s="317">
        <v>0.77384120744887253</v>
      </c>
      <c r="M23" s="318">
        <v>0.14330392730534675</v>
      </c>
      <c r="N23" s="318">
        <v>4.7576903865375133</v>
      </c>
      <c r="O23" s="318">
        <v>4.7863511719985814</v>
      </c>
      <c r="P23" s="318">
        <v>0.77384120744887253</v>
      </c>
      <c r="Q23" s="318">
        <v>28.71810703199149</v>
      </c>
      <c r="R23" s="318">
        <v>2.5221491205741033</v>
      </c>
      <c r="S23" s="318">
        <v>1.0317882765984967</v>
      </c>
      <c r="T23" s="318">
        <v>3.4817186097302617</v>
      </c>
      <c r="U23" s="319">
        <v>10</v>
      </c>
      <c r="V23" s="248">
        <v>7.6587301587301591</v>
      </c>
      <c r="W23" s="248">
        <v>0.42888888888888893</v>
      </c>
      <c r="X23" s="535">
        <v>2.4372030268111831E-2</v>
      </c>
      <c r="Y23" s="534">
        <v>3.6338697129754738E-4</v>
      </c>
      <c r="Z23" s="528">
        <v>0</v>
      </c>
      <c r="AA23" s="260"/>
    </row>
    <row r="24" spans="1:28" s="35" customFormat="1" ht="15.5">
      <c r="A24" s="46"/>
      <c r="B24" s="58" t="s">
        <v>65</v>
      </c>
      <c r="C24" s="59"/>
      <c r="D24" s="304">
        <f>D3/$C3*1000</f>
        <v>16.859546818788825</v>
      </c>
      <c r="E24" s="305">
        <f t="shared" ref="E24:W24" si="6">E3/$C3*1000</f>
        <v>28.368118625367575</v>
      </c>
      <c r="F24" s="60">
        <f t="shared" si="6"/>
        <v>2.5604967505747154</v>
      </c>
      <c r="G24" s="305">
        <f t="shared" si="6"/>
        <v>1.6305554704225671</v>
      </c>
      <c r="H24" s="60">
        <f t="shared" si="6"/>
        <v>11.36665215476029</v>
      </c>
      <c r="I24" s="305">
        <f>I3/$C3</f>
        <v>67.44790719974749</v>
      </c>
      <c r="J24" s="305">
        <f t="shared" si="6"/>
        <v>1.6900300895900893</v>
      </c>
      <c r="K24" s="483">
        <f t="shared" si="6"/>
        <v>0.2</v>
      </c>
      <c r="L24" s="305">
        <f t="shared" si="6"/>
        <v>0.31963441984863328</v>
      </c>
      <c r="M24" s="305">
        <f t="shared" si="6"/>
        <v>5.9259090802123791E-2</v>
      </c>
      <c r="N24" s="305">
        <f t="shared" si="6"/>
        <v>2.6717089826942919</v>
      </c>
      <c r="O24" s="305">
        <f t="shared" si="6"/>
        <v>2.2141014237367971</v>
      </c>
      <c r="P24" s="305">
        <f t="shared" si="6"/>
        <v>0.34698470606127252</v>
      </c>
      <c r="Q24" s="305">
        <f t="shared" si="6"/>
        <v>11.267980772342183</v>
      </c>
      <c r="R24" s="305">
        <f t="shared" si="6"/>
        <v>1.0560881354994456</v>
      </c>
      <c r="S24" s="305">
        <f t="shared" si="6"/>
        <v>0.57690969270338943</v>
      </c>
      <c r="T24" s="305">
        <f t="shared" si="6"/>
        <v>1.3068607585666869</v>
      </c>
      <c r="U24" s="304">
        <f t="shared" si="6"/>
        <v>5.8778620329105378</v>
      </c>
      <c r="V24" s="249">
        <f t="shared" si="6"/>
        <v>4.7476174996231864</v>
      </c>
      <c r="W24" s="249">
        <f t="shared" si="6"/>
        <v>0.19254367533100664</v>
      </c>
      <c r="X24" s="253">
        <f>X3/$C3*1000</f>
        <v>7.8969040196255752E-3</v>
      </c>
      <c r="Y24" s="257">
        <f>Y3/$C3</f>
        <v>1.363970573716051E-4</v>
      </c>
      <c r="Z24" s="265">
        <f>Z3/$C3</f>
        <v>0</v>
      </c>
      <c r="AA24" s="262">
        <f>AA3/$C3</f>
        <v>0</v>
      </c>
      <c r="AB24" s="49"/>
    </row>
    <row r="25" spans="1:28">
      <c r="C25" s="32"/>
    </row>
    <row r="27" spans="1:28">
      <c r="B27" s="296" t="s">
        <v>192</v>
      </c>
    </row>
    <row r="28" spans="1:28">
      <c r="B28" s="243" t="s">
        <v>193</v>
      </c>
    </row>
    <row r="29" spans="1:28">
      <c r="B29" s="246" t="s">
        <v>194</v>
      </c>
    </row>
  </sheetData>
  <mergeCells count="4">
    <mergeCell ref="D1:K1"/>
    <mergeCell ref="Y1:AA1"/>
    <mergeCell ref="L1:T1"/>
    <mergeCell ref="U1:W1"/>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B23"/>
  <sheetViews>
    <sheetView workbookViewId="0">
      <selection activeCell="U14" sqref="U14:W17"/>
    </sheetView>
  </sheetViews>
  <sheetFormatPr defaultRowHeight="14.5"/>
  <cols>
    <col min="1" max="1" width="13" customWidth="1"/>
    <col min="2" max="2" width="22.453125" customWidth="1"/>
    <col min="7" max="7" width="8.90625" customWidth="1"/>
    <col min="9" max="9" width="10.54296875" customWidth="1"/>
    <col min="10" max="12" width="8.90625" customWidth="1"/>
    <col min="14" max="15" width="8.90625" customWidth="1"/>
    <col min="17" max="17" width="8.90625" customWidth="1"/>
    <col min="19" max="21" width="8.90625" customWidth="1"/>
    <col min="23" max="23" width="8.90625" customWidth="1"/>
    <col min="24" max="24" width="15" customWidth="1"/>
    <col min="25" max="25" width="12.08984375" customWidth="1"/>
    <col min="26" max="26" width="11.36328125" bestFit="1" customWidth="1"/>
    <col min="27" max="27" width="13.54296875" customWidth="1"/>
  </cols>
  <sheetData>
    <row r="1" spans="1:28" ht="15.5">
      <c r="A1" s="9" t="s">
        <v>26</v>
      </c>
      <c r="B1" s="10" t="s">
        <v>27</v>
      </c>
      <c r="C1" s="28"/>
      <c r="D1" s="592" t="s">
        <v>64</v>
      </c>
      <c r="E1" s="592"/>
      <c r="F1" s="592"/>
      <c r="G1" s="592"/>
      <c r="H1" s="592"/>
      <c r="I1" s="592"/>
      <c r="J1" s="592"/>
      <c r="K1" s="593"/>
      <c r="L1" s="595" t="s">
        <v>108</v>
      </c>
      <c r="M1" s="596"/>
      <c r="N1" s="596"/>
      <c r="O1" s="596"/>
      <c r="P1" s="596"/>
      <c r="Q1" s="596"/>
      <c r="R1" s="596"/>
      <c r="S1" s="596"/>
      <c r="T1" s="596"/>
      <c r="U1" s="592" t="s">
        <v>64</v>
      </c>
      <c r="V1" s="592"/>
      <c r="W1" s="593"/>
      <c r="X1" s="50" t="s">
        <v>45</v>
      </c>
      <c r="Y1" s="594" t="s">
        <v>46</v>
      </c>
      <c r="Z1" s="594"/>
      <c r="AA1" s="594"/>
      <c r="AB1" s="4"/>
    </row>
    <row r="2" spans="1:28">
      <c r="C2" s="31" t="s">
        <v>0</v>
      </c>
      <c r="D2" s="55" t="s">
        <v>1</v>
      </c>
      <c r="E2" s="8" t="s">
        <v>2</v>
      </c>
      <c r="F2" s="6" t="s">
        <v>3</v>
      </c>
      <c r="G2" s="6" t="s">
        <v>4</v>
      </c>
      <c r="H2" s="6" t="s">
        <v>5</v>
      </c>
      <c r="I2" s="8" t="s">
        <v>47</v>
      </c>
      <c r="J2" s="6" t="s">
        <v>7</v>
      </c>
      <c r="K2" s="7" t="s">
        <v>8</v>
      </c>
      <c r="L2" s="6" t="s">
        <v>9</v>
      </c>
      <c r="M2" s="6" t="s">
        <v>10</v>
      </c>
      <c r="N2" s="6" t="s">
        <v>11</v>
      </c>
      <c r="O2" s="6" t="s">
        <v>12</v>
      </c>
      <c r="P2" s="6" t="s">
        <v>13</v>
      </c>
      <c r="Q2" s="6" t="s">
        <v>14</v>
      </c>
      <c r="R2" s="6" t="s">
        <v>15</v>
      </c>
      <c r="S2" s="6" t="s">
        <v>16</v>
      </c>
      <c r="T2" s="6" t="s">
        <v>17</v>
      </c>
      <c r="U2" s="5" t="s">
        <v>18</v>
      </c>
      <c r="V2" s="6" t="s">
        <v>106</v>
      </c>
      <c r="W2" s="7" t="s">
        <v>184</v>
      </c>
      <c r="X2" s="51" t="s">
        <v>19</v>
      </c>
      <c r="Y2" s="6" t="s">
        <v>20</v>
      </c>
      <c r="Z2" s="6" t="s">
        <v>21</v>
      </c>
      <c r="AA2" s="6" t="s">
        <v>22</v>
      </c>
      <c r="AB2" s="4"/>
    </row>
    <row r="3" spans="1:28">
      <c r="C3" s="115">
        <f>SUM(C5:C10,C14:C17)</f>
        <v>31438.096004848991</v>
      </c>
      <c r="D3" s="38">
        <f t="shared" ref="D3:AA3" si="0">D4+D12</f>
        <v>1078.3003555452151</v>
      </c>
      <c r="E3" s="38">
        <f t="shared" si="0"/>
        <v>1647.9279999999999</v>
      </c>
      <c r="F3" s="38">
        <f t="shared" si="0"/>
        <v>274.8391623263725</v>
      </c>
      <c r="G3" s="38">
        <f t="shared" si="0"/>
        <v>246.95402648526328</v>
      </c>
      <c r="H3" s="38">
        <f t="shared" si="0"/>
        <v>5771.445356423369</v>
      </c>
      <c r="I3" s="38">
        <f t="shared" si="0"/>
        <v>2683038.0025474299</v>
      </c>
      <c r="J3" s="38">
        <f t="shared" si="0"/>
        <v>17.501337031009175</v>
      </c>
      <c r="K3" s="267">
        <f t="shared" si="0"/>
        <v>0.16009640552663504</v>
      </c>
      <c r="L3" s="40">
        <f t="shared" si="0"/>
        <v>4.7897063888878391</v>
      </c>
      <c r="M3" s="38">
        <f t="shared" si="0"/>
        <v>0.89806994791646977</v>
      </c>
      <c r="N3" s="38">
        <f t="shared" si="0"/>
        <v>145.44855163759647</v>
      </c>
      <c r="O3" s="38">
        <f t="shared" si="0"/>
        <v>68.552672690957195</v>
      </c>
      <c r="P3" s="38">
        <f t="shared" si="0"/>
        <v>9.2800561284701875</v>
      </c>
      <c r="Q3" s="38">
        <f t="shared" si="0"/>
        <v>80.227582013871285</v>
      </c>
      <c r="R3" s="38">
        <f t="shared" si="0"/>
        <v>17.96139895832939</v>
      </c>
      <c r="S3" s="38">
        <f t="shared" si="0"/>
        <v>31.133091527770954</v>
      </c>
      <c r="T3" s="38">
        <f t="shared" si="0"/>
        <v>0</v>
      </c>
      <c r="U3" s="38">
        <f t="shared" si="0"/>
        <v>7.4895775746279201</v>
      </c>
      <c r="V3" s="38">
        <f t="shared" ref="V3:W3" si="1">V4+V12</f>
        <v>5.2518822725647878</v>
      </c>
      <c r="W3" s="38">
        <f t="shared" si="1"/>
        <v>2.2850272102917373</v>
      </c>
      <c r="X3" s="125">
        <f t="shared" si="0"/>
        <v>0</v>
      </c>
      <c r="Y3" s="233">
        <f t="shared" si="0"/>
        <v>13.506617649999997</v>
      </c>
      <c r="Z3" s="38">
        <f t="shared" si="0"/>
        <v>0</v>
      </c>
      <c r="AA3" s="126">
        <f t="shared" si="0"/>
        <v>0</v>
      </c>
      <c r="AB3" s="4"/>
    </row>
    <row r="4" spans="1:28" ht="15.5">
      <c r="A4" s="2" t="s">
        <v>50</v>
      </c>
      <c r="B4" s="2"/>
      <c r="D4" s="320">
        <f>($C5*D5+$C6*D6+$C7*D7+$C8*D8+$C9*D9+$C10*D10)/1000</f>
        <v>426.59168543600458</v>
      </c>
      <c r="E4" s="320">
        <f>($C5*E5+$C6*E6+$C7*E7+$C8*E8+$C9*E9+$C10*E10)/1000</f>
        <v>857.06399999999974</v>
      </c>
      <c r="F4" s="39">
        <f>($C5*F5+$C6*F6+$C7*F7+$C8*F8+$C9*F9+$C10*F10)/1000</f>
        <v>74.839162326372474</v>
      </c>
      <c r="G4" s="320">
        <f>($C5*G5+$C6*G6+$C7*G7+$C8*G8+$C9*G9+$C10*G10)/1000</f>
        <v>44.903497395823486</v>
      </c>
      <c r="H4" s="39">
        <f>($C5*H5+$C6*H6+$C7*H7+$C8*H8+$C9*H9+$C10*H10)/1000</f>
        <v>537.44267897845839</v>
      </c>
      <c r="I4" s="320">
        <f>($C5*I5+$C6*I6+$C7*I7+$C8*I8+$C9*I9+$C10*I10)</f>
        <v>2615643.9625017438</v>
      </c>
      <c r="J4" s="320">
        <f t="shared" ref="J4:U4" si="2">($C5*J5+$C6*J6+$C7*J7+$C8*J8+$C9*J9+$C10*J10)/1000</f>
        <v>15.247690419559175</v>
      </c>
      <c r="K4" s="62">
        <f t="shared" si="2"/>
        <v>0</v>
      </c>
      <c r="L4" s="320">
        <f t="shared" si="2"/>
        <v>4.7897063888878391</v>
      </c>
      <c r="M4" s="320">
        <f t="shared" si="2"/>
        <v>0.89806994791646977</v>
      </c>
      <c r="N4" s="320">
        <f t="shared" si="2"/>
        <v>145.44855163759647</v>
      </c>
      <c r="O4" s="320">
        <f t="shared" si="2"/>
        <v>68.552672690957195</v>
      </c>
      <c r="P4" s="320">
        <f t="shared" si="2"/>
        <v>9.2800561284701875</v>
      </c>
      <c r="Q4" s="320">
        <f t="shared" si="2"/>
        <v>80.227582013871285</v>
      </c>
      <c r="R4" s="320">
        <f t="shared" si="2"/>
        <v>17.96139895832939</v>
      </c>
      <c r="S4" s="320">
        <f t="shared" si="2"/>
        <v>31.133091527770954</v>
      </c>
      <c r="T4" s="320">
        <f t="shared" si="2"/>
        <v>0</v>
      </c>
      <c r="U4" s="320">
        <f t="shared" si="2"/>
        <v>0.62900000000000011</v>
      </c>
      <c r="V4" s="268">
        <f t="shared" ref="V4:AA4" si="3">($C5*V5+$C6*V6+$C7*V7+$C8*V8+$C9*V9+$C10*V10)/1000</f>
        <v>0.47553079655800817</v>
      </c>
      <c r="W4" s="268">
        <f t="shared" si="3"/>
        <v>1.6260259188516552E-2</v>
      </c>
      <c r="X4" s="462">
        <f t="shared" si="3"/>
        <v>0</v>
      </c>
      <c r="Y4" s="462">
        <f t="shared" si="3"/>
        <v>0</v>
      </c>
      <c r="Z4" s="463">
        <f t="shared" si="3"/>
        <v>0</v>
      </c>
      <c r="AA4" s="462">
        <f t="shared" si="3"/>
        <v>0</v>
      </c>
      <c r="AB4" s="4"/>
    </row>
    <row r="5" spans="1:28" ht="15.5">
      <c r="A5" s="2"/>
      <c r="B5" s="2" t="s">
        <v>58</v>
      </c>
      <c r="C5" s="28"/>
      <c r="D5" s="300">
        <v>26.260501013345653</v>
      </c>
      <c r="E5" s="300">
        <v>40</v>
      </c>
      <c r="F5" s="119">
        <v>1.5</v>
      </c>
      <c r="G5" s="327">
        <v>1.5</v>
      </c>
      <c r="H5" s="119">
        <v>12</v>
      </c>
      <c r="I5" s="330">
        <v>92.227254202533359</v>
      </c>
      <c r="J5" s="327">
        <v>1.5</v>
      </c>
      <c r="K5" s="120">
        <v>0.48</v>
      </c>
      <c r="L5" s="330">
        <v>8.3728016965254177</v>
      </c>
      <c r="M5" s="330">
        <v>0.14819118046947641</v>
      </c>
      <c r="N5" s="330">
        <v>10.595669403567562</v>
      </c>
      <c r="O5" s="330">
        <v>2.8156324289200514</v>
      </c>
      <c r="P5" s="330">
        <v>0.85209928769948917</v>
      </c>
      <c r="Q5" s="330">
        <v>6.6315553260090674</v>
      </c>
      <c r="R5" s="330">
        <v>4.6309743896711373</v>
      </c>
      <c r="S5" s="330">
        <v>4.5939265945537686</v>
      </c>
      <c r="T5" s="330">
        <v>9.8122244420744664</v>
      </c>
      <c r="U5" s="330">
        <v>5.25</v>
      </c>
      <c r="V5" s="269">
        <v>3.9690567280278901</v>
      </c>
      <c r="W5" s="270">
        <v>0.13571758464183131</v>
      </c>
      <c r="X5" s="272">
        <v>3.7613527027952121E-3</v>
      </c>
      <c r="Y5" s="277">
        <v>9.4748474583411386E-7</v>
      </c>
      <c r="Z5" s="283">
        <v>3.3000000000000002E-9</v>
      </c>
      <c r="AA5" s="279">
        <v>5.0953791280532467E-7</v>
      </c>
      <c r="AB5" s="4"/>
    </row>
    <row r="6" spans="1:28" ht="15.5">
      <c r="A6" s="2"/>
      <c r="B6" s="2" t="s">
        <v>39</v>
      </c>
      <c r="C6" s="29">
        <v>21182.719268760222</v>
      </c>
      <c r="D6" s="321">
        <v>0.13281876325378345</v>
      </c>
      <c r="E6" s="300">
        <v>10.088561527618966</v>
      </c>
      <c r="F6" s="119">
        <v>2.5</v>
      </c>
      <c r="G6" s="327">
        <v>1.5</v>
      </c>
      <c r="H6" s="119">
        <v>20</v>
      </c>
      <c r="I6" s="330">
        <v>59.088958691145862</v>
      </c>
      <c r="J6" s="327">
        <v>0.1</v>
      </c>
      <c r="K6" s="120">
        <v>0</v>
      </c>
      <c r="L6" s="330">
        <v>0.16</v>
      </c>
      <c r="M6" s="330">
        <v>0.03</v>
      </c>
      <c r="N6" s="330">
        <v>4.8587045577587276</v>
      </c>
      <c r="O6" s="330">
        <v>2.29</v>
      </c>
      <c r="P6" s="330">
        <v>0.31</v>
      </c>
      <c r="Q6" s="330">
        <v>2.68</v>
      </c>
      <c r="R6" s="330">
        <v>0.6</v>
      </c>
      <c r="S6" s="330">
        <v>1.04</v>
      </c>
      <c r="T6" s="330">
        <v>0</v>
      </c>
      <c r="U6" s="330">
        <v>2.101172636249389E-2</v>
      </c>
      <c r="V6" s="269">
        <v>1.5885092168864259E-2</v>
      </c>
      <c r="W6" s="271">
        <v>5.4317347639481204E-4</v>
      </c>
      <c r="X6" s="273">
        <v>0</v>
      </c>
      <c r="Y6" s="278">
        <v>0</v>
      </c>
      <c r="Z6" s="284"/>
      <c r="AA6" s="278"/>
      <c r="AB6" s="4"/>
    </row>
    <row r="7" spans="1:28" ht="15.5">
      <c r="A7" s="2"/>
      <c r="B7" s="2" t="s">
        <v>49</v>
      </c>
      <c r="C7" s="29">
        <v>0.12412911675218102</v>
      </c>
      <c r="D7" s="300">
        <v>48.415497963204729</v>
      </c>
      <c r="E7" s="300">
        <v>73.502208078754833</v>
      </c>
      <c r="F7" s="119">
        <v>2.5</v>
      </c>
      <c r="G7" s="327">
        <v>1.5</v>
      </c>
      <c r="H7" s="119">
        <v>13</v>
      </c>
      <c r="I7" s="330">
        <v>199.53450000000001</v>
      </c>
      <c r="J7" s="327">
        <v>1.5</v>
      </c>
      <c r="K7" s="120">
        <v>0</v>
      </c>
      <c r="L7" s="330">
        <v>0.16</v>
      </c>
      <c r="M7" s="330">
        <v>0.03</v>
      </c>
      <c r="N7" s="330">
        <v>4.8587045577587276</v>
      </c>
      <c r="O7" s="330">
        <v>2.29</v>
      </c>
      <c r="P7" s="330">
        <v>0.31</v>
      </c>
      <c r="Q7" s="330">
        <v>2.68</v>
      </c>
      <c r="R7" s="330">
        <v>0.6</v>
      </c>
      <c r="S7" s="330">
        <v>1.04</v>
      </c>
      <c r="T7" s="330">
        <v>0</v>
      </c>
      <c r="U7" s="330">
        <v>2.101172636249389E-2</v>
      </c>
      <c r="V7" s="269">
        <v>1.5885092168864259E-2</v>
      </c>
      <c r="W7" s="271">
        <v>5.4317347639481204E-4</v>
      </c>
      <c r="X7" s="273">
        <v>0</v>
      </c>
      <c r="Y7" s="278">
        <v>0</v>
      </c>
      <c r="Z7" s="284"/>
      <c r="AA7" s="278"/>
      <c r="AB7" s="4"/>
    </row>
    <row r="8" spans="1:28" ht="15.5">
      <c r="A8" s="2"/>
      <c r="B8" s="2" t="s">
        <v>52</v>
      </c>
      <c r="C8" s="29">
        <v>3940.9130675161114</v>
      </c>
      <c r="D8" s="300">
        <v>48.415497963204729</v>
      </c>
      <c r="E8" s="300">
        <v>73.502208078754833</v>
      </c>
      <c r="F8" s="119">
        <v>2.5</v>
      </c>
      <c r="G8" s="327">
        <v>1.5</v>
      </c>
      <c r="H8" s="119">
        <v>13</v>
      </c>
      <c r="I8" s="330">
        <v>44.856660114731618</v>
      </c>
      <c r="J8" s="327">
        <v>1.5</v>
      </c>
      <c r="K8" s="120">
        <v>0</v>
      </c>
      <c r="L8" s="330">
        <v>0.16</v>
      </c>
      <c r="M8" s="330">
        <v>0.03</v>
      </c>
      <c r="N8" s="330">
        <v>4.8587045577587276</v>
      </c>
      <c r="O8" s="330">
        <v>2.29</v>
      </c>
      <c r="P8" s="330">
        <v>0.31</v>
      </c>
      <c r="Q8" s="330">
        <v>2.68</v>
      </c>
      <c r="R8" s="330">
        <v>0.6</v>
      </c>
      <c r="S8" s="330">
        <v>1.04</v>
      </c>
      <c r="T8" s="330">
        <v>0</v>
      </c>
      <c r="U8" s="330">
        <v>2.101172636249389E-2</v>
      </c>
      <c r="V8" s="269">
        <v>1.5885092168864259E-2</v>
      </c>
      <c r="W8" s="271">
        <v>5.4317347639481204E-4</v>
      </c>
      <c r="X8" s="273">
        <v>0</v>
      </c>
      <c r="Y8" s="278">
        <v>0</v>
      </c>
      <c r="Z8" s="284"/>
      <c r="AA8" s="278"/>
      <c r="AB8" s="4"/>
    </row>
    <row r="9" spans="1:28" ht="15.5">
      <c r="A9" s="2"/>
      <c r="B9" s="2" t="s">
        <v>48</v>
      </c>
      <c r="C9" s="29">
        <v>4811.9084651559051</v>
      </c>
      <c r="D9" s="300">
        <v>48.415497963204729</v>
      </c>
      <c r="E9" s="300">
        <v>73.502208078754833</v>
      </c>
      <c r="F9" s="119">
        <v>2.5</v>
      </c>
      <c r="G9" s="327">
        <v>1.5</v>
      </c>
      <c r="H9" s="119">
        <v>13</v>
      </c>
      <c r="I9" s="330">
        <v>246.71669904112483</v>
      </c>
      <c r="J9" s="327">
        <v>1.5</v>
      </c>
      <c r="K9" s="120">
        <v>0</v>
      </c>
      <c r="L9" s="330">
        <v>0.16</v>
      </c>
      <c r="M9" s="330">
        <v>0.03</v>
      </c>
      <c r="N9" s="330">
        <v>4.8587045577587276</v>
      </c>
      <c r="O9" s="330">
        <v>2.29</v>
      </c>
      <c r="P9" s="330">
        <v>0.31</v>
      </c>
      <c r="Q9" s="330">
        <v>2.68</v>
      </c>
      <c r="R9" s="330">
        <v>0.6</v>
      </c>
      <c r="S9" s="330">
        <v>1.04</v>
      </c>
      <c r="T9" s="330">
        <v>0</v>
      </c>
      <c r="U9" s="330">
        <v>2.101172636249389E-2</v>
      </c>
      <c r="V9" s="269">
        <v>1.5885092168864259E-2</v>
      </c>
      <c r="W9" s="271">
        <v>5.4317347639481204E-4</v>
      </c>
      <c r="X9" s="273">
        <v>0</v>
      </c>
      <c r="Y9" s="278">
        <v>0</v>
      </c>
      <c r="Z9" s="284"/>
      <c r="AA9" s="278"/>
      <c r="AB9" s="4"/>
    </row>
    <row r="10" spans="1:28" ht="15.5">
      <c r="A10" s="2"/>
      <c r="B10" s="2" t="s">
        <v>42</v>
      </c>
      <c r="C10" s="29">
        <v>0</v>
      </c>
      <c r="D10" s="300">
        <v>39.994909135400064</v>
      </c>
      <c r="E10" s="300">
        <v>23</v>
      </c>
      <c r="F10" s="119">
        <v>3</v>
      </c>
      <c r="G10" s="327">
        <v>3</v>
      </c>
      <c r="H10" s="119">
        <v>15</v>
      </c>
      <c r="I10" s="330">
        <v>76.475036910814254</v>
      </c>
      <c r="J10" s="327">
        <v>0.6</v>
      </c>
      <c r="K10" s="120">
        <v>0</v>
      </c>
      <c r="L10" s="330">
        <v>0.77384120744887253</v>
      </c>
      <c r="M10" s="330">
        <v>0.14330392730534675</v>
      </c>
      <c r="N10" s="330">
        <v>4.7576903865375133</v>
      </c>
      <c r="O10" s="330">
        <v>4.7863511719985814</v>
      </c>
      <c r="P10" s="330">
        <v>0.77384120744887253</v>
      </c>
      <c r="Q10" s="330">
        <v>28.71810703199149</v>
      </c>
      <c r="R10" s="330">
        <v>2.5221491205741033</v>
      </c>
      <c r="S10" s="330">
        <v>1.0317882765984967</v>
      </c>
      <c r="T10" s="330">
        <v>3.4817186097302617</v>
      </c>
      <c r="U10" s="330">
        <v>2.101172636249389E-2</v>
      </c>
      <c r="V10" s="269">
        <v>1.5885092168864259E-2</v>
      </c>
      <c r="W10" s="271">
        <v>5.4317347639481204E-4</v>
      </c>
      <c r="X10" s="272">
        <v>2.4372030268111831E-2</v>
      </c>
      <c r="Y10" s="277">
        <v>8.9031026569412518E-4</v>
      </c>
      <c r="Z10" s="283">
        <v>0</v>
      </c>
      <c r="AA10" s="278"/>
      <c r="AB10" s="4"/>
    </row>
    <row r="11" spans="1:28" ht="15.5">
      <c r="A11" s="2"/>
      <c r="B11" s="2"/>
      <c r="C11" s="29">
        <v>1617559</v>
      </c>
      <c r="D11" s="296"/>
      <c r="E11" s="296"/>
      <c r="F11" s="11"/>
      <c r="G11" s="328"/>
      <c r="H11" s="11"/>
      <c r="I11" s="328"/>
      <c r="J11" s="328"/>
      <c r="K11" s="42"/>
      <c r="L11" s="11"/>
      <c r="M11" s="11"/>
      <c r="N11" s="11"/>
      <c r="O11" s="11"/>
      <c r="P11" s="11"/>
      <c r="Q11" s="11"/>
      <c r="R11" s="11"/>
      <c r="S11" s="11"/>
      <c r="T11" s="11"/>
      <c r="U11" s="328"/>
      <c r="V11" s="11"/>
      <c r="W11" s="42"/>
      <c r="X11" s="63"/>
      <c r="Y11" s="11"/>
      <c r="Z11" s="13"/>
      <c r="AA11" s="14"/>
      <c r="AB11" s="4"/>
    </row>
    <row r="12" spans="1:28" ht="15.5">
      <c r="A12" s="2" t="s">
        <v>28</v>
      </c>
      <c r="B12" s="2" t="s">
        <v>29</v>
      </c>
      <c r="C12" s="29">
        <v>1293349</v>
      </c>
      <c r="D12" s="322">
        <f>$C12*D13/1000000</f>
        <v>651.70867010921052</v>
      </c>
      <c r="E12" s="322">
        <f>$C12*E13/1000000</f>
        <v>790.86400000000003</v>
      </c>
      <c r="F12" s="322">
        <f>$C12*F13/1000000</f>
        <v>200.00000000000003</v>
      </c>
      <c r="G12" s="322">
        <f>$C12*G13/1000000</f>
        <v>202.05052908943981</v>
      </c>
      <c r="H12" s="322">
        <f>$C12*H13/1000000</f>
        <v>5234.0026774449107</v>
      </c>
      <c r="I12" s="322">
        <f>($C14*I14+$C15*I15+$C16*I16+$C17*I17)</f>
        <v>67394.040045686183</v>
      </c>
      <c r="J12" s="324">
        <f>($C14*J14+$C15*J15+$C16*J16+$C17*J17)/1000</f>
        <v>2.2536466114499998</v>
      </c>
      <c r="K12" s="575">
        <f>$C12*K13/1000000</f>
        <v>0.16009640552663504</v>
      </c>
      <c r="L12" s="61"/>
      <c r="M12" s="61"/>
      <c r="N12" s="61"/>
      <c r="O12" s="61"/>
      <c r="P12" s="61"/>
      <c r="Q12" s="61"/>
      <c r="R12" s="61"/>
      <c r="S12" s="61"/>
      <c r="T12" s="61"/>
      <c r="U12" s="331">
        <f t="shared" ref="U12:W12" si="4">$C12*U13/1000000</f>
        <v>6.8605775746279196</v>
      </c>
      <c r="V12" s="285">
        <f t="shared" si="4"/>
        <v>4.7763514760067798</v>
      </c>
      <c r="W12" s="285">
        <f t="shared" si="4"/>
        <v>2.2687669511032209</v>
      </c>
      <c r="X12" s="275"/>
      <c r="Y12" s="536">
        <f>$C11*Y13/1000</f>
        <v>13.506617649999997</v>
      </c>
      <c r="Z12" s="285"/>
      <c r="AA12" s="280"/>
      <c r="AB12" s="4"/>
    </row>
    <row r="13" spans="1:28" ht="15.5">
      <c r="A13" s="2"/>
      <c r="B13" s="2"/>
      <c r="C13" s="266" t="s">
        <v>51</v>
      </c>
      <c r="D13" s="323">
        <v>503.89235241934739</v>
      </c>
      <c r="E13" s="323">
        <v>611.48537633693616</v>
      </c>
      <c r="F13" s="323">
        <v>154.63730207391819</v>
      </c>
      <c r="G13" s="323">
        <v>156.22274350499347</v>
      </c>
      <c r="H13" s="323">
        <v>4046.8602654387259</v>
      </c>
      <c r="I13" s="325">
        <v>822.84804797467655</v>
      </c>
      <c r="J13" s="326">
        <v>10</v>
      </c>
      <c r="K13" s="549">
        <v>0.12378438111185382</v>
      </c>
      <c r="L13" s="11"/>
      <c r="M13" s="11"/>
      <c r="N13" s="11"/>
      <c r="O13" s="11"/>
      <c r="P13" s="11"/>
      <c r="Q13" s="11"/>
      <c r="R13" s="11"/>
      <c r="S13" s="11"/>
      <c r="T13" s="11"/>
      <c r="U13" s="323">
        <v>5.3045060340464332</v>
      </c>
      <c r="V13" s="289">
        <v>3.693010530032327</v>
      </c>
      <c r="W13" s="289">
        <v>1.7541800017653553</v>
      </c>
      <c r="X13" s="540"/>
      <c r="Y13" s="311">
        <v>8.349999999999998E-3</v>
      </c>
      <c r="Z13" s="286"/>
      <c r="AA13" s="281"/>
      <c r="AB13" s="4"/>
    </row>
    <row r="14" spans="1:28" ht="15.5">
      <c r="A14" s="2"/>
      <c r="B14" s="2" t="s">
        <v>61</v>
      </c>
      <c r="C14" s="29">
        <v>0</v>
      </c>
      <c r="D14" s="300">
        <v>368.61275219755316</v>
      </c>
      <c r="E14" s="300">
        <v>492.23520574796515</v>
      </c>
      <c r="F14" s="118">
        <v>1.5</v>
      </c>
      <c r="G14" s="118">
        <v>1.5</v>
      </c>
      <c r="H14" s="118">
        <v>12</v>
      </c>
      <c r="I14" s="300">
        <v>93.490311562612561</v>
      </c>
      <c r="J14" s="321">
        <v>1.5</v>
      </c>
      <c r="K14" s="329">
        <v>0.48</v>
      </c>
      <c r="L14" s="11"/>
      <c r="M14" s="11"/>
      <c r="N14" s="11"/>
      <c r="O14" s="11"/>
      <c r="P14" s="11"/>
      <c r="Q14" s="11"/>
      <c r="R14" s="11"/>
      <c r="S14" s="11"/>
      <c r="T14" s="11"/>
      <c r="U14" s="326">
        <v>26.454579070445956</v>
      </c>
      <c r="V14" s="286">
        <v>18.417744922462376</v>
      </c>
      <c r="W14" s="286">
        <v>8.7484288381696285</v>
      </c>
      <c r="X14" s="272"/>
      <c r="Y14" s="327"/>
      <c r="Z14" s="287"/>
      <c r="AA14" s="279"/>
      <c r="AB14" s="4"/>
    </row>
    <row r="15" spans="1:28" ht="15.5">
      <c r="A15" s="2"/>
      <c r="B15" s="2" t="s">
        <v>59</v>
      </c>
      <c r="C15" s="29">
        <v>0</v>
      </c>
      <c r="D15" s="300">
        <v>64.552945034458347</v>
      </c>
      <c r="E15" s="300">
        <v>40</v>
      </c>
      <c r="F15" s="118">
        <v>1.5</v>
      </c>
      <c r="G15" s="118">
        <v>1.5</v>
      </c>
      <c r="H15" s="118">
        <v>12</v>
      </c>
      <c r="I15" s="300">
        <v>105.30530572883049</v>
      </c>
      <c r="J15" s="321">
        <v>1.5</v>
      </c>
      <c r="K15" s="329">
        <v>0.48</v>
      </c>
      <c r="L15" s="11"/>
      <c r="M15" s="11"/>
      <c r="N15" s="11"/>
      <c r="O15" s="11"/>
      <c r="P15" s="11"/>
      <c r="Q15" s="11"/>
      <c r="R15" s="11"/>
      <c r="S15" s="11"/>
      <c r="T15" s="11"/>
      <c r="U15" s="300">
        <v>7.5</v>
      </c>
      <c r="V15" s="290">
        <v>5.2215189873417724</v>
      </c>
      <c r="W15" s="290">
        <v>2.4802215189873418</v>
      </c>
      <c r="X15" s="272"/>
      <c r="Y15" s="327"/>
      <c r="Z15" s="288"/>
      <c r="AA15" s="282"/>
      <c r="AB15" s="4"/>
    </row>
    <row r="16" spans="1:28" ht="15.5">
      <c r="A16" s="2"/>
      <c r="B16" s="2" t="s">
        <v>52</v>
      </c>
      <c r="C16" s="29">
        <v>1502.4310743000001</v>
      </c>
      <c r="D16" s="300">
        <v>433.76942959785964</v>
      </c>
      <c r="E16" s="300">
        <v>526.38953861392451</v>
      </c>
      <c r="F16" s="118">
        <v>2.5</v>
      </c>
      <c r="G16" s="118">
        <v>1.5</v>
      </c>
      <c r="H16" s="118">
        <v>13</v>
      </c>
      <c r="I16" s="300">
        <v>44.856660114731618</v>
      </c>
      <c r="J16" s="321">
        <v>1.5</v>
      </c>
      <c r="K16" s="329">
        <v>0</v>
      </c>
      <c r="L16" s="11"/>
      <c r="M16" s="11"/>
      <c r="N16" s="11"/>
      <c r="O16" s="11"/>
      <c r="P16" s="11"/>
      <c r="Q16" s="11"/>
      <c r="R16" s="11"/>
      <c r="S16" s="11"/>
      <c r="T16" s="11"/>
      <c r="U16" s="300">
        <v>4.5663176780501171</v>
      </c>
      <c r="V16" s="290">
        <v>3.1790819277564109</v>
      </c>
      <c r="W16" s="290">
        <v>1.510063915684295</v>
      </c>
      <c r="X16" s="272"/>
      <c r="Y16" s="327"/>
      <c r="Z16" s="288"/>
      <c r="AA16" s="282"/>
      <c r="AB16" s="4"/>
    </row>
    <row r="17" spans="1:28" ht="15.5">
      <c r="A17" s="2"/>
      <c r="B17" s="2" t="s">
        <v>48</v>
      </c>
      <c r="C17" s="29">
        <v>0</v>
      </c>
      <c r="D17" s="300">
        <v>48.415497963204729</v>
      </c>
      <c r="E17" s="300">
        <v>73.502208078754833</v>
      </c>
      <c r="F17" s="118">
        <v>2.5</v>
      </c>
      <c r="G17" s="118">
        <v>1.5</v>
      </c>
      <c r="H17" s="118">
        <v>13</v>
      </c>
      <c r="I17" s="300">
        <v>246.71669904112483</v>
      </c>
      <c r="J17" s="321">
        <v>1.5</v>
      </c>
      <c r="K17" s="329">
        <v>0</v>
      </c>
      <c r="L17" s="11"/>
      <c r="M17" s="11"/>
      <c r="N17" s="11"/>
      <c r="O17" s="11"/>
      <c r="P17" s="11"/>
      <c r="Q17" s="11"/>
      <c r="R17" s="11"/>
      <c r="S17" s="11"/>
      <c r="T17" s="11"/>
      <c r="U17" s="300">
        <v>4.5663176780501171</v>
      </c>
      <c r="V17" s="290">
        <v>3.1790819277564109</v>
      </c>
      <c r="W17" s="290">
        <v>1.510063915684295</v>
      </c>
      <c r="X17" s="272"/>
      <c r="Y17" s="327"/>
      <c r="Z17" s="288"/>
      <c r="AA17" s="282"/>
      <c r="AB17" s="4"/>
    </row>
    <row r="18" spans="1:28" s="35" customFormat="1" ht="15.5">
      <c r="A18" s="46"/>
      <c r="B18" s="58" t="s">
        <v>65</v>
      </c>
      <c r="C18" s="59"/>
      <c r="D18" s="305">
        <f>D3/C3*1000</f>
        <v>34.299162245032228</v>
      </c>
      <c r="E18" s="305">
        <f>E3/$C3*1000</f>
        <v>52.418187149305247</v>
      </c>
      <c r="F18" s="60">
        <f>F3/$C3*1000</f>
        <v>8.742233062841386</v>
      </c>
      <c r="G18" s="305">
        <f>G3/$C3*1000</f>
        <v>7.8552475457538282</v>
      </c>
      <c r="H18" s="60">
        <f>H3/$C3*1000</f>
        <v>183.58126253998284</v>
      </c>
      <c r="I18" s="305">
        <f>I3/C3</f>
        <v>85.343527233125059</v>
      </c>
      <c r="J18" s="305">
        <f t="shared" ref="J18:X18" si="5">J3/$C3*1000</f>
        <v>0.55669201558229808</v>
      </c>
      <c r="K18" s="305">
        <f t="shared" si="5"/>
        <v>5.0924332536532073E-3</v>
      </c>
      <c r="L18" s="305">
        <f t="shared" si="5"/>
        <v>0.15235357726972645</v>
      </c>
      <c r="M18" s="332">
        <f t="shared" si="5"/>
        <v>2.8566295738073705E-2</v>
      </c>
      <c r="N18" s="305">
        <f t="shared" si="5"/>
        <v>4.6265063766954135</v>
      </c>
      <c r="O18" s="305">
        <f t="shared" si="5"/>
        <v>2.1805605746729597</v>
      </c>
      <c r="P18" s="305">
        <f t="shared" si="5"/>
        <v>0.29518505596009498</v>
      </c>
      <c r="Q18" s="305">
        <f t="shared" si="5"/>
        <v>2.5519224192679175</v>
      </c>
      <c r="R18" s="305">
        <f t="shared" si="5"/>
        <v>0.57132591476147399</v>
      </c>
      <c r="S18" s="305">
        <f t="shared" si="5"/>
        <v>0.99029825225322188</v>
      </c>
      <c r="T18" s="332">
        <f t="shared" si="5"/>
        <v>0</v>
      </c>
      <c r="U18" s="332">
        <f t="shared" si="5"/>
        <v>0.23823254351894377</v>
      </c>
      <c r="V18" s="291">
        <f t="shared" si="5"/>
        <v>0.16705471831865204</v>
      </c>
      <c r="W18" s="291">
        <f t="shared" si="5"/>
        <v>7.2683384195381812E-2</v>
      </c>
      <c r="X18" s="292">
        <f t="shared" si="5"/>
        <v>0</v>
      </c>
      <c r="Y18" s="537">
        <f>Y3/$C3</f>
        <v>4.2962581601369069E-4</v>
      </c>
      <c r="Z18" s="335">
        <f>Z3/$C3</f>
        <v>0</v>
      </c>
      <c r="AA18" s="292">
        <f>AA3/$C3</f>
        <v>0</v>
      </c>
      <c r="AB18" s="49"/>
    </row>
    <row r="21" spans="1:28">
      <c r="B21" s="296" t="s">
        <v>192</v>
      </c>
    </row>
    <row r="22" spans="1:28">
      <c r="B22" s="243" t="s">
        <v>193</v>
      </c>
    </row>
    <row r="23" spans="1:28">
      <c r="B23" s="246" t="s">
        <v>194</v>
      </c>
    </row>
  </sheetData>
  <mergeCells count="4">
    <mergeCell ref="D1:K1"/>
    <mergeCell ref="Y1:AA1"/>
    <mergeCell ref="L1:T1"/>
    <mergeCell ref="U1:W1"/>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I52"/>
  <sheetViews>
    <sheetView zoomScale="90" zoomScaleNormal="90" workbookViewId="0">
      <selection activeCell="O39" sqref="O39:AH47"/>
    </sheetView>
  </sheetViews>
  <sheetFormatPr defaultRowHeight="14.5"/>
  <cols>
    <col min="1" max="4" width="8.453125" customWidth="1"/>
    <col min="5" max="5" width="17.453125" customWidth="1"/>
    <col min="6" max="6" width="18.453125" style="71" customWidth="1"/>
    <col min="7" max="7" width="10.453125" customWidth="1"/>
    <col min="8" max="8" width="7.453125" customWidth="1"/>
    <col min="9" max="9" width="7.90625" customWidth="1"/>
    <col min="10" max="10" width="8.90625" customWidth="1"/>
    <col min="11" max="11" width="9.08984375" customWidth="1"/>
    <col min="12" max="12" width="8.453125" bestFit="1" customWidth="1"/>
    <col min="13" max="13" width="8.08984375" customWidth="1"/>
    <col min="14" max="14" width="10" bestFit="1" customWidth="1"/>
    <col min="15" max="16" width="9.453125" bestFit="1" customWidth="1"/>
    <col min="17" max="18" width="8.90625" bestFit="1" customWidth="1"/>
    <col min="19" max="22" width="8.90625" customWidth="1"/>
    <col min="253" max="253" width="6.453125" bestFit="1" customWidth="1"/>
    <col min="254" max="254" width="12.54296875" customWidth="1"/>
    <col min="255" max="255" width="10" customWidth="1"/>
    <col min="256" max="256" width="16" customWidth="1"/>
    <col min="257" max="257" width="15.453125" customWidth="1"/>
    <col min="258" max="258" width="14.453125" customWidth="1"/>
    <col min="259" max="259" width="10.453125" customWidth="1"/>
    <col min="260" max="260" width="7.453125" customWidth="1"/>
    <col min="261" max="261" width="10.08984375" customWidth="1"/>
    <col min="262" max="263" width="10.54296875" customWidth="1"/>
    <col min="264" max="264" width="8.453125" bestFit="1" customWidth="1"/>
    <col min="265" max="265" width="7" bestFit="1" customWidth="1"/>
    <col min="266" max="266" width="10" bestFit="1" customWidth="1"/>
    <col min="267" max="267" width="11.08984375" bestFit="1" customWidth="1"/>
    <col min="268" max="268" width="8.54296875" bestFit="1" customWidth="1"/>
    <col min="269" max="270" width="7.54296875" bestFit="1" customWidth="1"/>
    <col min="271" max="271" width="7.54296875" customWidth="1"/>
    <col min="272" max="272" width="8" bestFit="1" customWidth="1"/>
    <col min="273" max="273" width="7.54296875" bestFit="1" customWidth="1"/>
    <col min="274" max="274" width="6.453125" bestFit="1" customWidth="1"/>
    <col min="509" max="509" width="6.453125" bestFit="1" customWidth="1"/>
    <col min="510" max="510" width="12.54296875" customWidth="1"/>
    <col min="511" max="511" width="10" customWidth="1"/>
    <col min="512" max="512" width="16" customWidth="1"/>
    <col min="513" max="513" width="15.453125" customWidth="1"/>
    <col min="514" max="514" width="14.453125" customWidth="1"/>
    <col min="515" max="515" width="10.453125" customWidth="1"/>
    <col min="516" max="516" width="7.453125" customWidth="1"/>
    <col min="517" max="517" width="10.08984375" customWidth="1"/>
    <col min="518" max="519" width="10.54296875" customWidth="1"/>
    <col min="520" max="520" width="8.453125" bestFit="1" customWidth="1"/>
    <col min="521" max="521" width="7" bestFit="1" customWidth="1"/>
    <col min="522" max="522" width="10" bestFit="1" customWidth="1"/>
    <col min="523" max="523" width="11.08984375" bestFit="1" customWidth="1"/>
    <col min="524" max="524" width="8.54296875" bestFit="1" customWidth="1"/>
    <col min="525" max="526" width="7.54296875" bestFit="1" customWidth="1"/>
    <col min="527" max="527" width="7.54296875" customWidth="1"/>
    <col min="528" max="528" width="8" bestFit="1" customWidth="1"/>
    <col min="529" max="529" width="7.54296875" bestFit="1" customWidth="1"/>
    <col min="530" max="530" width="6.453125" bestFit="1" customWidth="1"/>
    <col min="765" max="765" width="6.453125" bestFit="1" customWidth="1"/>
    <col min="766" max="766" width="12.54296875" customWidth="1"/>
    <col min="767" max="767" width="10" customWidth="1"/>
    <col min="768" max="768" width="16" customWidth="1"/>
    <col min="769" max="769" width="15.453125" customWidth="1"/>
    <col min="770" max="770" width="14.453125" customWidth="1"/>
    <col min="771" max="771" width="10.453125" customWidth="1"/>
    <col min="772" max="772" width="7.453125" customWidth="1"/>
    <col min="773" max="773" width="10.08984375" customWidth="1"/>
    <col min="774" max="775" width="10.54296875" customWidth="1"/>
    <col min="776" max="776" width="8.453125" bestFit="1" customWidth="1"/>
    <col min="777" max="777" width="7" bestFit="1" customWidth="1"/>
    <col min="778" max="778" width="10" bestFit="1" customWidth="1"/>
    <col min="779" max="779" width="11.08984375" bestFit="1" customWidth="1"/>
    <col min="780" max="780" width="8.54296875" bestFit="1" customWidth="1"/>
    <col min="781" max="782" width="7.54296875" bestFit="1" customWidth="1"/>
    <col min="783" max="783" width="7.54296875" customWidth="1"/>
    <col min="784" max="784" width="8" bestFit="1" customWidth="1"/>
    <col min="785" max="785" width="7.54296875" bestFit="1" customWidth="1"/>
    <col min="786" max="786" width="6.453125" bestFit="1" customWidth="1"/>
    <col min="1021" max="1021" width="6.453125" bestFit="1" customWidth="1"/>
    <col min="1022" max="1022" width="12.54296875" customWidth="1"/>
    <col min="1023" max="1023" width="10" customWidth="1"/>
    <col min="1024" max="1024" width="16" customWidth="1"/>
    <col min="1025" max="1025" width="15.453125" customWidth="1"/>
    <col min="1026" max="1026" width="14.453125" customWidth="1"/>
    <col min="1027" max="1027" width="10.453125" customWidth="1"/>
    <col min="1028" max="1028" width="7.453125" customWidth="1"/>
    <col min="1029" max="1029" width="10.08984375" customWidth="1"/>
    <col min="1030" max="1031" width="10.54296875" customWidth="1"/>
    <col min="1032" max="1032" width="8.453125" bestFit="1" customWidth="1"/>
    <col min="1033" max="1033" width="7" bestFit="1" customWidth="1"/>
    <col min="1034" max="1034" width="10" bestFit="1" customWidth="1"/>
    <col min="1035" max="1035" width="11.08984375" bestFit="1" customWidth="1"/>
    <col min="1036" max="1036" width="8.54296875" bestFit="1" customWidth="1"/>
    <col min="1037" max="1038" width="7.54296875" bestFit="1" customWidth="1"/>
    <col min="1039" max="1039" width="7.54296875" customWidth="1"/>
    <col min="1040" max="1040" width="8" bestFit="1" customWidth="1"/>
    <col min="1041" max="1041" width="7.54296875" bestFit="1" customWidth="1"/>
    <col min="1042" max="1042" width="6.453125" bestFit="1" customWidth="1"/>
    <col min="1277" max="1277" width="6.453125" bestFit="1" customWidth="1"/>
    <col min="1278" max="1278" width="12.54296875" customWidth="1"/>
    <col min="1279" max="1279" width="10" customWidth="1"/>
    <col min="1280" max="1280" width="16" customWidth="1"/>
    <col min="1281" max="1281" width="15.453125" customWidth="1"/>
    <col min="1282" max="1282" width="14.453125" customWidth="1"/>
    <col min="1283" max="1283" width="10.453125" customWidth="1"/>
    <col min="1284" max="1284" width="7.453125" customWidth="1"/>
    <col min="1285" max="1285" width="10.08984375" customWidth="1"/>
    <col min="1286" max="1287" width="10.54296875" customWidth="1"/>
    <col min="1288" max="1288" width="8.453125" bestFit="1" customWidth="1"/>
    <col min="1289" max="1289" width="7" bestFit="1" customWidth="1"/>
    <col min="1290" max="1290" width="10" bestFit="1" customWidth="1"/>
    <col min="1291" max="1291" width="11.08984375" bestFit="1" customWidth="1"/>
    <col min="1292" max="1292" width="8.54296875" bestFit="1" customWidth="1"/>
    <col min="1293" max="1294" width="7.54296875" bestFit="1" customWidth="1"/>
    <col min="1295" max="1295" width="7.54296875" customWidth="1"/>
    <col min="1296" max="1296" width="8" bestFit="1" customWidth="1"/>
    <col min="1297" max="1297" width="7.54296875" bestFit="1" customWidth="1"/>
    <col min="1298" max="1298" width="6.453125" bestFit="1" customWidth="1"/>
    <col min="1533" max="1533" width="6.453125" bestFit="1" customWidth="1"/>
    <col min="1534" max="1534" width="12.54296875" customWidth="1"/>
    <col min="1535" max="1535" width="10" customWidth="1"/>
    <col min="1536" max="1536" width="16" customWidth="1"/>
    <col min="1537" max="1537" width="15.453125" customWidth="1"/>
    <col min="1538" max="1538" width="14.453125" customWidth="1"/>
    <col min="1539" max="1539" width="10.453125" customWidth="1"/>
    <col min="1540" max="1540" width="7.453125" customWidth="1"/>
    <col min="1541" max="1541" width="10.08984375" customWidth="1"/>
    <col min="1542" max="1543" width="10.54296875" customWidth="1"/>
    <col min="1544" max="1544" width="8.453125" bestFit="1" customWidth="1"/>
    <col min="1545" max="1545" width="7" bestFit="1" customWidth="1"/>
    <col min="1546" max="1546" width="10" bestFit="1" customWidth="1"/>
    <col min="1547" max="1547" width="11.08984375" bestFit="1" customWidth="1"/>
    <col min="1548" max="1548" width="8.54296875" bestFit="1" customWidth="1"/>
    <col min="1549" max="1550" width="7.54296875" bestFit="1" customWidth="1"/>
    <col min="1551" max="1551" width="7.54296875" customWidth="1"/>
    <col min="1552" max="1552" width="8" bestFit="1" customWidth="1"/>
    <col min="1553" max="1553" width="7.54296875" bestFit="1" customWidth="1"/>
    <col min="1554" max="1554" width="6.453125" bestFit="1" customWidth="1"/>
    <col min="1789" max="1789" width="6.453125" bestFit="1" customWidth="1"/>
    <col min="1790" max="1790" width="12.54296875" customWidth="1"/>
    <col min="1791" max="1791" width="10" customWidth="1"/>
    <col min="1792" max="1792" width="16" customWidth="1"/>
    <col min="1793" max="1793" width="15.453125" customWidth="1"/>
    <col min="1794" max="1794" width="14.453125" customWidth="1"/>
    <col min="1795" max="1795" width="10.453125" customWidth="1"/>
    <col min="1796" max="1796" width="7.453125" customWidth="1"/>
    <col min="1797" max="1797" width="10.08984375" customWidth="1"/>
    <col min="1798" max="1799" width="10.54296875" customWidth="1"/>
    <col min="1800" max="1800" width="8.453125" bestFit="1" customWidth="1"/>
    <col min="1801" max="1801" width="7" bestFit="1" customWidth="1"/>
    <col min="1802" max="1802" width="10" bestFit="1" customWidth="1"/>
    <col min="1803" max="1803" width="11.08984375" bestFit="1" customWidth="1"/>
    <col min="1804" max="1804" width="8.54296875" bestFit="1" customWidth="1"/>
    <col min="1805" max="1806" width="7.54296875" bestFit="1" customWidth="1"/>
    <col min="1807" max="1807" width="7.54296875" customWidth="1"/>
    <col min="1808" max="1808" width="8" bestFit="1" customWidth="1"/>
    <col min="1809" max="1809" width="7.54296875" bestFit="1" customWidth="1"/>
    <col min="1810" max="1810" width="6.453125" bestFit="1" customWidth="1"/>
    <col min="2045" max="2045" width="6.453125" bestFit="1" customWidth="1"/>
    <col min="2046" max="2046" width="12.54296875" customWidth="1"/>
    <col min="2047" max="2047" width="10" customWidth="1"/>
    <col min="2048" max="2048" width="16" customWidth="1"/>
    <col min="2049" max="2049" width="15.453125" customWidth="1"/>
    <col min="2050" max="2050" width="14.453125" customWidth="1"/>
    <col min="2051" max="2051" width="10.453125" customWidth="1"/>
    <col min="2052" max="2052" width="7.453125" customWidth="1"/>
    <col min="2053" max="2053" width="10.08984375" customWidth="1"/>
    <col min="2054" max="2055" width="10.54296875" customWidth="1"/>
    <col min="2056" max="2056" width="8.453125" bestFit="1" customWidth="1"/>
    <col min="2057" max="2057" width="7" bestFit="1" customWidth="1"/>
    <col min="2058" max="2058" width="10" bestFit="1" customWidth="1"/>
    <col min="2059" max="2059" width="11.08984375" bestFit="1" customWidth="1"/>
    <col min="2060" max="2060" width="8.54296875" bestFit="1" customWidth="1"/>
    <col min="2061" max="2062" width="7.54296875" bestFit="1" customWidth="1"/>
    <col min="2063" max="2063" width="7.54296875" customWidth="1"/>
    <col min="2064" max="2064" width="8" bestFit="1" customWidth="1"/>
    <col min="2065" max="2065" width="7.54296875" bestFit="1" customWidth="1"/>
    <col min="2066" max="2066" width="6.453125" bestFit="1" customWidth="1"/>
    <col min="2301" max="2301" width="6.453125" bestFit="1" customWidth="1"/>
    <col min="2302" max="2302" width="12.54296875" customWidth="1"/>
    <col min="2303" max="2303" width="10" customWidth="1"/>
    <col min="2304" max="2304" width="16" customWidth="1"/>
    <col min="2305" max="2305" width="15.453125" customWidth="1"/>
    <col min="2306" max="2306" width="14.453125" customWidth="1"/>
    <col min="2307" max="2307" width="10.453125" customWidth="1"/>
    <col min="2308" max="2308" width="7.453125" customWidth="1"/>
    <col min="2309" max="2309" width="10.08984375" customWidth="1"/>
    <col min="2310" max="2311" width="10.54296875" customWidth="1"/>
    <col min="2312" max="2312" width="8.453125" bestFit="1" customWidth="1"/>
    <col min="2313" max="2313" width="7" bestFit="1" customWidth="1"/>
    <col min="2314" max="2314" width="10" bestFit="1" customWidth="1"/>
    <col min="2315" max="2315" width="11.08984375" bestFit="1" customWidth="1"/>
    <col min="2316" max="2316" width="8.54296875" bestFit="1" customWidth="1"/>
    <col min="2317" max="2318" width="7.54296875" bestFit="1" customWidth="1"/>
    <col min="2319" max="2319" width="7.54296875" customWidth="1"/>
    <col min="2320" max="2320" width="8" bestFit="1" customWidth="1"/>
    <col min="2321" max="2321" width="7.54296875" bestFit="1" customWidth="1"/>
    <col min="2322" max="2322" width="6.453125" bestFit="1" customWidth="1"/>
    <col min="2557" max="2557" width="6.453125" bestFit="1" customWidth="1"/>
    <col min="2558" max="2558" width="12.54296875" customWidth="1"/>
    <col min="2559" max="2559" width="10" customWidth="1"/>
    <col min="2560" max="2560" width="16" customWidth="1"/>
    <col min="2561" max="2561" width="15.453125" customWidth="1"/>
    <col min="2562" max="2562" width="14.453125" customWidth="1"/>
    <col min="2563" max="2563" width="10.453125" customWidth="1"/>
    <col min="2564" max="2564" width="7.453125" customWidth="1"/>
    <col min="2565" max="2565" width="10.08984375" customWidth="1"/>
    <col min="2566" max="2567" width="10.54296875" customWidth="1"/>
    <col min="2568" max="2568" width="8.453125" bestFit="1" customWidth="1"/>
    <col min="2569" max="2569" width="7" bestFit="1" customWidth="1"/>
    <col min="2570" max="2570" width="10" bestFit="1" customWidth="1"/>
    <col min="2571" max="2571" width="11.08984375" bestFit="1" customWidth="1"/>
    <col min="2572" max="2572" width="8.54296875" bestFit="1" customWidth="1"/>
    <col min="2573" max="2574" width="7.54296875" bestFit="1" customWidth="1"/>
    <col min="2575" max="2575" width="7.54296875" customWidth="1"/>
    <col min="2576" max="2576" width="8" bestFit="1" customWidth="1"/>
    <col min="2577" max="2577" width="7.54296875" bestFit="1" customWidth="1"/>
    <col min="2578" max="2578" width="6.453125" bestFit="1" customWidth="1"/>
    <col min="2813" max="2813" width="6.453125" bestFit="1" customWidth="1"/>
    <col min="2814" max="2814" width="12.54296875" customWidth="1"/>
    <col min="2815" max="2815" width="10" customWidth="1"/>
    <col min="2816" max="2816" width="16" customWidth="1"/>
    <col min="2817" max="2817" width="15.453125" customWidth="1"/>
    <col min="2818" max="2818" width="14.453125" customWidth="1"/>
    <col min="2819" max="2819" width="10.453125" customWidth="1"/>
    <col min="2820" max="2820" width="7.453125" customWidth="1"/>
    <col min="2821" max="2821" width="10.08984375" customWidth="1"/>
    <col min="2822" max="2823" width="10.54296875" customWidth="1"/>
    <col min="2824" max="2824" width="8.453125" bestFit="1" customWidth="1"/>
    <col min="2825" max="2825" width="7" bestFit="1" customWidth="1"/>
    <col min="2826" max="2826" width="10" bestFit="1" customWidth="1"/>
    <col min="2827" max="2827" width="11.08984375" bestFit="1" customWidth="1"/>
    <col min="2828" max="2828" width="8.54296875" bestFit="1" customWidth="1"/>
    <col min="2829" max="2830" width="7.54296875" bestFit="1" customWidth="1"/>
    <col min="2831" max="2831" width="7.54296875" customWidth="1"/>
    <col min="2832" max="2832" width="8" bestFit="1" customWidth="1"/>
    <col min="2833" max="2833" width="7.54296875" bestFit="1" customWidth="1"/>
    <col min="2834" max="2834" width="6.453125" bestFit="1" customWidth="1"/>
    <col min="3069" max="3069" width="6.453125" bestFit="1" customWidth="1"/>
    <col min="3070" max="3070" width="12.54296875" customWidth="1"/>
    <col min="3071" max="3071" width="10" customWidth="1"/>
    <col min="3072" max="3072" width="16" customWidth="1"/>
    <col min="3073" max="3073" width="15.453125" customWidth="1"/>
    <col min="3074" max="3074" width="14.453125" customWidth="1"/>
    <col min="3075" max="3075" width="10.453125" customWidth="1"/>
    <col min="3076" max="3076" width="7.453125" customWidth="1"/>
    <col min="3077" max="3077" width="10.08984375" customWidth="1"/>
    <col min="3078" max="3079" width="10.54296875" customWidth="1"/>
    <col min="3080" max="3080" width="8.453125" bestFit="1" customWidth="1"/>
    <col min="3081" max="3081" width="7" bestFit="1" customWidth="1"/>
    <col min="3082" max="3082" width="10" bestFit="1" customWidth="1"/>
    <col min="3083" max="3083" width="11.08984375" bestFit="1" customWidth="1"/>
    <col min="3084" max="3084" width="8.54296875" bestFit="1" customWidth="1"/>
    <col min="3085" max="3086" width="7.54296875" bestFit="1" customWidth="1"/>
    <col min="3087" max="3087" width="7.54296875" customWidth="1"/>
    <col min="3088" max="3088" width="8" bestFit="1" customWidth="1"/>
    <col min="3089" max="3089" width="7.54296875" bestFit="1" customWidth="1"/>
    <col min="3090" max="3090" width="6.453125" bestFit="1" customWidth="1"/>
    <col min="3325" max="3325" width="6.453125" bestFit="1" customWidth="1"/>
    <col min="3326" max="3326" width="12.54296875" customWidth="1"/>
    <col min="3327" max="3327" width="10" customWidth="1"/>
    <col min="3328" max="3328" width="16" customWidth="1"/>
    <col min="3329" max="3329" width="15.453125" customWidth="1"/>
    <col min="3330" max="3330" width="14.453125" customWidth="1"/>
    <col min="3331" max="3331" width="10.453125" customWidth="1"/>
    <col min="3332" max="3332" width="7.453125" customWidth="1"/>
    <col min="3333" max="3333" width="10.08984375" customWidth="1"/>
    <col min="3334" max="3335" width="10.54296875" customWidth="1"/>
    <col min="3336" max="3336" width="8.453125" bestFit="1" customWidth="1"/>
    <col min="3337" max="3337" width="7" bestFit="1" customWidth="1"/>
    <col min="3338" max="3338" width="10" bestFit="1" customWidth="1"/>
    <col min="3339" max="3339" width="11.08984375" bestFit="1" customWidth="1"/>
    <col min="3340" max="3340" width="8.54296875" bestFit="1" customWidth="1"/>
    <col min="3341" max="3342" width="7.54296875" bestFit="1" customWidth="1"/>
    <col min="3343" max="3343" width="7.54296875" customWidth="1"/>
    <col min="3344" max="3344" width="8" bestFit="1" customWidth="1"/>
    <col min="3345" max="3345" width="7.54296875" bestFit="1" customWidth="1"/>
    <col min="3346" max="3346" width="6.453125" bestFit="1" customWidth="1"/>
    <col min="3581" max="3581" width="6.453125" bestFit="1" customWidth="1"/>
    <col min="3582" max="3582" width="12.54296875" customWidth="1"/>
    <col min="3583" max="3583" width="10" customWidth="1"/>
    <col min="3584" max="3584" width="16" customWidth="1"/>
    <col min="3585" max="3585" width="15.453125" customWidth="1"/>
    <col min="3586" max="3586" width="14.453125" customWidth="1"/>
    <col min="3587" max="3587" width="10.453125" customWidth="1"/>
    <col min="3588" max="3588" width="7.453125" customWidth="1"/>
    <col min="3589" max="3589" width="10.08984375" customWidth="1"/>
    <col min="3590" max="3591" width="10.54296875" customWidth="1"/>
    <col min="3592" max="3592" width="8.453125" bestFit="1" customWidth="1"/>
    <col min="3593" max="3593" width="7" bestFit="1" customWidth="1"/>
    <col min="3594" max="3594" width="10" bestFit="1" customWidth="1"/>
    <col min="3595" max="3595" width="11.08984375" bestFit="1" customWidth="1"/>
    <col min="3596" max="3596" width="8.54296875" bestFit="1" customWidth="1"/>
    <col min="3597" max="3598" width="7.54296875" bestFit="1" customWidth="1"/>
    <col min="3599" max="3599" width="7.54296875" customWidth="1"/>
    <col min="3600" max="3600" width="8" bestFit="1" customWidth="1"/>
    <col min="3601" max="3601" width="7.54296875" bestFit="1" customWidth="1"/>
    <col min="3602" max="3602" width="6.453125" bestFit="1" customWidth="1"/>
    <col min="3837" max="3837" width="6.453125" bestFit="1" customWidth="1"/>
    <col min="3838" max="3838" width="12.54296875" customWidth="1"/>
    <col min="3839" max="3839" width="10" customWidth="1"/>
    <col min="3840" max="3840" width="16" customWidth="1"/>
    <col min="3841" max="3841" width="15.453125" customWidth="1"/>
    <col min="3842" max="3842" width="14.453125" customWidth="1"/>
    <col min="3843" max="3843" width="10.453125" customWidth="1"/>
    <col min="3844" max="3844" width="7.453125" customWidth="1"/>
    <col min="3845" max="3845" width="10.08984375" customWidth="1"/>
    <col min="3846" max="3847" width="10.54296875" customWidth="1"/>
    <col min="3848" max="3848" width="8.453125" bestFit="1" customWidth="1"/>
    <col min="3849" max="3849" width="7" bestFit="1" customWidth="1"/>
    <col min="3850" max="3850" width="10" bestFit="1" customWidth="1"/>
    <col min="3851" max="3851" width="11.08984375" bestFit="1" customWidth="1"/>
    <col min="3852" max="3852" width="8.54296875" bestFit="1" customWidth="1"/>
    <col min="3853" max="3854" width="7.54296875" bestFit="1" customWidth="1"/>
    <col min="3855" max="3855" width="7.54296875" customWidth="1"/>
    <col min="3856" max="3856" width="8" bestFit="1" customWidth="1"/>
    <col min="3857" max="3857" width="7.54296875" bestFit="1" customWidth="1"/>
    <col min="3858" max="3858" width="6.453125" bestFit="1" customWidth="1"/>
    <col min="4093" max="4093" width="6.453125" bestFit="1" customWidth="1"/>
    <col min="4094" max="4094" width="12.54296875" customWidth="1"/>
    <col min="4095" max="4095" width="10" customWidth="1"/>
    <col min="4096" max="4096" width="16" customWidth="1"/>
    <col min="4097" max="4097" width="15.453125" customWidth="1"/>
    <col min="4098" max="4098" width="14.453125" customWidth="1"/>
    <col min="4099" max="4099" width="10.453125" customWidth="1"/>
    <col min="4100" max="4100" width="7.453125" customWidth="1"/>
    <col min="4101" max="4101" width="10.08984375" customWidth="1"/>
    <col min="4102" max="4103" width="10.54296875" customWidth="1"/>
    <col min="4104" max="4104" width="8.453125" bestFit="1" customWidth="1"/>
    <col min="4105" max="4105" width="7" bestFit="1" customWidth="1"/>
    <col min="4106" max="4106" width="10" bestFit="1" customWidth="1"/>
    <col min="4107" max="4107" width="11.08984375" bestFit="1" customWidth="1"/>
    <col min="4108" max="4108" width="8.54296875" bestFit="1" customWidth="1"/>
    <col min="4109" max="4110" width="7.54296875" bestFit="1" customWidth="1"/>
    <col min="4111" max="4111" width="7.54296875" customWidth="1"/>
    <col min="4112" max="4112" width="8" bestFit="1" customWidth="1"/>
    <col min="4113" max="4113" width="7.54296875" bestFit="1" customWidth="1"/>
    <col min="4114" max="4114" width="6.453125" bestFit="1" customWidth="1"/>
    <col min="4349" max="4349" width="6.453125" bestFit="1" customWidth="1"/>
    <col min="4350" max="4350" width="12.54296875" customWidth="1"/>
    <col min="4351" max="4351" width="10" customWidth="1"/>
    <col min="4352" max="4352" width="16" customWidth="1"/>
    <col min="4353" max="4353" width="15.453125" customWidth="1"/>
    <col min="4354" max="4354" width="14.453125" customWidth="1"/>
    <col min="4355" max="4355" width="10.453125" customWidth="1"/>
    <col min="4356" max="4356" width="7.453125" customWidth="1"/>
    <col min="4357" max="4357" width="10.08984375" customWidth="1"/>
    <col min="4358" max="4359" width="10.54296875" customWidth="1"/>
    <col min="4360" max="4360" width="8.453125" bestFit="1" customWidth="1"/>
    <col min="4361" max="4361" width="7" bestFit="1" customWidth="1"/>
    <col min="4362" max="4362" width="10" bestFit="1" customWidth="1"/>
    <col min="4363" max="4363" width="11.08984375" bestFit="1" customWidth="1"/>
    <col min="4364" max="4364" width="8.54296875" bestFit="1" customWidth="1"/>
    <col min="4365" max="4366" width="7.54296875" bestFit="1" customWidth="1"/>
    <col min="4367" max="4367" width="7.54296875" customWidth="1"/>
    <col min="4368" max="4368" width="8" bestFit="1" customWidth="1"/>
    <col min="4369" max="4369" width="7.54296875" bestFit="1" customWidth="1"/>
    <col min="4370" max="4370" width="6.453125" bestFit="1" customWidth="1"/>
    <col min="4605" max="4605" width="6.453125" bestFit="1" customWidth="1"/>
    <col min="4606" max="4606" width="12.54296875" customWidth="1"/>
    <col min="4607" max="4607" width="10" customWidth="1"/>
    <col min="4608" max="4608" width="16" customWidth="1"/>
    <col min="4609" max="4609" width="15.453125" customWidth="1"/>
    <col min="4610" max="4610" width="14.453125" customWidth="1"/>
    <col min="4611" max="4611" width="10.453125" customWidth="1"/>
    <col min="4612" max="4612" width="7.453125" customWidth="1"/>
    <col min="4613" max="4613" width="10.08984375" customWidth="1"/>
    <col min="4614" max="4615" width="10.54296875" customWidth="1"/>
    <col min="4616" max="4616" width="8.453125" bestFit="1" customWidth="1"/>
    <col min="4617" max="4617" width="7" bestFit="1" customWidth="1"/>
    <col min="4618" max="4618" width="10" bestFit="1" customWidth="1"/>
    <col min="4619" max="4619" width="11.08984375" bestFit="1" customWidth="1"/>
    <col min="4620" max="4620" width="8.54296875" bestFit="1" customWidth="1"/>
    <col min="4621" max="4622" width="7.54296875" bestFit="1" customWidth="1"/>
    <col min="4623" max="4623" width="7.54296875" customWidth="1"/>
    <col min="4624" max="4624" width="8" bestFit="1" customWidth="1"/>
    <col min="4625" max="4625" width="7.54296875" bestFit="1" customWidth="1"/>
    <col min="4626" max="4626" width="6.453125" bestFit="1" customWidth="1"/>
    <col min="4861" max="4861" width="6.453125" bestFit="1" customWidth="1"/>
    <col min="4862" max="4862" width="12.54296875" customWidth="1"/>
    <col min="4863" max="4863" width="10" customWidth="1"/>
    <col min="4864" max="4864" width="16" customWidth="1"/>
    <col min="4865" max="4865" width="15.453125" customWidth="1"/>
    <col min="4866" max="4866" width="14.453125" customWidth="1"/>
    <col min="4867" max="4867" width="10.453125" customWidth="1"/>
    <col min="4868" max="4868" width="7.453125" customWidth="1"/>
    <col min="4869" max="4869" width="10.08984375" customWidth="1"/>
    <col min="4870" max="4871" width="10.54296875" customWidth="1"/>
    <col min="4872" max="4872" width="8.453125" bestFit="1" customWidth="1"/>
    <col min="4873" max="4873" width="7" bestFit="1" customWidth="1"/>
    <col min="4874" max="4874" width="10" bestFit="1" customWidth="1"/>
    <col min="4875" max="4875" width="11.08984375" bestFit="1" customWidth="1"/>
    <col min="4876" max="4876" width="8.54296875" bestFit="1" customWidth="1"/>
    <col min="4877" max="4878" width="7.54296875" bestFit="1" customWidth="1"/>
    <col min="4879" max="4879" width="7.54296875" customWidth="1"/>
    <col min="4880" max="4880" width="8" bestFit="1" customWidth="1"/>
    <col min="4881" max="4881" width="7.54296875" bestFit="1" customWidth="1"/>
    <col min="4882" max="4882" width="6.453125" bestFit="1" customWidth="1"/>
    <col min="5117" max="5117" width="6.453125" bestFit="1" customWidth="1"/>
    <col min="5118" max="5118" width="12.54296875" customWidth="1"/>
    <col min="5119" max="5119" width="10" customWidth="1"/>
    <col min="5120" max="5120" width="16" customWidth="1"/>
    <col min="5121" max="5121" width="15.453125" customWidth="1"/>
    <col min="5122" max="5122" width="14.453125" customWidth="1"/>
    <col min="5123" max="5123" width="10.453125" customWidth="1"/>
    <col min="5124" max="5124" width="7.453125" customWidth="1"/>
    <col min="5125" max="5125" width="10.08984375" customWidth="1"/>
    <col min="5126" max="5127" width="10.54296875" customWidth="1"/>
    <col min="5128" max="5128" width="8.453125" bestFit="1" customWidth="1"/>
    <col min="5129" max="5129" width="7" bestFit="1" customWidth="1"/>
    <col min="5130" max="5130" width="10" bestFit="1" customWidth="1"/>
    <col min="5131" max="5131" width="11.08984375" bestFit="1" customWidth="1"/>
    <col min="5132" max="5132" width="8.54296875" bestFit="1" customWidth="1"/>
    <col min="5133" max="5134" width="7.54296875" bestFit="1" customWidth="1"/>
    <col min="5135" max="5135" width="7.54296875" customWidth="1"/>
    <col min="5136" max="5136" width="8" bestFit="1" customWidth="1"/>
    <col min="5137" max="5137" width="7.54296875" bestFit="1" customWidth="1"/>
    <col min="5138" max="5138" width="6.453125" bestFit="1" customWidth="1"/>
    <col min="5373" max="5373" width="6.453125" bestFit="1" customWidth="1"/>
    <col min="5374" max="5374" width="12.54296875" customWidth="1"/>
    <col min="5375" max="5375" width="10" customWidth="1"/>
    <col min="5376" max="5376" width="16" customWidth="1"/>
    <col min="5377" max="5377" width="15.453125" customWidth="1"/>
    <col min="5378" max="5378" width="14.453125" customWidth="1"/>
    <col min="5379" max="5379" width="10.453125" customWidth="1"/>
    <col min="5380" max="5380" width="7.453125" customWidth="1"/>
    <col min="5381" max="5381" width="10.08984375" customWidth="1"/>
    <col min="5382" max="5383" width="10.54296875" customWidth="1"/>
    <col min="5384" max="5384" width="8.453125" bestFit="1" customWidth="1"/>
    <col min="5385" max="5385" width="7" bestFit="1" customWidth="1"/>
    <col min="5386" max="5386" width="10" bestFit="1" customWidth="1"/>
    <col min="5387" max="5387" width="11.08984375" bestFit="1" customWidth="1"/>
    <col min="5388" max="5388" width="8.54296875" bestFit="1" customWidth="1"/>
    <col min="5389" max="5390" width="7.54296875" bestFit="1" customWidth="1"/>
    <col min="5391" max="5391" width="7.54296875" customWidth="1"/>
    <col min="5392" max="5392" width="8" bestFit="1" customWidth="1"/>
    <col min="5393" max="5393" width="7.54296875" bestFit="1" customWidth="1"/>
    <col min="5394" max="5394" width="6.453125" bestFit="1" customWidth="1"/>
    <col min="5629" max="5629" width="6.453125" bestFit="1" customWidth="1"/>
    <col min="5630" max="5630" width="12.54296875" customWidth="1"/>
    <col min="5631" max="5631" width="10" customWidth="1"/>
    <col min="5632" max="5632" width="16" customWidth="1"/>
    <col min="5633" max="5633" width="15.453125" customWidth="1"/>
    <col min="5634" max="5634" width="14.453125" customWidth="1"/>
    <col min="5635" max="5635" width="10.453125" customWidth="1"/>
    <col min="5636" max="5636" width="7.453125" customWidth="1"/>
    <col min="5637" max="5637" width="10.08984375" customWidth="1"/>
    <col min="5638" max="5639" width="10.54296875" customWidth="1"/>
    <col min="5640" max="5640" width="8.453125" bestFit="1" customWidth="1"/>
    <col min="5641" max="5641" width="7" bestFit="1" customWidth="1"/>
    <col min="5642" max="5642" width="10" bestFit="1" customWidth="1"/>
    <col min="5643" max="5643" width="11.08984375" bestFit="1" customWidth="1"/>
    <col min="5644" max="5644" width="8.54296875" bestFit="1" customWidth="1"/>
    <col min="5645" max="5646" width="7.54296875" bestFit="1" customWidth="1"/>
    <col min="5647" max="5647" width="7.54296875" customWidth="1"/>
    <col min="5648" max="5648" width="8" bestFit="1" customWidth="1"/>
    <col min="5649" max="5649" width="7.54296875" bestFit="1" customWidth="1"/>
    <col min="5650" max="5650" width="6.453125" bestFit="1" customWidth="1"/>
    <col min="5885" max="5885" width="6.453125" bestFit="1" customWidth="1"/>
    <col min="5886" max="5886" width="12.54296875" customWidth="1"/>
    <col min="5887" max="5887" width="10" customWidth="1"/>
    <col min="5888" max="5888" width="16" customWidth="1"/>
    <col min="5889" max="5889" width="15.453125" customWidth="1"/>
    <col min="5890" max="5890" width="14.453125" customWidth="1"/>
    <col min="5891" max="5891" width="10.453125" customWidth="1"/>
    <col min="5892" max="5892" width="7.453125" customWidth="1"/>
    <col min="5893" max="5893" width="10.08984375" customWidth="1"/>
    <col min="5894" max="5895" width="10.54296875" customWidth="1"/>
    <col min="5896" max="5896" width="8.453125" bestFit="1" customWidth="1"/>
    <col min="5897" max="5897" width="7" bestFit="1" customWidth="1"/>
    <col min="5898" max="5898" width="10" bestFit="1" customWidth="1"/>
    <col min="5899" max="5899" width="11.08984375" bestFit="1" customWidth="1"/>
    <col min="5900" max="5900" width="8.54296875" bestFit="1" customWidth="1"/>
    <col min="5901" max="5902" width="7.54296875" bestFit="1" customWidth="1"/>
    <col min="5903" max="5903" width="7.54296875" customWidth="1"/>
    <col min="5904" max="5904" width="8" bestFit="1" customWidth="1"/>
    <col min="5905" max="5905" width="7.54296875" bestFit="1" customWidth="1"/>
    <col min="5906" max="5906" width="6.453125" bestFit="1" customWidth="1"/>
    <col min="6141" max="6141" width="6.453125" bestFit="1" customWidth="1"/>
    <col min="6142" max="6142" width="12.54296875" customWidth="1"/>
    <col min="6143" max="6143" width="10" customWidth="1"/>
    <col min="6144" max="6144" width="16" customWidth="1"/>
    <col min="6145" max="6145" width="15.453125" customWidth="1"/>
    <col min="6146" max="6146" width="14.453125" customWidth="1"/>
    <col min="6147" max="6147" width="10.453125" customWidth="1"/>
    <col min="6148" max="6148" width="7.453125" customWidth="1"/>
    <col min="6149" max="6149" width="10.08984375" customWidth="1"/>
    <col min="6150" max="6151" width="10.54296875" customWidth="1"/>
    <col min="6152" max="6152" width="8.453125" bestFit="1" customWidth="1"/>
    <col min="6153" max="6153" width="7" bestFit="1" customWidth="1"/>
    <col min="6154" max="6154" width="10" bestFit="1" customWidth="1"/>
    <col min="6155" max="6155" width="11.08984375" bestFit="1" customWidth="1"/>
    <col min="6156" max="6156" width="8.54296875" bestFit="1" customWidth="1"/>
    <col min="6157" max="6158" width="7.54296875" bestFit="1" customWidth="1"/>
    <col min="6159" max="6159" width="7.54296875" customWidth="1"/>
    <col min="6160" max="6160" width="8" bestFit="1" customWidth="1"/>
    <col min="6161" max="6161" width="7.54296875" bestFit="1" customWidth="1"/>
    <col min="6162" max="6162" width="6.453125" bestFit="1" customWidth="1"/>
    <col min="6397" max="6397" width="6.453125" bestFit="1" customWidth="1"/>
    <col min="6398" max="6398" width="12.54296875" customWidth="1"/>
    <col min="6399" max="6399" width="10" customWidth="1"/>
    <col min="6400" max="6400" width="16" customWidth="1"/>
    <col min="6401" max="6401" width="15.453125" customWidth="1"/>
    <col min="6402" max="6402" width="14.453125" customWidth="1"/>
    <col min="6403" max="6403" width="10.453125" customWidth="1"/>
    <col min="6404" max="6404" width="7.453125" customWidth="1"/>
    <col min="6405" max="6405" width="10.08984375" customWidth="1"/>
    <col min="6406" max="6407" width="10.54296875" customWidth="1"/>
    <col min="6408" max="6408" width="8.453125" bestFit="1" customWidth="1"/>
    <col min="6409" max="6409" width="7" bestFit="1" customWidth="1"/>
    <col min="6410" max="6410" width="10" bestFit="1" customWidth="1"/>
    <col min="6411" max="6411" width="11.08984375" bestFit="1" customWidth="1"/>
    <col min="6412" max="6412" width="8.54296875" bestFit="1" customWidth="1"/>
    <col min="6413" max="6414" width="7.54296875" bestFit="1" customWidth="1"/>
    <col min="6415" max="6415" width="7.54296875" customWidth="1"/>
    <col min="6416" max="6416" width="8" bestFit="1" customWidth="1"/>
    <col min="6417" max="6417" width="7.54296875" bestFit="1" customWidth="1"/>
    <col min="6418" max="6418" width="6.453125" bestFit="1" customWidth="1"/>
    <col min="6653" max="6653" width="6.453125" bestFit="1" customWidth="1"/>
    <col min="6654" max="6654" width="12.54296875" customWidth="1"/>
    <col min="6655" max="6655" width="10" customWidth="1"/>
    <col min="6656" max="6656" width="16" customWidth="1"/>
    <col min="6657" max="6657" width="15.453125" customWidth="1"/>
    <col min="6658" max="6658" width="14.453125" customWidth="1"/>
    <col min="6659" max="6659" width="10.453125" customWidth="1"/>
    <col min="6660" max="6660" width="7.453125" customWidth="1"/>
    <col min="6661" max="6661" width="10.08984375" customWidth="1"/>
    <col min="6662" max="6663" width="10.54296875" customWidth="1"/>
    <col min="6664" max="6664" width="8.453125" bestFit="1" customWidth="1"/>
    <col min="6665" max="6665" width="7" bestFit="1" customWidth="1"/>
    <col min="6666" max="6666" width="10" bestFit="1" customWidth="1"/>
    <col min="6667" max="6667" width="11.08984375" bestFit="1" customWidth="1"/>
    <col min="6668" max="6668" width="8.54296875" bestFit="1" customWidth="1"/>
    <col min="6669" max="6670" width="7.54296875" bestFit="1" customWidth="1"/>
    <col min="6671" max="6671" width="7.54296875" customWidth="1"/>
    <col min="6672" max="6672" width="8" bestFit="1" customWidth="1"/>
    <col min="6673" max="6673" width="7.54296875" bestFit="1" customWidth="1"/>
    <col min="6674" max="6674" width="6.453125" bestFit="1" customWidth="1"/>
    <col min="6909" max="6909" width="6.453125" bestFit="1" customWidth="1"/>
    <col min="6910" max="6910" width="12.54296875" customWidth="1"/>
    <col min="6911" max="6911" width="10" customWidth="1"/>
    <col min="6912" max="6912" width="16" customWidth="1"/>
    <col min="6913" max="6913" width="15.453125" customWidth="1"/>
    <col min="6914" max="6914" width="14.453125" customWidth="1"/>
    <col min="6915" max="6915" width="10.453125" customWidth="1"/>
    <col min="6916" max="6916" width="7.453125" customWidth="1"/>
    <col min="6917" max="6917" width="10.08984375" customWidth="1"/>
    <col min="6918" max="6919" width="10.54296875" customWidth="1"/>
    <col min="6920" max="6920" width="8.453125" bestFit="1" customWidth="1"/>
    <col min="6921" max="6921" width="7" bestFit="1" customWidth="1"/>
    <col min="6922" max="6922" width="10" bestFit="1" customWidth="1"/>
    <col min="6923" max="6923" width="11.08984375" bestFit="1" customWidth="1"/>
    <col min="6924" max="6924" width="8.54296875" bestFit="1" customWidth="1"/>
    <col min="6925" max="6926" width="7.54296875" bestFit="1" customWidth="1"/>
    <col min="6927" max="6927" width="7.54296875" customWidth="1"/>
    <col min="6928" max="6928" width="8" bestFit="1" customWidth="1"/>
    <col min="6929" max="6929" width="7.54296875" bestFit="1" customWidth="1"/>
    <col min="6930" max="6930" width="6.453125" bestFit="1" customWidth="1"/>
    <col min="7165" max="7165" width="6.453125" bestFit="1" customWidth="1"/>
    <col min="7166" max="7166" width="12.54296875" customWidth="1"/>
    <col min="7167" max="7167" width="10" customWidth="1"/>
    <col min="7168" max="7168" width="16" customWidth="1"/>
    <col min="7169" max="7169" width="15.453125" customWidth="1"/>
    <col min="7170" max="7170" width="14.453125" customWidth="1"/>
    <col min="7171" max="7171" width="10.453125" customWidth="1"/>
    <col min="7172" max="7172" width="7.453125" customWidth="1"/>
    <col min="7173" max="7173" width="10.08984375" customWidth="1"/>
    <col min="7174" max="7175" width="10.54296875" customWidth="1"/>
    <col min="7176" max="7176" width="8.453125" bestFit="1" customWidth="1"/>
    <col min="7177" max="7177" width="7" bestFit="1" customWidth="1"/>
    <col min="7178" max="7178" width="10" bestFit="1" customWidth="1"/>
    <col min="7179" max="7179" width="11.08984375" bestFit="1" customWidth="1"/>
    <col min="7180" max="7180" width="8.54296875" bestFit="1" customWidth="1"/>
    <col min="7181" max="7182" width="7.54296875" bestFit="1" customWidth="1"/>
    <col min="7183" max="7183" width="7.54296875" customWidth="1"/>
    <col min="7184" max="7184" width="8" bestFit="1" customWidth="1"/>
    <col min="7185" max="7185" width="7.54296875" bestFit="1" customWidth="1"/>
    <col min="7186" max="7186" width="6.453125" bestFit="1" customWidth="1"/>
    <col min="7421" max="7421" width="6.453125" bestFit="1" customWidth="1"/>
    <col min="7422" max="7422" width="12.54296875" customWidth="1"/>
    <col min="7423" max="7423" width="10" customWidth="1"/>
    <col min="7424" max="7424" width="16" customWidth="1"/>
    <col min="7425" max="7425" width="15.453125" customWidth="1"/>
    <col min="7426" max="7426" width="14.453125" customWidth="1"/>
    <col min="7427" max="7427" width="10.453125" customWidth="1"/>
    <col min="7428" max="7428" width="7.453125" customWidth="1"/>
    <col min="7429" max="7429" width="10.08984375" customWidth="1"/>
    <col min="7430" max="7431" width="10.54296875" customWidth="1"/>
    <col min="7432" max="7432" width="8.453125" bestFit="1" customWidth="1"/>
    <col min="7433" max="7433" width="7" bestFit="1" customWidth="1"/>
    <col min="7434" max="7434" width="10" bestFit="1" customWidth="1"/>
    <col min="7435" max="7435" width="11.08984375" bestFit="1" customWidth="1"/>
    <col min="7436" max="7436" width="8.54296875" bestFit="1" customWidth="1"/>
    <col min="7437" max="7438" width="7.54296875" bestFit="1" customWidth="1"/>
    <col min="7439" max="7439" width="7.54296875" customWidth="1"/>
    <col min="7440" max="7440" width="8" bestFit="1" customWidth="1"/>
    <col min="7441" max="7441" width="7.54296875" bestFit="1" customWidth="1"/>
    <col min="7442" max="7442" width="6.453125" bestFit="1" customWidth="1"/>
    <col min="7677" max="7677" width="6.453125" bestFit="1" customWidth="1"/>
    <col min="7678" max="7678" width="12.54296875" customWidth="1"/>
    <col min="7679" max="7679" width="10" customWidth="1"/>
    <col min="7680" max="7680" width="16" customWidth="1"/>
    <col min="7681" max="7681" width="15.453125" customWidth="1"/>
    <col min="7682" max="7682" width="14.453125" customWidth="1"/>
    <col min="7683" max="7683" width="10.453125" customWidth="1"/>
    <col min="7684" max="7684" width="7.453125" customWidth="1"/>
    <col min="7685" max="7685" width="10.08984375" customWidth="1"/>
    <col min="7686" max="7687" width="10.54296875" customWidth="1"/>
    <col min="7688" max="7688" width="8.453125" bestFit="1" customWidth="1"/>
    <col min="7689" max="7689" width="7" bestFit="1" customWidth="1"/>
    <col min="7690" max="7690" width="10" bestFit="1" customWidth="1"/>
    <col min="7691" max="7691" width="11.08984375" bestFit="1" customWidth="1"/>
    <col min="7692" max="7692" width="8.54296875" bestFit="1" customWidth="1"/>
    <col min="7693" max="7694" width="7.54296875" bestFit="1" customWidth="1"/>
    <col min="7695" max="7695" width="7.54296875" customWidth="1"/>
    <col min="7696" max="7696" width="8" bestFit="1" customWidth="1"/>
    <col min="7697" max="7697" width="7.54296875" bestFit="1" customWidth="1"/>
    <col min="7698" max="7698" width="6.453125" bestFit="1" customWidth="1"/>
    <col min="7933" max="7933" width="6.453125" bestFit="1" customWidth="1"/>
    <col min="7934" max="7934" width="12.54296875" customWidth="1"/>
    <col min="7935" max="7935" width="10" customWidth="1"/>
    <col min="7936" max="7936" width="16" customWidth="1"/>
    <col min="7937" max="7937" width="15.453125" customWidth="1"/>
    <col min="7938" max="7938" width="14.453125" customWidth="1"/>
    <col min="7939" max="7939" width="10.453125" customWidth="1"/>
    <col min="7940" max="7940" width="7.453125" customWidth="1"/>
    <col min="7941" max="7941" width="10.08984375" customWidth="1"/>
    <col min="7942" max="7943" width="10.54296875" customWidth="1"/>
    <col min="7944" max="7944" width="8.453125" bestFit="1" customWidth="1"/>
    <col min="7945" max="7945" width="7" bestFit="1" customWidth="1"/>
    <col min="7946" max="7946" width="10" bestFit="1" customWidth="1"/>
    <col min="7947" max="7947" width="11.08984375" bestFit="1" customWidth="1"/>
    <col min="7948" max="7948" width="8.54296875" bestFit="1" customWidth="1"/>
    <col min="7949" max="7950" width="7.54296875" bestFit="1" customWidth="1"/>
    <col min="7951" max="7951" width="7.54296875" customWidth="1"/>
    <col min="7952" max="7952" width="8" bestFit="1" customWidth="1"/>
    <col min="7953" max="7953" width="7.54296875" bestFit="1" customWidth="1"/>
    <col min="7954" max="7954" width="6.453125" bestFit="1" customWidth="1"/>
    <col min="8189" max="8189" width="6.453125" bestFit="1" customWidth="1"/>
    <col min="8190" max="8190" width="12.54296875" customWidth="1"/>
    <col min="8191" max="8191" width="10" customWidth="1"/>
    <col min="8192" max="8192" width="16" customWidth="1"/>
    <col min="8193" max="8193" width="15.453125" customWidth="1"/>
    <col min="8194" max="8194" width="14.453125" customWidth="1"/>
    <col min="8195" max="8195" width="10.453125" customWidth="1"/>
    <col min="8196" max="8196" width="7.453125" customWidth="1"/>
    <col min="8197" max="8197" width="10.08984375" customWidth="1"/>
    <col min="8198" max="8199" width="10.54296875" customWidth="1"/>
    <col min="8200" max="8200" width="8.453125" bestFit="1" customWidth="1"/>
    <col min="8201" max="8201" width="7" bestFit="1" customWidth="1"/>
    <col min="8202" max="8202" width="10" bestFit="1" customWidth="1"/>
    <col min="8203" max="8203" width="11.08984375" bestFit="1" customWidth="1"/>
    <col min="8204" max="8204" width="8.54296875" bestFit="1" customWidth="1"/>
    <col min="8205" max="8206" width="7.54296875" bestFit="1" customWidth="1"/>
    <col min="8207" max="8207" width="7.54296875" customWidth="1"/>
    <col min="8208" max="8208" width="8" bestFit="1" customWidth="1"/>
    <col min="8209" max="8209" width="7.54296875" bestFit="1" customWidth="1"/>
    <col min="8210" max="8210" width="6.453125" bestFit="1" customWidth="1"/>
    <col min="8445" max="8445" width="6.453125" bestFit="1" customWidth="1"/>
    <col min="8446" max="8446" width="12.54296875" customWidth="1"/>
    <col min="8447" max="8447" width="10" customWidth="1"/>
    <col min="8448" max="8448" width="16" customWidth="1"/>
    <col min="8449" max="8449" width="15.453125" customWidth="1"/>
    <col min="8450" max="8450" width="14.453125" customWidth="1"/>
    <col min="8451" max="8451" width="10.453125" customWidth="1"/>
    <col min="8452" max="8452" width="7.453125" customWidth="1"/>
    <col min="8453" max="8453" width="10.08984375" customWidth="1"/>
    <col min="8454" max="8455" width="10.54296875" customWidth="1"/>
    <col min="8456" max="8456" width="8.453125" bestFit="1" customWidth="1"/>
    <col min="8457" max="8457" width="7" bestFit="1" customWidth="1"/>
    <col min="8458" max="8458" width="10" bestFit="1" customWidth="1"/>
    <col min="8459" max="8459" width="11.08984375" bestFit="1" customWidth="1"/>
    <col min="8460" max="8460" width="8.54296875" bestFit="1" customWidth="1"/>
    <col min="8461" max="8462" width="7.54296875" bestFit="1" customWidth="1"/>
    <col min="8463" max="8463" width="7.54296875" customWidth="1"/>
    <col min="8464" max="8464" width="8" bestFit="1" customWidth="1"/>
    <col min="8465" max="8465" width="7.54296875" bestFit="1" customWidth="1"/>
    <col min="8466" max="8466" width="6.453125" bestFit="1" customWidth="1"/>
    <col min="8701" max="8701" width="6.453125" bestFit="1" customWidth="1"/>
    <col min="8702" max="8702" width="12.54296875" customWidth="1"/>
    <col min="8703" max="8703" width="10" customWidth="1"/>
    <col min="8704" max="8704" width="16" customWidth="1"/>
    <col min="8705" max="8705" width="15.453125" customWidth="1"/>
    <col min="8706" max="8706" width="14.453125" customWidth="1"/>
    <col min="8707" max="8707" width="10.453125" customWidth="1"/>
    <col min="8708" max="8708" width="7.453125" customWidth="1"/>
    <col min="8709" max="8709" width="10.08984375" customWidth="1"/>
    <col min="8710" max="8711" width="10.54296875" customWidth="1"/>
    <col min="8712" max="8712" width="8.453125" bestFit="1" customWidth="1"/>
    <col min="8713" max="8713" width="7" bestFit="1" customWidth="1"/>
    <col min="8714" max="8714" width="10" bestFit="1" customWidth="1"/>
    <col min="8715" max="8715" width="11.08984375" bestFit="1" customWidth="1"/>
    <col min="8716" max="8716" width="8.54296875" bestFit="1" customWidth="1"/>
    <col min="8717" max="8718" width="7.54296875" bestFit="1" customWidth="1"/>
    <col min="8719" max="8719" width="7.54296875" customWidth="1"/>
    <col min="8720" max="8720" width="8" bestFit="1" customWidth="1"/>
    <col min="8721" max="8721" width="7.54296875" bestFit="1" customWidth="1"/>
    <col min="8722" max="8722" width="6.453125" bestFit="1" customWidth="1"/>
    <col min="8957" max="8957" width="6.453125" bestFit="1" customWidth="1"/>
    <col min="8958" max="8958" width="12.54296875" customWidth="1"/>
    <col min="8959" max="8959" width="10" customWidth="1"/>
    <col min="8960" max="8960" width="16" customWidth="1"/>
    <col min="8961" max="8961" width="15.453125" customWidth="1"/>
    <col min="8962" max="8962" width="14.453125" customWidth="1"/>
    <col min="8963" max="8963" width="10.453125" customWidth="1"/>
    <col min="8964" max="8964" width="7.453125" customWidth="1"/>
    <col min="8965" max="8965" width="10.08984375" customWidth="1"/>
    <col min="8966" max="8967" width="10.54296875" customWidth="1"/>
    <col min="8968" max="8968" width="8.453125" bestFit="1" customWidth="1"/>
    <col min="8969" max="8969" width="7" bestFit="1" customWidth="1"/>
    <col min="8970" max="8970" width="10" bestFit="1" customWidth="1"/>
    <col min="8971" max="8971" width="11.08984375" bestFit="1" customWidth="1"/>
    <col min="8972" max="8972" width="8.54296875" bestFit="1" customWidth="1"/>
    <col min="8973" max="8974" width="7.54296875" bestFit="1" customWidth="1"/>
    <col min="8975" max="8975" width="7.54296875" customWidth="1"/>
    <col min="8976" max="8976" width="8" bestFit="1" customWidth="1"/>
    <col min="8977" max="8977" width="7.54296875" bestFit="1" customWidth="1"/>
    <col min="8978" max="8978" width="6.453125" bestFit="1" customWidth="1"/>
    <col min="9213" max="9213" width="6.453125" bestFit="1" customWidth="1"/>
    <col min="9214" max="9214" width="12.54296875" customWidth="1"/>
    <col min="9215" max="9215" width="10" customWidth="1"/>
    <col min="9216" max="9216" width="16" customWidth="1"/>
    <col min="9217" max="9217" width="15.453125" customWidth="1"/>
    <col min="9218" max="9218" width="14.453125" customWidth="1"/>
    <col min="9219" max="9219" width="10.453125" customWidth="1"/>
    <col min="9220" max="9220" width="7.453125" customWidth="1"/>
    <col min="9221" max="9221" width="10.08984375" customWidth="1"/>
    <col min="9222" max="9223" width="10.54296875" customWidth="1"/>
    <col min="9224" max="9224" width="8.453125" bestFit="1" customWidth="1"/>
    <col min="9225" max="9225" width="7" bestFit="1" customWidth="1"/>
    <col min="9226" max="9226" width="10" bestFit="1" customWidth="1"/>
    <col min="9227" max="9227" width="11.08984375" bestFit="1" customWidth="1"/>
    <col min="9228" max="9228" width="8.54296875" bestFit="1" customWidth="1"/>
    <col min="9229" max="9230" width="7.54296875" bestFit="1" customWidth="1"/>
    <col min="9231" max="9231" width="7.54296875" customWidth="1"/>
    <col min="9232" max="9232" width="8" bestFit="1" customWidth="1"/>
    <col min="9233" max="9233" width="7.54296875" bestFit="1" customWidth="1"/>
    <col min="9234" max="9234" width="6.453125" bestFit="1" customWidth="1"/>
    <col min="9469" max="9469" width="6.453125" bestFit="1" customWidth="1"/>
    <col min="9470" max="9470" width="12.54296875" customWidth="1"/>
    <col min="9471" max="9471" width="10" customWidth="1"/>
    <col min="9472" max="9472" width="16" customWidth="1"/>
    <col min="9473" max="9473" width="15.453125" customWidth="1"/>
    <col min="9474" max="9474" width="14.453125" customWidth="1"/>
    <col min="9475" max="9475" width="10.453125" customWidth="1"/>
    <col min="9476" max="9476" width="7.453125" customWidth="1"/>
    <col min="9477" max="9477" width="10.08984375" customWidth="1"/>
    <col min="9478" max="9479" width="10.54296875" customWidth="1"/>
    <col min="9480" max="9480" width="8.453125" bestFit="1" customWidth="1"/>
    <col min="9481" max="9481" width="7" bestFit="1" customWidth="1"/>
    <col min="9482" max="9482" width="10" bestFit="1" customWidth="1"/>
    <col min="9483" max="9483" width="11.08984375" bestFit="1" customWidth="1"/>
    <col min="9484" max="9484" width="8.54296875" bestFit="1" customWidth="1"/>
    <col min="9485" max="9486" width="7.54296875" bestFit="1" customWidth="1"/>
    <col min="9487" max="9487" width="7.54296875" customWidth="1"/>
    <col min="9488" max="9488" width="8" bestFit="1" customWidth="1"/>
    <col min="9489" max="9489" width="7.54296875" bestFit="1" customWidth="1"/>
    <col min="9490" max="9490" width="6.453125" bestFit="1" customWidth="1"/>
    <col min="9725" max="9725" width="6.453125" bestFit="1" customWidth="1"/>
    <col min="9726" max="9726" width="12.54296875" customWidth="1"/>
    <col min="9727" max="9727" width="10" customWidth="1"/>
    <col min="9728" max="9728" width="16" customWidth="1"/>
    <col min="9729" max="9729" width="15.453125" customWidth="1"/>
    <col min="9730" max="9730" width="14.453125" customWidth="1"/>
    <col min="9731" max="9731" width="10.453125" customWidth="1"/>
    <col min="9732" max="9732" width="7.453125" customWidth="1"/>
    <col min="9733" max="9733" width="10.08984375" customWidth="1"/>
    <col min="9734" max="9735" width="10.54296875" customWidth="1"/>
    <col min="9736" max="9736" width="8.453125" bestFit="1" customWidth="1"/>
    <col min="9737" max="9737" width="7" bestFit="1" customWidth="1"/>
    <col min="9738" max="9738" width="10" bestFit="1" customWidth="1"/>
    <col min="9739" max="9739" width="11.08984375" bestFit="1" customWidth="1"/>
    <col min="9740" max="9740" width="8.54296875" bestFit="1" customWidth="1"/>
    <col min="9741" max="9742" width="7.54296875" bestFit="1" customWidth="1"/>
    <col min="9743" max="9743" width="7.54296875" customWidth="1"/>
    <col min="9744" max="9744" width="8" bestFit="1" customWidth="1"/>
    <col min="9745" max="9745" width="7.54296875" bestFit="1" customWidth="1"/>
    <col min="9746" max="9746" width="6.453125" bestFit="1" customWidth="1"/>
    <col min="9981" max="9981" width="6.453125" bestFit="1" customWidth="1"/>
    <col min="9982" max="9982" width="12.54296875" customWidth="1"/>
    <col min="9983" max="9983" width="10" customWidth="1"/>
    <col min="9984" max="9984" width="16" customWidth="1"/>
    <col min="9985" max="9985" width="15.453125" customWidth="1"/>
    <col min="9986" max="9986" width="14.453125" customWidth="1"/>
    <col min="9987" max="9987" width="10.453125" customWidth="1"/>
    <col min="9988" max="9988" width="7.453125" customWidth="1"/>
    <col min="9989" max="9989" width="10.08984375" customWidth="1"/>
    <col min="9990" max="9991" width="10.54296875" customWidth="1"/>
    <col min="9992" max="9992" width="8.453125" bestFit="1" customWidth="1"/>
    <col min="9993" max="9993" width="7" bestFit="1" customWidth="1"/>
    <col min="9994" max="9994" width="10" bestFit="1" customWidth="1"/>
    <col min="9995" max="9995" width="11.08984375" bestFit="1" customWidth="1"/>
    <col min="9996" max="9996" width="8.54296875" bestFit="1" customWidth="1"/>
    <col min="9997" max="9998" width="7.54296875" bestFit="1" customWidth="1"/>
    <col min="9999" max="9999" width="7.54296875" customWidth="1"/>
    <col min="10000" max="10000" width="8" bestFit="1" customWidth="1"/>
    <col min="10001" max="10001" width="7.54296875" bestFit="1" customWidth="1"/>
    <col min="10002" max="10002" width="6.453125" bestFit="1" customWidth="1"/>
    <col min="10237" max="10237" width="6.453125" bestFit="1" customWidth="1"/>
    <col min="10238" max="10238" width="12.54296875" customWidth="1"/>
    <col min="10239" max="10239" width="10" customWidth="1"/>
    <col min="10240" max="10240" width="16" customWidth="1"/>
    <col min="10241" max="10241" width="15.453125" customWidth="1"/>
    <col min="10242" max="10242" width="14.453125" customWidth="1"/>
    <col min="10243" max="10243" width="10.453125" customWidth="1"/>
    <col min="10244" max="10244" width="7.453125" customWidth="1"/>
    <col min="10245" max="10245" width="10.08984375" customWidth="1"/>
    <col min="10246" max="10247" width="10.54296875" customWidth="1"/>
    <col min="10248" max="10248" width="8.453125" bestFit="1" customWidth="1"/>
    <col min="10249" max="10249" width="7" bestFit="1" customWidth="1"/>
    <col min="10250" max="10250" width="10" bestFit="1" customWidth="1"/>
    <col min="10251" max="10251" width="11.08984375" bestFit="1" customWidth="1"/>
    <col min="10252" max="10252" width="8.54296875" bestFit="1" customWidth="1"/>
    <col min="10253" max="10254" width="7.54296875" bestFit="1" customWidth="1"/>
    <col min="10255" max="10255" width="7.54296875" customWidth="1"/>
    <col min="10256" max="10256" width="8" bestFit="1" customWidth="1"/>
    <col min="10257" max="10257" width="7.54296875" bestFit="1" customWidth="1"/>
    <col min="10258" max="10258" width="6.453125" bestFit="1" customWidth="1"/>
    <col min="10493" max="10493" width="6.453125" bestFit="1" customWidth="1"/>
    <col min="10494" max="10494" width="12.54296875" customWidth="1"/>
    <col min="10495" max="10495" width="10" customWidth="1"/>
    <col min="10496" max="10496" width="16" customWidth="1"/>
    <col min="10497" max="10497" width="15.453125" customWidth="1"/>
    <col min="10498" max="10498" width="14.453125" customWidth="1"/>
    <col min="10499" max="10499" width="10.453125" customWidth="1"/>
    <col min="10500" max="10500" width="7.453125" customWidth="1"/>
    <col min="10501" max="10501" width="10.08984375" customWidth="1"/>
    <col min="10502" max="10503" width="10.54296875" customWidth="1"/>
    <col min="10504" max="10504" width="8.453125" bestFit="1" customWidth="1"/>
    <col min="10505" max="10505" width="7" bestFit="1" customWidth="1"/>
    <col min="10506" max="10506" width="10" bestFit="1" customWidth="1"/>
    <col min="10507" max="10507" width="11.08984375" bestFit="1" customWidth="1"/>
    <col min="10508" max="10508" width="8.54296875" bestFit="1" customWidth="1"/>
    <col min="10509" max="10510" width="7.54296875" bestFit="1" customWidth="1"/>
    <col min="10511" max="10511" width="7.54296875" customWidth="1"/>
    <col min="10512" max="10512" width="8" bestFit="1" customWidth="1"/>
    <col min="10513" max="10513" width="7.54296875" bestFit="1" customWidth="1"/>
    <col min="10514" max="10514" width="6.453125" bestFit="1" customWidth="1"/>
    <col min="10749" max="10749" width="6.453125" bestFit="1" customWidth="1"/>
    <col min="10750" max="10750" width="12.54296875" customWidth="1"/>
    <col min="10751" max="10751" width="10" customWidth="1"/>
    <col min="10752" max="10752" width="16" customWidth="1"/>
    <col min="10753" max="10753" width="15.453125" customWidth="1"/>
    <col min="10754" max="10754" width="14.453125" customWidth="1"/>
    <col min="10755" max="10755" width="10.453125" customWidth="1"/>
    <col min="10756" max="10756" width="7.453125" customWidth="1"/>
    <col min="10757" max="10757" width="10.08984375" customWidth="1"/>
    <col min="10758" max="10759" width="10.54296875" customWidth="1"/>
    <col min="10760" max="10760" width="8.453125" bestFit="1" customWidth="1"/>
    <col min="10761" max="10761" width="7" bestFit="1" customWidth="1"/>
    <col min="10762" max="10762" width="10" bestFit="1" customWidth="1"/>
    <col min="10763" max="10763" width="11.08984375" bestFit="1" customWidth="1"/>
    <col min="10764" max="10764" width="8.54296875" bestFit="1" customWidth="1"/>
    <col min="10765" max="10766" width="7.54296875" bestFit="1" customWidth="1"/>
    <col min="10767" max="10767" width="7.54296875" customWidth="1"/>
    <col min="10768" max="10768" width="8" bestFit="1" customWidth="1"/>
    <col min="10769" max="10769" width="7.54296875" bestFit="1" customWidth="1"/>
    <col min="10770" max="10770" width="6.453125" bestFit="1" customWidth="1"/>
    <col min="11005" max="11005" width="6.453125" bestFit="1" customWidth="1"/>
    <col min="11006" max="11006" width="12.54296875" customWidth="1"/>
    <col min="11007" max="11007" width="10" customWidth="1"/>
    <col min="11008" max="11008" width="16" customWidth="1"/>
    <col min="11009" max="11009" width="15.453125" customWidth="1"/>
    <col min="11010" max="11010" width="14.453125" customWidth="1"/>
    <col min="11011" max="11011" width="10.453125" customWidth="1"/>
    <col min="11012" max="11012" width="7.453125" customWidth="1"/>
    <col min="11013" max="11013" width="10.08984375" customWidth="1"/>
    <col min="11014" max="11015" width="10.54296875" customWidth="1"/>
    <col min="11016" max="11016" width="8.453125" bestFit="1" customWidth="1"/>
    <col min="11017" max="11017" width="7" bestFit="1" customWidth="1"/>
    <col min="11018" max="11018" width="10" bestFit="1" customWidth="1"/>
    <col min="11019" max="11019" width="11.08984375" bestFit="1" customWidth="1"/>
    <col min="11020" max="11020" width="8.54296875" bestFit="1" customWidth="1"/>
    <col min="11021" max="11022" width="7.54296875" bestFit="1" customWidth="1"/>
    <col min="11023" max="11023" width="7.54296875" customWidth="1"/>
    <col min="11024" max="11024" width="8" bestFit="1" customWidth="1"/>
    <col min="11025" max="11025" width="7.54296875" bestFit="1" customWidth="1"/>
    <col min="11026" max="11026" width="6.453125" bestFit="1" customWidth="1"/>
    <col min="11261" max="11261" width="6.453125" bestFit="1" customWidth="1"/>
    <col min="11262" max="11262" width="12.54296875" customWidth="1"/>
    <col min="11263" max="11263" width="10" customWidth="1"/>
    <col min="11264" max="11264" width="16" customWidth="1"/>
    <col min="11265" max="11265" width="15.453125" customWidth="1"/>
    <col min="11266" max="11266" width="14.453125" customWidth="1"/>
    <col min="11267" max="11267" width="10.453125" customWidth="1"/>
    <col min="11268" max="11268" width="7.453125" customWidth="1"/>
    <col min="11269" max="11269" width="10.08984375" customWidth="1"/>
    <col min="11270" max="11271" width="10.54296875" customWidth="1"/>
    <col min="11272" max="11272" width="8.453125" bestFit="1" customWidth="1"/>
    <col min="11273" max="11273" width="7" bestFit="1" customWidth="1"/>
    <col min="11274" max="11274" width="10" bestFit="1" customWidth="1"/>
    <col min="11275" max="11275" width="11.08984375" bestFit="1" customWidth="1"/>
    <col min="11276" max="11276" width="8.54296875" bestFit="1" customWidth="1"/>
    <col min="11277" max="11278" width="7.54296875" bestFit="1" customWidth="1"/>
    <col min="11279" max="11279" width="7.54296875" customWidth="1"/>
    <col min="11280" max="11280" width="8" bestFit="1" customWidth="1"/>
    <col min="11281" max="11281" width="7.54296875" bestFit="1" customWidth="1"/>
    <col min="11282" max="11282" width="6.453125" bestFit="1" customWidth="1"/>
    <col min="11517" max="11517" width="6.453125" bestFit="1" customWidth="1"/>
    <col min="11518" max="11518" width="12.54296875" customWidth="1"/>
    <col min="11519" max="11519" width="10" customWidth="1"/>
    <col min="11520" max="11520" width="16" customWidth="1"/>
    <col min="11521" max="11521" width="15.453125" customWidth="1"/>
    <col min="11522" max="11522" width="14.453125" customWidth="1"/>
    <col min="11523" max="11523" width="10.453125" customWidth="1"/>
    <col min="11524" max="11524" width="7.453125" customWidth="1"/>
    <col min="11525" max="11525" width="10.08984375" customWidth="1"/>
    <col min="11526" max="11527" width="10.54296875" customWidth="1"/>
    <col min="11528" max="11528" width="8.453125" bestFit="1" customWidth="1"/>
    <col min="11529" max="11529" width="7" bestFit="1" customWidth="1"/>
    <col min="11530" max="11530" width="10" bestFit="1" customWidth="1"/>
    <col min="11531" max="11531" width="11.08984375" bestFit="1" customWidth="1"/>
    <col min="11532" max="11532" width="8.54296875" bestFit="1" customWidth="1"/>
    <col min="11533" max="11534" width="7.54296875" bestFit="1" customWidth="1"/>
    <col min="11535" max="11535" width="7.54296875" customWidth="1"/>
    <col min="11536" max="11536" width="8" bestFit="1" customWidth="1"/>
    <col min="11537" max="11537" width="7.54296875" bestFit="1" customWidth="1"/>
    <col min="11538" max="11538" width="6.453125" bestFit="1" customWidth="1"/>
    <col min="11773" max="11773" width="6.453125" bestFit="1" customWidth="1"/>
    <col min="11774" max="11774" width="12.54296875" customWidth="1"/>
    <col min="11775" max="11775" width="10" customWidth="1"/>
    <col min="11776" max="11776" width="16" customWidth="1"/>
    <col min="11777" max="11777" width="15.453125" customWidth="1"/>
    <col min="11778" max="11778" width="14.453125" customWidth="1"/>
    <col min="11779" max="11779" width="10.453125" customWidth="1"/>
    <col min="11780" max="11780" width="7.453125" customWidth="1"/>
    <col min="11781" max="11781" width="10.08984375" customWidth="1"/>
    <col min="11782" max="11783" width="10.54296875" customWidth="1"/>
    <col min="11784" max="11784" width="8.453125" bestFit="1" customWidth="1"/>
    <col min="11785" max="11785" width="7" bestFit="1" customWidth="1"/>
    <col min="11786" max="11786" width="10" bestFit="1" customWidth="1"/>
    <col min="11787" max="11787" width="11.08984375" bestFit="1" customWidth="1"/>
    <col min="11788" max="11788" width="8.54296875" bestFit="1" customWidth="1"/>
    <col min="11789" max="11790" width="7.54296875" bestFit="1" customWidth="1"/>
    <col min="11791" max="11791" width="7.54296875" customWidth="1"/>
    <col min="11792" max="11792" width="8" bestFit="1" customWidth="1"/>
    <col min="11793" max="11793" width="7.54296875" bestFit="1" customWidth="1"/>
    <col min="11794" max="11794" width="6.453125" bestFit="1" customWidth="1"/>
    <col min="12029" max="12029" width="6.453125" bestFit="1" customWidth="1"/>
    <col min="12030" max="12030" width="12.54296875" customWidth="1"/>
    <col min="12031" max="12031" width="10" customWidth="1"/>
    <col min="12032" max="12032" width="16" customWidth="1"/>
    <col min="12033" max="12033" width="15.453125" customWidth="1"/>
    <col min="12034" max="12034" width="14.453125" customWidth="1"/>
    <col min="12035" max="12035" width="10.453125" customWidth="1"/>
    <col min="12036" max="12036" width="7.453125" customWidth="1"/>
    <col min="12037" max="12037" width="10.08984375" customWidth="1"/>
    <col min="12038" max="12039" width="10.54296875" customWidth="1"/>
    <col min="12040" max="12040" width="8.453125" bestFit="1" customWidth="1"/>
    <col min="12041" max="12041" width="7" bestFit="1" customWidth="1"/>
    <col min="12042" max="12042" width="10" bestFit="1" customWidth="1"/>
    <col min="12043" max="12043" width="11.08984375" bestFit="1" customWidth="1"/>
    <col min="12044" max="12044" width="8.54296875" bestFit="1" customWidth="1"/>
    <col min="12045" max="12046" width="7.54296875" bestFit="1" customWidth="1"/>
    <col min="12047" max="12047" width="7.54296875" customWidth="1"/>
    <col min="12048" max="12048" width="8" bestFit="1" customWidth="1"/>
    <col min="12049" max="12049" width="7.54296875" bestFit="1" customWidth="1"/>
    <col min="12050" max="12050" width="6.453125" bestFit="1" customWidth="1"/>
    <col min="12285" max="12285" width="6.453125" bestFit="1" customWidth="1"/>
    <col min="12286" max="12286" width="12.54296875" customWidth="1"/>
    <col min="12287" max="12287" width="10" customWidth="1"/>
    <col min="12288" max="12288" width="16" customWidth="1"/>
    <col min="12289" max="12289" width="15.453125" customWidth="1"/>
    <col min="12290" max="12290" width="14.453125" customWidth="1"/>
    <col min="12291" max="12291" width="10.453125" customWidth="1"/>
    <col min="12292" max="12292" width="7.453125" customWidth="1"/>
    <col min="12293" max="12293" width="10.08984375" customWidth="1"/>
    <col min="12294" max="12295" width="10.54296875" customWidth="1"/>
    <col min="12296" max="12296" width="8.453125" bestFit="1" customWidth="1"/>
    <col min="12297" max="12297" width="7" bestFit="1" customWidth="1"/>
    <col min="12298" max="12298" width="10" bestFit="1" customWidth="1"/>
    <col min="12299" max="12299" width="11.08984375" bestFit="1" customWidth="1"/>
    <col min="12300" max="12300" width="8.54296875" bestFit="1" customWidth="1"/>
    <col min="12301" max="12302" width="7.54296875" bestFit="1" customWidth="1"/>
    <col min="12303" max="12303" width="7.54296875" customWidth="1"/>
    <col min="12304" max="12304" width="8" bestFit="1" customWidth="1"/>
    <col min="12305" max="12305" width="7.54296875" bestFit="1" customWidth="1"/>
    <col min="12306" max="12306" width="6.453125" bestFit="1" customWidth="1"/>
    <col min="12541" max="12541" width="6.453125" bestFit="1" customWidth="1"/>
    <col min="12542" max="12542" width="12.54296875" customWidth="1"/>
    <col min="12543" max="12543" width="10" customWidth="1"/>
    <col min="12544" max="12544" width="16" customWidth="1"/>
    <col min="12545" max="12545" width="15.453125" customWidth="1"/>
    <col min="12546" max="12546" width="14.453125" customWidth="1"/>
    <col min="12547" max="12547" width="10.453125" customWidth="1"/>
    <col min="12548" max="12548" width="7.453125" customWidth="1"/>
    <col min="12549" max="12549" width="10.08984375" customWidth="1"/>
    <col min="12550" max="12551" width="10.54296875" customWidth="1"/>
    <col min="12552" max="12552" width="8.453125" bestFit="1" customWidth="1"/>
    <col min="12553" max="12553" width="7" bestFit="1" customWidth="1"/>
    <col min="12554" max="12554" width="10" bestFit="1" customWidth="1"/>
    <col min="12555" max="12555" width="11.08984375" bestFit="1" customWidth="1"/>
    <col min="12556" max="12556" width="8.54296875" bestFit="1" customWidth="1"/>
    <col min="12557" max="12558" width="7.54296875" bestFit="1" customWidth="1"/>
    <col min="12559" max="12559" width="7.54296875" customWidth="1"/>
    <col min="12560" max="12560" width="8" bestFit="1" customWidth="1"/>
    <col min="12561" max="12561" width="7.54296875" bestFit="1" customWidth="1"/>
    <col min="12562" max="12562" width="6.453125" bestFit="1" customWidth="1"/>
    <col min="12797" max="12797" width="6.453125" bestFit="1" customWidth="1"/>
    <col min="12798" max="12798" width="12.54296875" customWidth="1"/>
    <col min="12799" max="12799" width="10" customWidth="1"/>
    <col min="12800" max="12800" width="16" customWidth="1"/>
    <col min="12801" max="12801" width="15.453125" customWidth="1"/>
    <col min="12802" max="12802" width="14.453125" customWidth="1"/>
    <col min="12803" max="12803" width="10.453125" customWidth="1"/>
    <col min="12804" max="12804" width="7.453125" customWidth="1"/>
    <col min="12805" max="12805" width="10.08984375" customWidth="1"/>
    <col min="12806" max="12807" width="10.54296875" customWidth="1"/>
    <col min="12808" max="12808" width="8.453125" bestFit="1" customWidth="1"/>
    <col min="12809" max="12809" width="7" bestFit="1" customWidth="1"/>
    <col min="12810" max="12810" width="10" bestFit="1" customWidth="1"/>
    <col min="12811" max="12811" width="11.08984375" bestFit="1" customWidth="1"/>
    <col min="12812" max="12812" width="8.54296875" bestFit="1" customWidth="1"/>
    <col min="12813" max="12814" width="7.54296875" bestFit="1" customWidth="1"/>
    <col min="12815" max="12815" width="7.54296875" customWidth="1"/>
    <col min="12816" max="12816" width="8" bestFit="1" customWidth="1"/>
    <col min="12817" max="12817" width="7.54296875" bestFit="1" customWidth="1"/>
    <col min="12818" max="12818" width="6.453125" bestFit="1" customWidth="1"/>
    <col min="13053" max="13053" width="6.453125" bestFit="1" customWidth="1"/>
    <col min="13054" max="13054" width="12.54296875" customWidth="1"/>
    <col min="13055" max="13055" width="10" customWidth="1"/>
    <col min="13056" max="13056" width="16" customWidth="1"/>
    <col min="13057" max="13057" width="15.453125" customWidth="1"/>
    <col min="13058" max="13058" width="14.453125" customWidth="1"/>
    <col min="13059" max="13059" width="10.453125" customWidth="1"/>
    <col min="13060" max="13060" width="7.453125" customWidth="1"/>
    <col min="13061" max="13061" width="10.08984375" customWidth="1"/>
    <col min="13062" max="13063" width="10.54296875" customWidth="1"/>
    <col min="13064" max="13064" width="8.453125" bestFit="1" customWidth="1"/>
    <col min="13065" max="13065" width="7" bestFit="1" customWidth="1"/>
    <col min="13066" max="13066" width="10" bestFit="1" customWidth="1"/>
    <col min="13067" max="13067" width="11.08984375" bestFit="1" customWidth="1"/>
    <col min="13068" max="13068" width="8.54296875" bestFit="1" customWidth="1"/>
    <col min="13069" max="13070" width="7.54296875" bestFit="1" customWidth="1"/>
    <col min="13071" max="13071" width="7.54296875" customWidth="1"/>
    <col min="13072" max="13072" width="8" bestFit="1" customWidth="1"/>
    <col min="13073" max="13073" width="7.54296875" bestFit="1" customWidth="1"/>
    <col min="13074" max="13074" width="6.453125" bestFit="1" customWidth="1"/>
    <col min="13309" max="13309" width="6.453125" bestFit="1" customWidth="1"/>
    <col min="13310" max="13310" width="12.54296875" customWidth="1"/>
    <col min="13311" max="13311" width="10" customWidth="1"/>
    <col min="13312" max="13312" width="16" customWidth="1"/>
    <col min="13313" max="13313" width="15.453125" customWidth="1"/>
    <col min="13314" max="13314" width="14.453125" customWidth="1"/>
    <col min="13315" max="13315" width="10.453125" customWidth="1"/>
    <col min="13316" max="13316" width="7.453125" customWidth="1"/>
    <col min="13317" max="13317" width="10.08984375" customWidth="1"/>
    <col min="13318" max="13319" width="10.54296875" customWidth="1"/>
    <col min="13320" max="13320" width="8.453125" bestFit="1" customWidth="1"/>
    <col min="13321" max="13321" width="7" bestFit="1" customWidth="1"/>
    <col min="13322" max="13322" width="10" bestFit="1" customWidth="1"/>
    <col min="13323" max="13323" width="11.08984375" bestFit="1" customWidth="1"/>
    <col min="13324" max="13324" width="8.54296875" bestFit="1" customWidth="1"/>
    <col min="13325" max="13326" width="7.54296875" bestFit="1" customWidth="1"/>
    <col min="13327" max="13327" width="7.54296875" customWidth="1"/>
    <col min="13328" max="13328" width="8" bestFit="1" customWidth="1"/>
    <col min="13329" max="13329" width="7.54296875" bestFit="1" customWidth="1"/>
    <col min="13330" max="13330" width="6.453125" bestFit="1" customWidth="1"/>
    <col min="13565" max="13565" width="6.453125" bestFit="1" customWidth="1"/>
    <col min="13566" max="13566" width="12.54296875" customWidth="1"/>
    <col min="13567" max="13567" width="10" customWidth="1"/>
    <col min="13568" max="13568" width="16" customWidth="1"/>
    <col min="13569" max="13569" width="15.453125" customWidth="1"/>
    <col min="13570" max="13570" width="14.453125" customWidth="1"/>
    <col min="13571" max="13571" width="10.453125" customWidth="1"/>
    <col min="13572" max="13572" width="7.453125" customWidth="1"/>
    <col min="13573" max="13573" width="10.08984375" customWidth="1"/>
    <col min="13574" max="13575" width="10.54296875" customWidth="1"/>
    <col min="13576" max="13576" width="8.453125" bestFit="1" customWidth="1"/>
    <col min="13577" max="13577" width="7" bestFit="1" customWidth="1"/>
    <col min="13578" max="13578" width="10" bestFit="1" customWidth="1"/>
    <col min="13579" max="13579" width="11.08984375" bestFit="1" customWidth="1"/>
    <col min="13580" max="13580" width="8.54296875" bestFit="1" customWidth="1"/>
    <col min="13581" max="13582" width="7.54296875" bestFit="1" customWidth="1"/>
    <col min="13583" max="13583" width="7.54296875" customWidth="1"/>
    <col min="13584" max="13584" width="8" bestFit="1" customWidth="1"/>
    <col min="13585" max="13585" width="7.54296875" bestFit="1" customWidth="1"/>
    <col min="13586" max="13586" width="6.453125" bestFit="1" customWidth="1"/>
    <col min="13821" max="13821" width="6.453125" bestFit="1" customWidth="1"/>
    <col min="13822" max="13822" width="12.54296875" customWidth="1"/>
    <col min="13823" max="13823" width="10" customWidth="1"/>
    <col min="13824" max="13824" width="16" customWidth="1"/>
    <col min="13825" max="13825" width="15.453125" customWidth="1"/>
    <col min="13826" max="13826" width="14.453125" customWidth="1"/>
    <col min="13827" max="13827" width="10.453125" customWidth="1"/>
    <col min="13828" max="13828" width="7.453125" customWidth="1"/>
    <col min="13829" max="13829" width="10.08984375" customWidth="1"/>
    <col min="13830" max="13831" width="10.54296875" customWidth="1"/>
    <col min="13832" max="13832" width="8.453125" bestFit="1" customWidth="1"/>
    <col min="13833" max="13833" width="7" bestFit="1" customWidth="1"/>
    <col min="13834" max="13834" width="10" bestFit="1" customWidth="1"/>
    <col min="13835" max="13835" width="11.08984375" bestFit="1" customWidth="1"/>
    <col min="13836" max="13836" width="8.54296875" bestFit="1" customWidth="1"/>
    <col min="13837" max="13838" width="7.54296875" bestFit="1" customWidth="1"/>
    <col min="13839" max="13839" width="7.54296875" customWidth="1"/>
    <col min="13840" max="13840" width="8" bestFit="1" customWidth="1"/>
    <col min="13841" max="13841" width="7.54296875" bestFit="1" customWidth="1"/>
    <col min="13842" max="13842" width="6.453125" bestFit="1" customWidth="1"/>
    <col min="14077" max="14077" width="6.453125" bestFit="1" customWidth="1"/>
    <col min="14078" max="14078" width="12.54296875" customWidth="1"/>
    <col min="14079" max="14079" width="10" customWidth="1"/>
    <col min="14080" max="14080" width="16" customWidth="1"/>
    <col min="14081" max="14081" width="15.453125" customWidth="1"/>
    <col min="14082" max="14082" width="14.453125" customWidth="1"/>
    <col min="14083" max="14083" width="10.453125" customWidth="1"/>
    <col min="14084" max="14084" width="7.453125" customWidth="1"/>
    <col min="14085" max="14085" width="10.08984375" customWidth="1"/>
    <col min="14086" max="14087" width="10.54296875" customWidth="1"/>
    <col min="14088" max="14088" width="8.453125" bestFit="1" customWidth="1"/>
    <col min="14089" max="14089" width="7" bestFit="1" customWidth="1"/>
    <col min="14090" max="14090" width="10" bestFit="1" customWidth="1"/>
    <col min="14091" max="14091" width="11.08984375" bestFit="1" customWidth="1"/>
    <col min="14092" max="14092" width="8.54296875" bestFit="1" customWidth="1"/>
    <col min="14093" max="14094" width="7.54296875" bestFit="1" customWidth="1"/>
    <col min="14095" max="14095" width="7.54296875" customWidth="1"/>
    <col min="14096" max="14096" width="8" bestFit="1" customWidth="1"/>
    <col min="14097" max="14097" width="7.54296875" bestFit="1" customWidth="1"/>
    <col min="14098" max="14098" width="6.453125" bestFit="1" customWidth="1"/>
    <col min="14333" max="14333" width="6.453125" bestFit="1" customWidth="1"/>
    <col min="14334" max="14334" width="12.54296875" customWidth="1"/>
    <col min="14335" max="14335" width="10" customWidth="1"/>
    <col min="14336" max="14336" width="16" customWidth="1"/>
    <col min="14337" max="14337" width="15.453125" customWidth="1"/>
    <col min="14338" max="14338" width="14.453125" customWidth="1"/>
    <col min="14339" max="14339" width="10.453125" customWidth="1"/>
    <col min="14340" max="14340" width="7.453125" customWidth="1"/>
    <col min="14341" max="14341" width="10.08984375" customWidth="1"/>
    <col min="14342" max="14343" width="10.54296875" customWidth="1"/>
    <col min="14344" max="14344" width="8.453125" bestFit="1" customWidth="1"/>
    <col min="14345" max="14345" width="7" bestFit="1" customWidth="1"/>
    <col min="14346" max="14346" width="10" bestFit="1" customWidth="1"/>
    <col min="14347" max="14347" width="11.08984375" bestFit="1" customWidth="1"/>
    <col min="14348" max="14348" width="8.54296875" bestFit="1" customWidth="1"/>
    <col min="14349" max="14350" width="7.54296875" bestFit="1" customWidth="1"/>
    <col min="14351" max="14351" width="7.54296875" customWidth="1"/>
    <col min="14352" max="14352" width="8" bestFit="1" customWidth="1"/>
    <col min="14353" max="14353" width="7.54296875" bestFit="1" customWidth="1"/>
    <col min="14354" max="14354" width="6.453125" bestFit="1" customWidth="1"/>
    <col min="14589" max="14589" width="6.453125" bestFit="1" customWidth="1"/>
    <col min="14590" max="14590" width="12.54296875" customWidth="1"/>
    <col min="14591" max="14591" width="10" customWidth="1"/>
    <col min="14592" max="14592" width="16" customWidth="1"/>
    <col min="14593" max="14593" width="15.453125" customWidth="1"/>
    <col min="14594" max="14594" width="14.453125" customWidth="1"/>
    <col min="14595" max="14595" width="10.453125" customWidth="1"/>
    <col min="14596" max="14596" width="7.453125" customWidth="1"/>
    <col min="14597" max="14597" width="10.08984375" customWidth="1"/>
    <col min="14598" max="14599" width="10.54296875" customWidth="1"/>
    <col min="14600" max="14600" width="8.453125" bestFit="1" customWidth="1"/>
    <col min="14601" max="14601" width="7" bestFit="1" customWidth="1"/>
    <col min="14602" max="14602" width="10" bestFit="1" customWidth="1"/>
    <col min="14603" max="14603" width="11.08984375" bestFit="1" customWidth="1"/>
    <col min="14604" max="14604" width="8.54296875" bestFit="1" customWidth="1"/>
    <col min="14605" max="14606" width="7.54296875" bestFit="1" customWidth="1"/>
    <col min="14607" max="14607" width="7.54296875" customWidth="1"/>
    <col min="14608" max="14608" width="8" bestFit="1" customWidth="1"/>
    <col min="14609" max="14609" width="7.54296875" bestFit="1" customWidth="1"/>
    <col min="14610" max="14610" width="6.453125" bestFit="1" customWidth="1"/>
    <col min="14845" max="14845" width="6.453125" bestFit="1" customWidth="1"/>
    <col min="14846" max="14846" width="12.54296875" customWidth="1"/>
    <col min="14847" max="14847" width="10" customWidth="1"/>
    <col min="14848" max="14848" width="16" customWidth="1"/>
    <col min="14849" max="14849" width="15.453125" customWidth="1"/>
    <col min="14850" max="14850" width="14.453125" customWidth="1"/>
    <col min="14851" max="14851" width="10.453125" customWidth="1"/>
    <col min="14852" max="14852" width="7.453125" customWidth="1"/>
    <col min="14853" max="14853" width="10.08984375" customWidth="1"/>
    <col min="14854" max="14855" width="10.54296875" customWidth="1"/>
    <col min="14856" max="14856" width="8.453125" bestFit="1" customWidth="1"/>
    <col min="14857" max="14857" width="7" bestFit="1" customWidth="1"/>
    <col min="14858" max="14858" width="10" bestFit="1" customWidth="1"/>
    <col min="14859" max="14859" width="11.08984375" bestFit="1" customWidth="1"/>
    <col min="14860" max="14860" width="8.54296875" bestFit="1" customWidth="1"/>
    <col min="14861" max="14862" width="7.54296875" bestFit="1" customWidth="1"/>
    <col min="14863" max="14863" width="7.54296875" customWidth="1"/>
    <col min="14864" max="14864" width="8" bestFit="1" customWidth="1"/>
    <col min="14865" max="14865" width="7.54296875" bestFit="1" customWidth="1"/>
    <col min="14866" max="14866" width="6.453125" bestFit="1" customWidth="1"/>
    <col min="15101" max="15101" width="6.453125" bestFit="1" customWidth="1"/>
    <col min="15102" max="15102" width="12.54296875" customWidth="1"/>
    <col min="15103" max="15103" width="10" customWidth="1"/>
    <col min="15104" max="15104" width="16" customWidth="1"/>
    <col min="15105" max="15105" width="15.453125" customWidth="1"/>
    <col min="15106" max="15106" width="14.453125" customWidth="1"/>
    <col min="15107" max="15107" width="10.453125" customWidth="1"/>
    <col min="15108" max="15108" width="7.453125" customWidth="1"/>
    <col min="15109" max="15109" width="10.08984375" customWidth="1"/>
    <col min="15110" max="15111" width="10.54296875" customWidth="1"/>
    <col min="15112" max="15112" width="8.453125" bestFit="1" customWidth="1"/>
    <col min="15113" max="15113" width="7" bestFit="1" customWidth="1"/>
    <col min="15114" max="15114" width="10" bestFit="1" customWidth="1"/>
    <col min="15115" max="15115" width="11.08984375" bestFit="1" customWidth="1"/>
    <col min="15116" max="15116" width="8.54296875" bestFit="1" customWidth="1"/>
    <col min="15117" max="15118" width="7.54296875" bestFit="1" customWidth="1"/>
    <col min="15119" max="15119" width="7.54296875" customWidth="1"/>
    <col min="15120" max="15120" width="8" bestFit="1" customWidth="1"/>
    <col min="15121" max="15121" width="7.54296875" bestFit="1" customWidth="1"/>
    <col min="15122" max="15122" width="6.453125" bestFit="1" customWidth="1"/>
    <col min="15357" max="15357" width="6.453125" bestFit="1" customWidth="1"/>
    <col min="15358" max="15358" width="12.54296875" customWidth="1"/>
    <col min="15359" max="15359" width="10" customWidth="1"/>
    <col min="15360" max="15360" width="16" customWidth="1"/>
    <col min="15361" max="15361" width="15.453125" customWidth="1"/>
    <col min="15362" max="15362" width="14.453125" customWidth="1"/>
    <col min="15363" max="15363" width="10.453125" customWidth="1"/>
    <col min="15364" max="15364" width="7.453125" customWidth="1"/>
    <col min="15365" max="15365" width="10.08984375" customWidth="1"/>
    <col min="15366" max="15367" width="10.54296875" customWidth="1"/>
    <col min="15368" max="15368" width="8.453125" bestFit="1" customWidth="1"/>
    <col min="15369" max="15369" width="7" bestFit="1" customWidth="1"/>
    <col min="15370" max="15370" width="10" bestFit="1" customWidth="1"/>
    <col min="15371" max="15371" width="11.08984375" bestFit="1" customWidth="1"/>
    <col min="15372" max="15372" width="8.54296875" bestFit="1" customWidth="1"/>
    <col min="15373" max="15374" width="7.54296875" bestFit="1" customWidth="1"/>
    <col min="15375" max="15375" width="7.54296875" customWidth="1"/>
    <col min="15376" max="15376" width="8" bestFit="1" customWidth="1"/>
    <col min="15377" max="15377" width="7.54296875" bestFit="1" customWidth="1"/>
    <col min="15378" max="15378" width="6.453125" bestFit="1" customWidth="1"/>
    <col min="15613" max="15613" width="6.453125" bestFit="1" customWidth="1"/>
    <col min="15614" max="15614" width="12.54296875" customWidth="1"/>
    <col min="15615" max="15615" width="10" customWidth="1"/>
    <col min="15616" max="15616" width="16" customWidth="1"/>
    <col min="15617" max="15617" width="15.453125" customWidth="1"/>
    <col min="15618" max="15618" width="14.453125" customWidth="1"/>
    <col min="15619" max="15619" width="10.453125" customWidth="1"/>
    <col min="15620" max="15620" width="7.453125" customWidth="1"/>
    <col min="15621" max="15621" width="10.08984375" customWidth="1"/>
    <col min="15622" max="15623" width="10.54296875" customWidth="1"/>
    <col min="15624" max="15624" width="8.453125" bestFit="1" customWidth="1"/>
    <col min="15625" max="15625" width="7" bestFit="1" customWidth="1"/>
    <col min="15626" max="15626" width="10" bestFit="1" customWidth="1"/>
    <col min="15627" max="15627" width="11.08984375" bestFit="1" customWidth="1"/>
    <col min="15628" max="15628" width="8.54296875" bestFit="1" customWidth="1"/>
    <col min="15629" max="15630" width="7.54296875" bestFit="1" customWidth="1"/>
    <col min="15631" max="15631" width="7.54296875" customWidth="1"/>
    <col min="15632" max="15632" width="8" bestFit="1" customWidth="1"/>
    <col min="15633" max="15633" width="7.54296875" bestFit="1" customWidth="1"/>
    <col min="15634" max="15634" width="6.453125" bestFit="1" customWidth="1"/>
    <col min="15869" max="15869" width="6.453125" bestFit="1" customWidth="1"/>
    <col min="15870" max="15870" width="12.54296875" customWidth="1"/>
    <col min="15871" max="15871" width="10" customWidth="1"/>
    <col min="15872" max="15872" width="16" customWidth="1"/>
    <col min="15873" max="15873" width="15.453125" customWidth="1"/>
    <col min="15874" max="15874" width="14.453125" customWidth="1"/>
    <col min="15875" max="15875" width="10.453125" customWidth="1"/>
    <col min="15876" max="15876" width="7.453125" customWidth="1"/>
    <col min="15877" max="15877" width="10.08984375" customWidth="1"/>
    <col min="15878" max="15879" width="10.54296875" customWidth="1"/>
    <col min="15880" max="15880" width="8.453125" bestFit="1" customWidth="1"/>
    <col min="15881" max="15881" width="7" bestFit="1" customWidth="1"/>
    <col min="15882" max="15882" width="10" bestFit="1" customWidth="1"/>
    <col min="15883" max="15883" width="11.08984375" bestFit="1" customWidth="1"/>
    <col min="15884" max="15884" width="8.54296875" bestFit="1" customWidth="1"/>
    <col min="15885" max="15886" width="7.54296875" bestFit="1" customWidth="1"/>
    <col min="15887" max="15887" width="7.54296875" customWidth="1"/>
    <col min="15888" max="15888" width="8" bestFit="1" customWidth="1"/>
    <col min="15889" max="15889" width="7.54296875" bestFit="1" customWidth="1"/>
    <col min="15890" max="15890" width="6.453125" bestFit="1" customWidth="1"/>
    <col min="16125" max="16125" width="6.453125" bestFit="1" customWidth="1"/>
    <col min="16126" max="16126" width="12.54296875" customWidth="1"/>
    <col min="16127" max="16127" width="10" customWidth="1"/>
    <col min="16128" max="16128" width="16" customWidth="1"/>
    <col min="16129" max="16129" width="15.453125" customWidth="1"/>
    <col min="16130" max="16130" width="14.453125" customWidth="1"/>
    <col min="16131" max="16131" width="10.453125" customWidth="1"/>
    <col min="16132" max="16132" width="7.453125" customWidth="1"/>
    <col min="16133" max="16133" width="10.08984375" customWidth="1"/>
    <col min="16134" max="16135" width="10.54296875" customWidth="1"/>
    <col min="16136" max="16136" width="8.453125" bestFit="1" customWidth="1"/>
    <col min="16137" max="16137" width="7" bestFit="1" customWidth="1"/>
    <col min="16138" max="16138" width="10" bestFit="1" customWidth="1"/>
    <col min="16139" max="16139" width="11.08984375" bestFit="1" customWidth="1"/>
    <col min="16140" max="16140" width="8.54296875" bestFit="1" customWidth="1"/>
    <col min="16141" max="16142" width="7.54296875" bestFit="1" customWidth="1"/>
    <col min="16143" max="16143" width="7.54296875" customWidth="1"/>
    <col min="16144" max="16144" width="8" bestFit="1" customWidth="1"/>
    <col min="16145" max="16145" width="7.54296875" bestFit="1" customWidth="1"/>
    <col min="16146" max="16146" width="6.453125" bestFit="1" customWidth="1"/>
  </cols>
  <sheetData>
    <row r="1" spans="1:35">
      <c r="A1" s="72" t="s">
        <v>69</v>
      </c>
      <c r="B1" s="72" t="s">
        <v>79</v>
      </c>
      <c r="C1" s="72" t="s">
        <v>69</v>
      </c>
      <c r="D1" s="72" t="s">
        <v>70</v>
      </c>
      <c r="E1" s="72" t="s">
        <v>80</v>
      </c>
      <c r="F1" s="73" t="s">
        <v>81</v>
      </c>
      <c r="G1" s="74" t="s">
        <v>82</v>
      </c>
      <c r="H1" s="75"/>
      <c r="I1" s="76"/>
      <c r="J1" s="76"/>
      <c r="K1" s="76"/>
      <c r="L1" s="76"/>
      <c r="M1" s="76"/>
      <c r="N1" s="76"/>
      <c r="O1" s="74" t="s">
        <v>105</v>
      </c>
      <c r="P1" s="75"/>
      <c r="Q1" s="75"/>
      <c r="R1" s="75"/>
      <c r="S1" s="75"/>
      <c r="T1" s="75"/>
      <c r="U1" s="75"/>
      <c r="V1" s="75"/>
      <c r="W1" s="75"/>
      <c r="X1" s="75"/>
      <c r="Y1" s="75"/>
      <c r="Z1" s="75"/>
      <c r="AA1" s="76"/>
      <c r="AB1" s="76"/>
      <c r="AC1" s="76"/>
      <c r="AD1" s="76"/>
      <c r="AE1" s="76"/>
      <c r="AF1" s="76"/>
      <c r="AG1" s="76"/>
      <c r="AH1" s="76"/>
      <c r="AI1" s="4"/>
    </row>
    <row r="2" spans="1:35">
      <c r="A2" s="72"/>
      <c r="B2" s="72"/>
      <c r="C2" s="72"/>
      <c r="D2" s="72"/>
      <c r="E2" s="72"/>
      <c r="F2" s="77" t="s">
        <v>83</v>
      </c>
      <c r="G2" s="78" t="s">
        <v>6</v>
      </c>
      <c r="H2" s="78" t="s">
        <v>4</v>
      </c>
      <c r="I2" s="79" t="s">
        <v>7</v>
      </c>
      <c r="J2" s="79" t="s">
        <v>2</v>
      </c>
      <c r="K2" s="79" t="s">
        <v>5</v>
      </c>
      <c r="L2" s="79" t="s">
        <v>3</v>
      </c>
      <c r="M2" s="78" t="s">
        <v>71</v>
      </c>
      <c r="N2" s="79" t="s">
        <v>8</v>
      </c>
      <c r="O2" s="111" t="s">
        <v>18</v>
      </c>
      <c r="P2" s="112" t="s">
        <v>106</v>
      </c>
      <c r="Q2" s="112" t="s">
        <v>184</v>
      </c>
      <c r="R2" s="112" t="s">
        <v>20</v>
      </c>
      <c r="S2" s="112" t="s">
        <v>188</v>
      </c>
      <c r="T2" s="112" t="s">
        <v>189</v>
      </c>
      <c r="U2" s="112" t="s">
        <v>190</v>
      </c>
      <c r="V2" s="112" t="s">
        <v>191</v>
      </c>
      <c r="W2" s="112" t="s">
        <v>107</v>
      </c>
      <c r="X2" s="112" t="s">
        <v>21</v>
      </c>
      <c r="Y2" s="112" t="s">
        <v>22</v>
      </c>
      <c r="Z2" s="88" t="s">
        <v>9</v>
      </c>
      <c r="AA2" s="88" t="s">
        <v>10</v>
      </c>
      <c r="AB2" s="88" t="s">
        <v>11</v>
      </c>
      <c r="AC2" s="88" t="s">
        <v>12</v>
      </c>
      <c r="AD2" s="88" t="s">
        <v>13</v>
      </c>
      <c r="AE2" s="88" t="s">
        <v>14</v>
      </c>
      <c r="AF2" s="88" t="s">
        <v>15</v>
      </c>
      <c r="AG2" s="88" t="s">
        <v>16</v>
      </c>
      <c r="AH2" s="88" t="s">
        <v>17</v>
      </c>
      <c r="AI2" s="4"/>
    </row>
    <row r="3" spans="1:35">
      <c r="A3" s="80" t="s">
        <v>72</v>
      </c>
      <c r="B3" s="81" t="s">
        <v>73</v>
      </c>
      <c r="C3" s="82" t="s">
        <v>84</v>
      </c>
      <c r="D3" s="83" t="s">
        <v>85</v>
      </c>
      <c r="E3" s="1"/>
      <c r="F3" s="98">
        <f>SUM(F4:F47)</f>
        <v>1199698359.2412488</v>
      </c>
      <c r="I3" s="41"/>
      <c r="J3" s="41"/>
      <c r="K3" s="41"/>
      <c r="L3" s="41"/>
      <c r="M3" s="41"/>
      <c r="N3" s="84"/>
      <c r="O3" s="4"/>
      <c r="AA3" s="41"/>
      <c r="AB3" s="41"/>
      <c r="AC3" s="41"/>
      <c r="AD3" s="41"/>
      <c r="AE3" s="41"/>
      <c r="AF3" s="41"/>
      <c r="AG3" s="41"/>
      <c r="AH3" s="41"/>
      <c r="AI3" s="4"/>
    </row>
    <row r="4" spans="1:35">
      <c r="A4" s="66"/>
      <c r="B4" s="1"/>
      <c r="C4" s="1"/>
      <c r="E4" s="85" t="s">
        <v>86</v>
      </c>
      <c r="F4" s="97">
        <v>0</v>
      </c>
      <c r="G4" s="485">
        <v>92.227254202533359</v>
      </c>
      <c r="H4" s="130">
        <v>0.2</v>
      </c>
      <c r="I4" s="130">
        <v>1.5E-3</v>
      </c>
      <c r="J4" s="129">
        <v>0.05</v>
      </c>
      <c r="K4" s="129">
        <v>5</v>
      </c>
      <c r="L4" s="507">
        <v>0.2</v>
      </c>
      <c r="M4" s="485">
        <v>0.64552945034458353</v>
      </c>
      <c r="N4" s="479">
        <v>4.8000000000000001E-4</v>
      </c>
      <c r="O4" s="553">
        <v>439</v>
      </c>
      <c r="P4" s="507">
        <v>432.41500000000002</v>
      </c>
      <c r="Q4" s="507">
        <v>27.674560000000003</v>
      </c>
      <c r="R4" s="129">
        <v>0.19585363523454669</v>
      </c>
      <c r="S4" s="129">
        <v>4.7769179325499185E-2</v>
      </c>
      <c r="T4" s="129">
        <v>1.5923059775166397E-3</v>
      </c>
      <c r="U4" s="129">
        <v>9.553835865099837E-2</v>
      </c>
      <c r="V4" s="129">
        <v>5.0953791280532471E-2</v>
      </c>
      <c r="W4" s="129">
        <v>0.31846119550332791</v>
      </c>
      <c r="X4" s="129">
        <v>1.4330753797649757E-4</v>
      </c>
      <c r="Y4" s="129">
        <v>5.0953791280532467E-7</v>
      </c>
      <c r="Z4" s="178">
        <v>3.2000000000000002E-3</v>
      </c>
      <c r="AA4" s="178">
        <v>1E-4</v>
      </c>
      <c r="AB4" s="178">
        <v>1.6999999999999999E-3</v>
      </c>
      <c r="AC4" s="178">
        <v>4.2000000000000006E-3</v>
      </c>
      <c r="AD4" s="178">
        <v>9.5999999999999992E-3</v>
      </c>
      <c r="AE4" s="178">
        <v>4.2000000000000006E-3</v>
      </c>
      <c r="AF4" s="178">
        <v>7.6E-3</v>
      </c>
      <c r="AG4" s="178">
        <v>1.9E-3</v>
      </c>
      <c r="AH4" s="178">
        <v>1.6800000000000002E-2</v>
      </c>
      <c r="AI4" s="4"/>
    </row>
    <row r="5" spans="1:35">
      <c r="A5" s="66"/>
      <c r="B5" s="1"/>
      <c r="C5" s="86"/>
      <c r="E5" s="66" t="s">
        <v>87</v>
      </c>
      <c r="F5" s="98">
        <v>0</v>
      </c>
      <c r="G5" s="485">
        <v>105.30530572883049</v>
      </c>
      <c r="H5" s="130">
        <v>1.4999999999999999E-2</v>
      </c>
      <c r="I5" s="130">
        <v>1.5E-3</v>
      </c>
      <c r="J5" s="129">
        <v>7.0000000000000007E-2</v>
      </c>
      <c r="K5" s="129">
        <v>5</v>
      </c>
      <c r="L5" s="507">
        <v>5.0000000000000001E-3</v>
      </c>
      <c r="M5" s="485">
        <v>0.68241684750713127</v>
      </c>
      <c r="N5" s="131">
        <v>0</v>
      </c>
      <c r="O5" s="553">
        <v>439</v>
      </c>
      <c r="P5" s="507">
        <v>432.41500000000002</v>
      </c>
      <c r="Q5" s="507">
        <v>27.674560000000003</v>
      </c>
      <c r="R5" s="129"/>
      <c r="S5" s="129"/>
      <c r="T5" s="129"/>
      <c r="U5" s="129"/>
      <c r="V5" s="129"/>
      <c r="W5" s="129">
        <v>0.34120842375356564</v>
      </c>
      <c r="X5" s="129"/>
      <c r="Y5" s="129"/>
      <c r="Z5" s="178">
        <v>0</v>
      </c>
      <c r="AA5" s="178">
        <v>0</v>
      </c>
      <c r="AB5" s="178">
        <v>0</v>
      </c>
      <c r="AC5" s="178">
        <v>0</v>
      </c>
      <c r="AD5" s="178">
        <v>0</v>
      </c>
      <c r="AE5" s="178">
        <v>0</v>
      </c>
      <c r="AF5" s="178">
        <v>0</v>
      </c>
      <c r="AG5" s="178">
        <v>0</v>
      </c>
      <c r="AH5" s="178">
        <v>0</v>
      </c>
      <c r="AI5" s="4"/>
    </row>
    <row r="6" spans="1:35">
      <c r="A6" s="66"/>
      <c r="B6" s="1"/>
      <c r="C6" s="86"/>
      <c r="E6" s="66" t="s">
        <v>88</v>
      </c>
      <c r="F6" s="98">
        <v>3157643.7582168891</v>
      </c>
      <c r="G6" s="485">
        <v>94.6</v>
      </c>
      <c r="H6" s="486">
        <v>0.32</v>
      </c>
      <c r="I6" s="485">
        <v>1.4E-2</v>
      </c>
      <c r="J6" s="485">
        <v>6.5532605989411657E-2</v>
      </c>
      <c r="K6" s="485">
        <v>4.6086098486546856</v>
      </c>
      <c r="L6" s="485">
        <v>0.5332493070921106</v>
      </c>
      <c r="M6" s="485">
        <v>1.392481787374599E-2</v>
      </c>
      <c r="N6" s="485">
        <v>4.8616966720255407E-3</v>
      </c>
      <c r="O6" s="554">
        <v>352.16085301917013</v>
      </c>
      <c r="P6" s="485">
        <v>347.72601587506023</v>
      </c>
      <c r="Q6" s="485">
        <v>31.313994084462305</v>
      </c>
      <c r="R6" s="485">
        <v>0.19142113019948215</v>
      </c>
      <c r="S6" s="485">
        <v>5.7996642607123353E-2</v>
      </c>
      <c r="T6" s="485">
        <v>6.6023238518216787E-2</v>
      </c>
      <c r="U6" s="485">
        <v>2.9582292853666058E-2</v>
      </c>
      <c r="V6" s="485">
        <v>3.7818956220475958E-2</v>
      </c>
      <c r="W6" s="485">
        <v>0.36523850547302616</v>
      </c>
      <c r="X6" s="485">
        <v>5.9000006966566265E-5</v>
      </c>
      <c r="Y6" s="485">
        <v>5.9000006966566261E-6</v>
      </c>
      <c r="Z6" s="555">
        <v>4.9166672472138553E-4</v>
      </c>
      <c r="AA6" s="555">
        <v>1.3117314486295727E-3</v>
      </c>
      <c r="AB6" s="555">
        <v>3.3258404665087115E-3</v>
      </c>
      <c r="AC6" s="555">
        <v>5.272265120536474E-3</v>
      </c>
      <c r="AD6" s="555">
        <v>3.9333337977710847E-4</v>
      </c>
      <c r="AE6" s="555">
        <v>1.9666668988855421E-3</v>
      </c>
      <c r="AF6" s="555">
        <v>3.38467301242453E-2</v>
      </c>
      <c r="AG6" s="555">
        <v>4.9166672472138553E-4</v>
      </c>
      <c r="AH6" s="555">
        <v>9.0150378185640548E-2</v>
      </c>
      <c r="AI6" s="4"/>
    </row>
    <row r="7" spans="1:35">
      <c r="A7" s="66"/>
      <c r="B7" s="1"/>
      <c r="C7" s="86"/>
      <c r="E7" s="66" t="s">
        <v>89</v>
      </c>
      <c r="F7" s="98">
        <v>59200364.68648719</v>
      </c>
      <c r="G7" s="486">
        <v>66.239880472459731</v>
      </c>
      <c r="H7" s="486">
        <v>5.3080751935427016E-3</v>
      </c>
      <c r="I7" s="486">
        <v>8.8763799223122112E-3</v>
      </c>
      <c r="J7" s="486">
        <v>0.10463098954986282</v>
      </c>
      <c r="K7" s="486">
        <v>2.3692391181365346E-2</v>
      </c>
      <c r="L7" s="486">
        <v>0.28604688342059414</v>
      </c>
      <c r="M7" s="486">
        <v>4.6173695494470202E-2</v>
      </c>
      <c r="N7" s="313">
        <v>1.5933516699181383E-4</v>
      </c>
      <c r="O7" s="554">
        <v>0.57775031501649721</v>
      </c>
      <c r="P7" s="485">
        <v>0.36606991908575076</v>
      </c>
      <c r="Q7" s="485">
        <v>1.2812447168001256E-2</v>
      </c>
      <c r="R7" s="485">
        <v>9.9339262546330263E-5</v>
      </c>
      <c r="S7" s="485">
        <v>3.3023567974290306E-5</v>
      </c>
      <c r="T7" s="485">
        <v>1.4656885620712934E-5</v>
      </c>
      <c r="U7" s="485">
        <v>3.9168059351386702E-5</v>
      </c>
      <c r="V7" s="485">
        <v>1.2492143881231092E-5</v>
      </c>
      <c r="W7" s="485">
        <v>1.6515463372382064E-2</v>
      </c>
      <c r="X7" s="485">
        <v>2.7209372950468887E-2</v>
      </c>
      <c r="Y7" s="485">
        <v>1.1493545928931426E-2</v>
      </c>
      <c r="Z7" s="555">
        <v>1.1945145318245046E-3</v>
      </c>
      <c r="AA7" s="555">
        <v>8.9458538138715638E-4</v>
      </c>
      <c r="AB7" s="555">
        <v>5.7531160299674521E-3</v>
      </c>
      <c r="AC7" s="555">
        <v>4.4775240345197179E-3</v>
      </c>
      <c r="AD7" s="555">
        <v>1.9639605471835834E-3</v>
      </c>
      <c r="AE7" s="555">
        <v>5.6662269093043778E-4</v>
      </c>
      <c r="AF7" s="555">
        <v>5.9835852965860595E-2</v>
      </c>
      <c r="AG7" s="555">
        <v>7.2422491814600756E-4</v>
      </c>
      <c r="AH7" s="555">
        <v>4.540394092870325E-2</v>
      </c>
      <c r="AI7" s="4"/>
    </row>
    <row r="8" spans="1:35">
      <c r="A8" s="66"/>
      <c r="B8" s="1"/>
      <c r="C8" s="86"/>
      <c r="E8" s="66" t="s">
        <v>90</v>
      </c>
      <c r="F8" s="98">
        <v>25267922.00480156</v>
      </c>
      <c r="G8" s="486">
        <v>153.84287966405591</v>
      </c>
      <c r="H8" s="486">
        <v>5.3086700208410552E-3</v>
      </c>
      <c r="I8" s="486">
        <v>8.877374616791063E-3</v>
      </c>
      <c r="J8" s="486"/>
      <c r="K8" s="485"/>
      <c r="L8" s="485"/>
      <c r="M8" s="485"/>
      <c r="N8" s="485"/>
      <c r="O8" s="553"/>
      <c r="P8" s="129"/>
      <c r="Q8" s="129"/>
      <c r="R8" s="129"/>
      <c r="S8" s="129"/>
      <c r="T8" s="129"/>
      <c r="U8" s="129"/>
      <c r="V8" s="129"/>
      <c r="W8" s="129"/>
      <c r="X8" s="129"/>
      <c r="Y8" s="129"/>
      <c r="Z8" s="556"/>
      <c r="AA8" s="556"/>
      <c r="AB8" s="556"/>
      <c r="AC8" s="556"/>
      <c r="AD8" s="556"/>
      <c r="AE8" s="556"/>
      <c r="AF8" s="556"/>
      <c r="AG8" s="556"/>
      <c r="AH8" s="556"/>
      <c r="AI8" s="4"/>
    </row>
    <row r="9" spans="1:35">
      <c r="A9" s="66"/>
      <c r="B9" s="1"/>
      <c r="C9" s="86"/>
      <c r="E9" s="66" t="s">
        <v>91</v>
      </c>
      <c r="F9" s="98">
        <v>0</v>
      </c>
      <c r="G9" s="486">
        <v>79.599999999999994</v>
      </c>
      <c r="H9" s="133">
        <v>1.2E-2</v>
      </c>
      <c r="I9" s="133">
        <v>2E-3</v>
      </c>
      <c r="J9" s="132">
        <v>1.3</v>
      </c>
      <c r="K9" s="129">
        <v>0.41</v>
      </c>
      <c r="L9" s="129">
        <v>8.7999999999999995E-2</v>
      </c>
      <c r="M9" s="485">
        <v>4.6864093846660126E-2</v>
      </c>
      <c r="N9" s="131">
        <v>0</v>
      </c>
      <c r="O9" s="553"/>
      <c r="P9" s="129"/>
      <c r="Q9" s="129"/>
      <c r="R9" s="129"/>
      <c r="S9" s="129"/>
      <c r="T9" s="129"/>
      <c r="U9" s="129"/>
      <c r="V9" s="129"/>
      <c r="W9" s="129"/>
      <c r="X9" s="129"/>
      <c r="Y9" s="129"/>
      <c r="Z9" s="557"/>
      <c r="AA9" s="557"/>
      <c r="AB9" s="557"/>
      <c r="AC9" s="557"/>
      <c r="AD9" s="557"/>
      <c r="AE9" s="557"/>
      <c r="AF9" s="557"/>
      <c r="AG9" s="557"/>
      <c r="AH9" s="557"/>
      <c r="AI9" s="4"/>
    </row>
    <row r="10" spans="1:35">
      <c r="A10" s="66"/>
      <c r="B10" s="1"/>
      <c r="C10" s="86"/>
      <c r="E10" s="66" t="s">
        <v>92</v>
      </c>
      <c r="F10" s="98">
        <v>0</v>
      </c>
      <c r="G10" s="485">
        <v>76.475036910814254</v>
      </c>
      <c r="H10" s="130">
        <v>3.0000000000000001E-3</v>
      </c>
      <c r="I10" s="130">
        <v>2E-3</v>
      </c>
      <c r="J10" s="129">
        <v>0.15</v>
      </c>
      <c r="K10" s="129">
        <v>1.6E-2</v>
      </c>
      <c r="L10" s="507">
        <v>1.4999999999999999E-2</v>
      </c>
      <c r="M10" s="485">
        <v>0.14623218160867099</v>
      </c>
      <c r="N10" s="131">
        <v>0</v>
      </c>
      <c r="O10" s="553">
        <v>58.7</v>
      </c>
      <c r="P10" s="507">
        <v>46.960000000000008</v>
      </c>
      <c r="Q10" s="507">
        <v>26.297600000000006</v>
      </c>
      <c r="R10" s="129">
        <v>3.6338697129754738E-4</v>
      </c>
      <c r="S10" s="129">
        <v>8.3596063819623581E-5</v>
      </c>
      <c r="T10" s="129">
        <v>6.8972845658756484E-5</v>
      </c>
      <c r="U10" s="129">
        <v>1.6670468703388491E-4</v>
      </c>
      <c r="V10" s="129">
        <v>4.4113374785282415E-5</v>
      </c>
      <c r="W10" s="129">
        <v>2.4372030268111831E-2</v>
      </c>
      <c r="X10" s="129">
        <v>8.7739308965202592E-5</v>
      </c>
      <c r="Y10" s="129"/>
      <c r="Z10" s="178">
        <v>2.4399999999999998E-2</v>
      </c>
      <c r="AA10" s="178">
        <v>2.4399999999999998E-2</v>
      </c>
      <c r="AB10" s="178">
        <v>6.0899999999999996E-2</v>
      </c>
      <c r="AC10" s="178">
        <v>2.4399999999999998E-2</v>
      </c>
      <c r="AD10" s="178">
        <v>4.9000000000000007E-3</v>
      </c>
      <c r="AE10" s="178">
        <v>0.85299999999999998</v>
      </c>
      <c r="AF10" s="178">
        <v>3.1699999999999999E-2</v>
      </c>
      <c r="AG10" s="178">
        <v>1.1999999999999999E-3</v>
      </c>
      <c r="AH10" s="178">
        <v>2.4399999999999998E-2</v>
      </c>
      <c r="AI10" s="4"/>
    </row>
    <row r="11" spans="1:35">
      <c r="A11" s="66"/>
      <c r="B11" s="1"/>
      <c r="C11" s="86"/>
      <c r="E11" s="66" t="s">
        <v>93</v>
      </c>
      <c r="F11" s="98">
        <v>1398809.4616320003</v>
      </c>
      <c r="G11" s="485">
        <v>73.926512687586879</v>
      </c>
      <c r="H11" s="130">
        <v>7.0000000000000001E-3</v>
      </c>
      <c r="I11" s="130">
        <v>2E-3</v>
      </c>
      <c r="J11" s="129">
        <v>0.05</v>
      </c>
      <c r="K11" s="129">
        <v>0.02</v>
      </c>
      <c r="L11" s="507">
        <v>5.0000000000000001E-3</v>
      </c>
      <c r="M11" s="485">
        <v>4.6864093846660126E-2</v>
      </c>
      <c r="N11" s="131">
        <v>0</v>
      </c>
      <c r="O11" s="558">
        <v>3.6</v>
      </c>
      <c r="P11" s="507">
        <v>3.6</v>
      </c>
      <c r="Q11" s="507">
        <v>2.0160000000000005</v>
      </c>
      <c r="R11" s="129"/>
      <c r="S11" s="129"/>
      <c r="T11" s="129"/>
      <c r="U11" s="129"/>
      <c r="V11" s="129"/>
      <c r="W11" s="129">
        <v>2.3416264375244699E-2</v>
      </c>
      <c r="X11" s="129"/>
      <c r="Y11" s="129"/>
      <c r="Z11" s="178">
        <v>1.1999999999999999E-3</v>
      </c>
      <c r="AA11" s="178">
        <v>1.1999999999999999E-3</v>
      </c>
      <c r="AB11" s="178">
        <v>5.0000000000000001E-4</v>
      </c>
      <c r="AC11" s="178">
        <v>1.1999999999999999E-3</v>
      </c>
      <c r="AD11" s="178">
        <v>0</v>
      </c>
      <c r="AE11" s="178">
        <v>1.1999999999999999E-3</v>
      </c>
      <c r="AF11" s="178">
        <v>4.7000000000000002E-3</v>
      </c>
      <c r="AG11" s="178">
        <v>2.0000000000000002E-5</v>
      </c>
      <c r="AH11" s="178">
        <v>2.3E-3</v>
      </c>
      <c r="AI11" s="4"/>
    </row>
    <row r="12" spans="1:35">
      <c r="A12" s="66"/>
      <c r="B12" s="1"/>
      <c r="C12" s="86"/>
      <c r="E12" s="66" t="s">
        <v>94</v>
      </c>
      <c r="F12" s="98">
        <v>0</v>
      </c>
      <c r="G12" s="129">
        <v>71.900000000000006</v>
      </c>
      <c r="H12" s="130">
        <v>7.0000000000000001E-3</v>
      </c>
      <c r="I12" s="130">
        <v>2E-3</v>
      </c>
      <c r="J12" s="129">
        <v>0.05</v>
      </c>
      <c r="K12" s="129">
        <v>0.06</v>
      </c>
      <c r="L12" s="507">
        <v>5.0000000000000001E-3</v>
      </c>
      <c r="M12" s="129">
        <v>1.8372761279038148E-2</v>
      </c>
      <c r="N12" s="131">
        <v>0</v>
      </c>
      <c r="O12" s="558">
        <v>3.6</v>
      </c>
      <c r="P12" s="507">
        <v>3.6</v>
      </c>
      <c r="Q12" s="507">
        <v>2.0160000000000005</v>
      </c>
      <c r="R12" s="129"/>
      <c r="S12" s="129"/>
      <c r="T12" s="129"/>
      <c r="U12" s="129"/>
      <c r="V12" s="129"/>
      <c r="W12" s="129">
        <v>2.3188922002669508E-2</v>
      </c>
      <c r="X12" s="129"/>
      <c r="Y12" s="129"/>
      <c r="Z12" s="178">
        <v>0</v>
      </c>
      <c r="AA12" s="178">
        <v>0</v>
      </c>
      <c r="AB12" s="178">
        <v>0</v>
      </c>
      <c r="AC12" s="178">
        <v>0</v>
      </c>
      <c r="AD12" s="178">
        <v>0</v>
      </c>
      <c r="AE12" s="178">
        <v>0</v>
      </c>
      <c r="AF12" s="178">
        <v>0</v>
      </c>
      <c r="AG12" s="178">
        <v>0</v>
      </c>
      <c r="AH12" s="178">
        <v>0</v>
      </c>
      <c r="AI12" s="4"/>
    </row>
    <row r="13" spans="1:35">
      <c r="A13" s="66"/>
      <c r="B13" s="1"/>
      <c r="C13" s="86"/>
      <c r="E13" s="66" t="s">
        <v>95</v>
      </c>
      <c r="F13" s="98">
        <v>238484918.72268939</v>
      </c>
      <c r="G13" s="485">
        <v>59.088958691145862</v>
      </c>
      <c r="H13" s="130">
        <v>2.5000000000000001E-3</v>
      </c>
      <c r="I13" s="130">
        <v>1E-3</v>
      </c>
      <c r="J13" s="485">
        <v>2.6828644629376015E-2</v>
      </c>
      <c r="K13" s="129">
        <v>2.5000000000000001E-2</v>
      </c>
      <c r="L13" s="507">
        <v>2E-3</v>
      </c>
      <c r="M13" s="498">
        <v>2.9999999999999997E-4</v>
      </c>
      <c r="N13" s="131">
        <v>0</v>
      </c>
      <c r="O13" s="558">
        <v>0.2</v>
      </c>
      <c r="P13" s="507">
        <v>0.2</v>
      </c>
      <c r="Q13" s="507">
        <v>8.0000000000000002E-3</v>
      </c>
      <c r="R13" s="129"/>
      <c r="S13" s="129"/>
      <c r="T13" s="129"/>
      <c r="U13" s="129"/>
      <c r="V13" s="129"/>
      <c r="W13" s="129"/>
      <c r="X13" s="129"/>
      <c r="Y13" s="129"/>
      <c r="Z13" s="178">
        <v>0</v>
      </c>
      <c r="AA13" s="178">
        <v>0</v>
      </c>
      <c r="AB13" s="178">
        <v>0</v>
      </c>
      <c r="AC13" s="178">
        <v>0</v>
      </c>
      <c r="AD13" s="178">
        <v>2.0000000000000001E-4</v>
      </c>
      <c r="AE13" s="178">
        <v>0</v>
      </c>
      <c r="AF13" s="178">
        <v>0</v>
      </c>
      <c r="AG13" s="178">
        <v>0</v>
      </c>
      <c r="AH13" s="178">
        <v>0</v>
      </c>
      <c r="AI13" s="4"/>
    </row>
    <row r="14" spans="1:35">
      <c r="A14" s="66"/>
      <c r="B14" s="1"/>
      <c r="C14" s="86"/>
      <c r="E14" s="66" t="s">
        <v>53</v>
      </c>
      <c r="F14" s="98">
        <v>18536406.394914486</v>
      </c>
      <c r="G14" s="485">
        <v>65.98436196093148</v>
      </c>
      <c r="H14" s="130">
        <v>1E-3</v>
      </c>
      <c r="I14" s="130">
        <v>2E-3</v>
      </c>
      <c r="J14" s="485">
        <v>2.6828644629376015E-2</v>
      </c>
      <c r="K14" s="129">
        <v>0.01</v>
      </c>
      <c r="L14" s="507">
        <v>2E-3</v>
      </c>
      <c r="M14" s="485">
        <v>2.2000000000000001E-3</v>
      </c>
      <c r="N14" s="131">
        <v>0</v>
      </c>
      <c r="O14" s="558">
        <v>0.2</v>
      </c>
      <c r="P14" s="507">
        <v>0.2</v>
      </c>
      <c r="Q14" s="507">
        <v>0.11200000000000002</v>
      </c>
      <c r="R14" s="129"/>
      <c r="S14" s="129"/>
      <c r="T14" s="129"/>
      <c r="U14" s="129"/>
      <c r="V14" s="129"/>
      <c r="W14" s="129">
        <v>2.1713263329772359E-2</v>
      </c>
      <c r="X14" s="129"/>
      <c r="Y14" s="129"/>
      <c r="Z14" s="178">
        <v>0</v>
      </c>
      <c r="AA14" s="178">
        <v>0</v>
      </c>
      <c r="AB14" s="178">
        <v>0</v>
      </c>
      <c r="AC14" s="178">
        <v>0</v>
      </c>
      <c r="AD14" s="178">
        <v>0</v>
      </c>
      <c r="AE14" s="178">
        <v>0</v>
      </c>
      <c r="AF14" s="178">
        <v>0</v>
      </c>
      <c r="AG14" s="178">
        <v>0</v>
      </c>
      <c r="AH14" s="178">
        <v>0</v>
      </c>
      <c r="AI14" s="4"/>
    </row>
    <row r="15" spans="1:35">
      <c r="A15" s="66"/>
      <c r="B15" s="1"/>
      <c r="C15" s="86"/>
      <c r="E15" s="70" t="s">
        <v>96</v>
      </c>
      <c r="F15" s="99">
        <v>0</v>
      </c>
      <c r="G15" s="129">
        <v>56.1</v>
      </c>
      <c r="H15" s="130">
        <v>5.0000000000000001E-3</v>
      </c>
      <c r="I15" s="130">
        <v>1E-3</v>
      </c>
      <c r="J15" s="129">
        <v>0.05</v>
      </c>
      <c r="K15" s="129">
        <v>6.5000000000000002E-2</v>
      </c>
      <c r="L15" s="507">
        <v>2E-3</v>
      </c>
      <c r="M15" s="129">
        <v>1.1239806900117456E-2</v>
      </c>
      <c r="N15" s="506">
        <v>0</v>
      </c>
      <c r="O15" s="559">
        <v>0</v>
      </c>
      <c r="P15" s="560">
        <v>0</v>
      </c>
      <c r="Q15" s="560">
        <v>0</v>
      </c>
      <c r="R15" s="129"/>
      <c r="S15" s="129"/>
      <c r="T15" s="129"/>
      <c r="U15" s="129"/>
      <c r="V15" s="129"/>
      <c r="W15" s="129"/>
      <c r="X15" s="129"/>
      <c r="Y15" s="129"/>
      <c r="Z15" s="178">
        <v>0</v>
      </c>
      <c r="AA15" s="178">
        <v>0</v>
      </c>
      <c r="AB15" s="178">
        <v>0</v>
      </c>
      <c r="AC15" s="178">
        <v>0</v>
      </c>
      <c r="AD15" s="178">
        <v>0</v>
      </c>
      <c r="AE15" s="178">
        <v>0</v>
      </c>
      <c r="AF15" s="178">
        <v>0</v>
      </c>
      <c r="AG15" s="178">
        <v>0</v>
      </c>
      <c r="AH15" s="178">
        <v>0</v>
      </c>
      <c r="AI15" s="4"/>
    </row>
    <row r="16" spans="1:35">
      <c r="A16" s="66"/>
      <c r="B16" s="1"/>
      <c r="C16" s="87" t="s">
        <v>97</v>
      </c>
      <c r="D16" s="88" t="s">
        <v>98</v>
      </c>
      <c r="E16" s="66"/>
      <c r="F16" s="100"/>
      <c r="G16" s="489"/>
      <c r="H16" s="135"/>
      <c r="I16" s="135"/>
      <c r="J16" s="134"/>
      <c r="K16" s="134"/>
      <c r="L16" s="508"/>
      <c r="M16" s="489"/>
      <c r="N16" s="136"/>
      <c r="O16" s="561"/>
      <c r="P16" s="562"/>
      <c r="Q16" s="562"/>
      <c r="R16" s="562"/>
      <c r="S16" s="562"/>
      <c r="T16" s="562"/>
      <c r="U16" s="562"/>
      <c r="V16" s="562"/>
      <c r="W16" s="562"/>
      <c r="X16" s="562"/>
      <c r="Y16" s="562"/>
      <c r="Z16" s="178"/>
      <c r="AA16" s="178"/>
      <c r="AB16" s="178"/>
      <c r="AC16" s="178"/>
      <c r="AD16" s="178"/>
      <c r="AE16" s="178"/>
      <c r="AF16" s="178"/>
      <c r="AG16" s="178"/>
      <c r="AH16" s="178"/>
      <c r="AI16" s="4"/>
    </row>
    <row r="17" spans="1:35">
      <c r="A17" s="66"/>
      <c r="B17" s="1"/>
      <c r="C17" s="1"/>
      <c r="E17" s="85" t="s">
        <v>93</v>
      </c>
      <c r="F17" s="101">
        <v>33186</v>
      </c>
      <c r="G17" s="485">
        <v>73.926512687586879</v>
      </c>
      <c r="H17" s="137">
        <v>1.2E-2</v>
      </c>
      <c r="I17" s="137">
        <v>2E-3</v>
      </c>
      <c r="J17" s="138">
        <v>1.3</v>
      </c>
      <c r="K17" s="138">
        <v>0.41</v>
      </c>
      <c r="L17" s="509">
        <v>0.05</v>
      </c>
      <c r="M17" s="485">
        <v>4.6864093846660126E-2</v>
      </c>
      <c r="N17" s="139">
        <v>0</v>
      </c>
      <c r="O17" s="558">
        <v>14</v>
      </c>
      <c r="P17" s="507">
        <v>14</v>
      </c>
      <c r="Q17" s="507">
        <v>7.8400000000000007</v>
      </c>
      <c r="R17" s="129"/>
      <c r="S17" s="129"/>
      <c r="T17" s="129"/>
      <c r="U17" s="129"/>
      <c r="V17" s="129"/>
      <c r="W17" s="129">
        <v>2.3416264375244699E-2</v>
      </c>
      <c r="X17" s="129"/>
      <c r="Y17" s="129"/>
      <c r="Z17" s="178">
        <v>1.1999999999999999E-3</v>
      </c>
      <c r="AA17" s="178">
        <v>1.1999999999999999E-3</v>
      </c>
      <c r="AB17" s="178">
        <v>5.0000000000000001E-4</v>
      </c>
      <c r="AC17" s="178">
        <v>1.1999999999999999E-3</v>
      </c>
      <c r="AD17" s="178">
        <v>0</v>
      </c>
      <c r="AE17" s="178">
        <v>1.1999999999999999E-3</v>
      </c>
      <c r="AF17" s="178">
        <v>4.7000000000000002E-3</v>
      </c>
      <c r="AG17" s="178">
        <v>2.0000000000000002E-5</v>
      </c>
      <c r="AH17" s="178">
        <v>2.3E-3</v>
      </c>
      <c r="AI17" s="4"/>
    </row>
    <row r="18" spans="1:35">
      <c r="A18" s="66"/>
      <c r="B18" s="1"/>
      <c r="C18" s="1"/>
      <c r="E18" s="66" t="s">
        <v>99</v>
      </c>
      <c r="F18" s="102">
        <v>11153400.362796336</v>
      </c>
      <c r="G18" s="487">
        <v>50.544465770518279</v>
      </c>
      <c r="H18" s="141">
        <v>0.153</v>
      </c>
      <c r="I18" s="141">
        <v>3.0000000000000001E-3</v>
      </c>
      <c r="J18" s="140">
        <v>1</v>
      </c>
      <c r="K18" s="140">
        <v>0.3</v>
      </c>
      <c r="L18" s="510">
        <v>8.8999999999999996E-2</v>
      </c>
      <c r="M18" s="499">
        <v>0</v>
      </c>
      <c r="N18" s="142">
        <v>0</v>
      </c>
      <c r="O18" s="563">
        <v>10</v>
      </c>
      <c r="P18" s="564">
        <v>10</v>
      </c>
      <c r="Q18" s="564">
        <v>0.4</v>
      </c>
      <c r="R18" s="565"/>
      <c r="S18" s="565"/>
      <c r="T18" s="565"/>
      <c r="U18" s="565"/>
      <c r="V18" s="565"/>
      <c r="W18" s="565"/>
      <c r="X18" s="565"/>
      <c r="Y18" s="565"/>
      <c r="Z18" s="178">
        <v>0</v>
      </c>
      <c r="AA18" s="178">
        <v>0</v>
      </c>
      <c r="AB18" s="178">
        <v>0</v>
      </c>
      <c r="AC18" s="178">
        <v>0</v>
      </c>
      <c r="AD18" s="178">
        <v>0</v>
      </c>
      <c r="AE18" s="178">
        <v>0</v>
      </c>
      <c r="AF18" s="178">
        <v>0</v>
      </c>
      <c r="AG18" s="178">
        <v>0</v>
      </c>
      <c r="AH18" s="178">
        <v>0</v>
      </c>
      <c r="AI18" s="4"/>
    </row>
    <row r="19" spans="1:35">
      <c r="A19" s="70"/>
      <c r="B19" s="81"/>
      <c r="C19" s="81"/>
      <c r="D19" s="89"/>
      <c r="E19" s="70" t="s">
        <v>100</v>
      </c>
      <c r="F19" s="103">
        <v>0</v>
      </c>
      <c r="G19" s="488">
        <v>73.080939201699294</v>
      </c>
      <c r="H19" s="143">
        <v>9.2999999999999999E-2</v>
      </c>
      <c r="I19" s="143">
        <v>2.3E-3</v>
      </c>
      <c r="J19" s="144">
        <v>0.7</v>
      </c>
      <c r="K19" s="145">
        <v>26.946999999999999</v>
      </c>
      <c r="L19" s="511">
        <v>0.05</v>
      </c>
      <c r="M19" s="500">
        <v>2.274722825023771E-2</v>
      </c>
      <c r="N19" s="146">
        <v>0</v>
      </c>
      <c r="O19" s="566">
        <v>44</v>
      </c>
      <c r="P19" s="511">
        <v>44</v>
      </c>
      <c r="Q19" s="511">
        <v>24.64</v>
      </c>
      <c r="R19" s="145"/>
      <c r="S19" s="145"/>
      <c r="T19" s="145"/>
      <c r="U19" s="145"/>
      <c r="V19" s="145"/>
      <c r="W19" s="145"/>
      <c r="X19" s="129"/>
      <c r="Y19" s="129"/>
      <c r="Z19" s="178">
        <v>0</v>
      </c>
      <c r="AA19" s="178">
        <v>1.7100000000000001E-2</v>
      </c>
      <c r="AB19" s="178">
        <v>1.14E-2</v>
      </c>
      <c r="AC19" s="178">
        <v>3.9799999999999995E-2</v>
      </c>
      <c r="AD19" s="178">
        <v>0</v>
      </c>
      <c r="AE19" s="178">
        <v>1.14E-2</v>
      </c>
      <c r="AF19" s="178">
        <v>1.7060999999999999</v>
      </c>
      <c r="AG19" s="178">
        <v>1.1000000000000001E-3</v>
      </c>
      <c r="AH19" s="178">
        <v>0.11370000000000001</v>
      </c>
      <c r="AI19" s="4"/>
    </row>
    <row r="20" spans="1:35">
      <c r="F20" s="104"/>
      <c r="G20" s="490"/>
      <c r="H20" s="147"/>
      <c r="I20" s="148"/>
      <c r="J20" s="149"/>
      <c r="K20" s="150"/>
      <c r="L20" s="512"/>
      <c r="M20" s="501"/>
      <c r="N20" s="150"/>
      <c r="O20" s="172"/>
      <c r="P20" s="150"/>
      <c r="Q20" s="150"/>
      <c r="R20" s="231"/>
      <c r="S20" s="231"/>
      <c r="T20" s="231"/>
      <c r="U20" s="231"/>
      <c r="V20" s="231"/>
      <c r="W20" s="173"/>
      <c r="X20" s="173"/>
      <c r="Y20" s="173"/>
      <c r="Z20" s="174"/>
      <c r="AA20" s="174"/>
      <c r="AB20" s="175"/>
      <c r="AC20" s="174"/>
      <c r="AD20" s="174"/>
      <c r="AE20" s="174"/>
      <c r="AF20" s="174"/>
      <c r="AG20" s="174"/>
      <c r="AH20" s="174"/>
      <c r="AI20" s="4"/>
    </row>
    <row r="21" spans="1:35">
      <c r="A21" s="90" t="s">
        <v>74</v>
      </c>
      <c r="B21" s="83" t="s">
        <v>75</v>
      </c>
      <c r="C21" s="87" t="s">
        <v>101</v>
      </c>
      <c r="D21" s="83" t="s">
        <v>85</v>
      </c>
      <c r="E21" s="83"/>
      <c r="F21" s="105"/>
      <c r="G21" s="491"/>
      <c r="H21" s="152"/>
      <c r="I21" s="153"/>
      <c r="J21" s="154"/>
      <c r="K21" s="154"/>
      <c r="L21" s="513"/>
      <c r="M21" s="502"/>
      <c r="N21" s="154"/>
      <c r="O21" s="176"/>
      <c r="P21" s="151"/>
      <c r="Q21" s="151"/>
      <c r="R21" s="232"/>
      <c r="S21" s="232"/>
      <c r="T21" s="232"/>
      <c r="U21" s="232"/>
      <c r="V21" s="232"/>
      <c r="W21" s="151"/>
      <c r="X21" s="151"/>
      <c r="Y21" s="151"/>
      <c r="Z21" s="177"/>
      <c r="AA21" s="157"/>
      <c r="AB21" s="157"/>
      <c r="AC21" s="157"/>
      <c r="AD21" s="177"/>
      <c r="AE21" s="177"/>
      <c r="AF21" s="177"/>
      <c r="AG21" s="177"/>
      <c r="AH21" s="157"/>
      <c r="AI21" s="4"/>
    </row>
    <row r="22" spans="1:35">
      <c r="A22" s="90"/>
      <c r="B22" s="85"/>
      <c r="C22" s="90"/>
      <c r="D22" s="85"/>
      <c r="E22" s="85" t="s">
        <v>86</v>
      </c>
      <c r="F22" s="97">
        <v>0</v>
      </c>
      <c r="G22" s="485">
        <v>92.227254202533359</v>
      </c>
      <c r="H22" s="129">
        <v>0.2</v>
      </c>
      <c r="I22" s="129">
        <v>1.5E-3</v>
      </c>
      <c r="J22" s="507">
        <v>0.1</v>
      </c>
      <c r="K22" s="129">
        <v>5</v>
      </c>
      <c r="L22" s="507">
        <v>0.17399999999999999</v>
      </c>
      <c r="M22" s="485">
        <v>0.64552945034458353</v>
      </c>
      <c r="N22" s="155">
        <v>4.8000000000000001E-4</v>
      </c>
      <c r="O22" s="558">
        <v>404</v>
      </c>
      <c r="P22" s="507">
        <v>397.94</v>
      </c>
      <c r="Q22" s="507">
        <v>25.468160000000001</v>
      </c>
      <c r="R22" s="129">
        <v>0.19585363523454669</v>
      </c>
      <c r="S22" s="129">
        <v>4.7769179325499185E-2</v>
      </c>
      <c r="T22" s="129">
        <v>1.5923059775166397E-3</v>
      </c>
      <c r="U22" s="129">
        <v>9.553835865099837E-2</v>
      </c>
      <c r="V22" s="129">
        <v>5.0953791280532471E-2</v>
      </c>
      <c r="W22" s="129">
        <v>0.31846119550332791</v>
      </c>
      <c r="X22" s="129">
        <v>1.4330753797649757E-4</v>
      </c>
      <c r="Y22" s="129">
        <v>5.0953791280532467E-7</v>
      </c>
      <c r="Z22" s="178">
        <v>3.2000000000000002E-3</v>
      </c>
      <c r="AA22" s="178">
        <v>1E-4</v>
      </c>
      <c r="AB22" s="178">
        <v>1.6999999999999999E-3</v>
      </c>
      <c r="AC22" s="178">
        <v>4.2000000000000006E-3</v>
      </c>
      <c r="AD22" s="178">
        <v>9.5999999999999992E-3</v>
      </c>
      <c r="AE22" s="178">
        <v>4.2000000000000006E-3</v>
      </c>
      <c r="AF22" s="178">
        <v>7.6E-3</v>
      </c>
      <c r="AG22" s="178">
        <v>1.9E-3</v>
      </c>
      <c r="AH22" s="178">
        <v>1.6800000000000002E-2</v>
      </c>
      <c r="AI22" s="4"/>
    </row>
    <row r="23" spans="1:35">
      <c r="A23" s="91"/>
      <c r="B23" s="66"/>
      <c r="C23" s="91"/>
      <c r="D23" s="66"/>
      <c r="E23" s="66" t="s">
        <v>87</v>
      </c>
      <c r="F23" s="98">
        <v>0</v>
      </c>
      <c r="G23" s="485">
        <v>105.30530572883049</v>
      </c>
      <c r="H23" s="129">
        <v>1.4999999999999999E-2</v>
      </c>
      <c r="I23" s="129">
        <v>1.5E-3</v>
      </c>
      <c r="J23" s="507">
        <v>0.1</v>
      </c>
      <c r="K23" s="129">
        <v>5</v>
      </c>
      <c r="L23" s="507">
        <v>0.48399999999999999</v>
      </c>
      <c r="M23" s="485">
        <v>0.68241684750713127</v>
      </c>
      <c r="N23" s="156">
        <v>0</v>
      </c>
      <c r="O23" s="558">
        <v>404</v>
      </c>
      <c r="P23" s="507">
        <v>397.94</v>
      </c>
      <c r="Q23" s="507">
        <v>25.468160000000001</v>
      </c>
      <c r="R23" s="129"/>
      <c r="S23" s="129"/>
      <c r="T23" s="129"/>
      <c r="U23" s="129"/>
      <c r="V23" s="129"/>
      <c r="W23" s="129">
        <v>0.34120842375356564</v>
      </c>
      <c r="X23" s="129"/>
      <c r="Y23" s="129"/>
      <c r="Z23" s="178">
        <v>0</v>
      </c>
      <c r="AA23" s="178">
        <v>0</v>
      </c>
      <c r="AB23" s="178">
        <v>0</v>
      </c>
      <c r="AC23" s="178">
        <v>0</v>
      </c>
      <c r="AD23" s="178">
        <v>0</v>
      </c>
      <c r="AE23" s="178">
        <v>0</v>
      </c>
      <c r="AF23" s="178">
        <v>0</v>
      </c>
      <c r="AG23" s="178">
        <v>0</v>
      </c>
      <c r="AH23" s="178">
        <v>0</v>
      </c>
      <c r="AI23" s="4"/>
    </row>
    <row r="24" spans="1:35">
      <c r="A24" s="91"/>
      <c r="B24" s="66"/>
      <c r="C24" s="91"/>
      <c r="D24" s="66"/>
      <c r="E24" s="66" t="s">
        <v>88</v>
      </c>
      <c r="F24" s="98">
        <v>196543733.95319659</v>
      </c>
      <c r="G24" s="485">
        <v>94.6</v>
      </c>
      <c r="H24" s="486">
        <v>0.32</v>
      </c>
      <c r="I24" s="486">
        <v>1.4E-2</v>
      </c>
      <c r="J24" s="486">
        <v>6.5532605989411657E-2</v>
      </c>
      <c r="K24" s="486">
        <v>4.6086098486546856</v>
      </c>
      <c r="L24" s="486">
        <v>0.5332493070921106</v>
      </c>
      <c r="M24" s="486">
        <v>1.392481787374599E-2</v>
      </c>
      <c r="N24" s="505">
        <v>4.8616966720255407E-3</v>
      </c>
      <c r="O24" s="554">
        <v>352.16085301917013</v>
      </c>
      <c r="P24" s="485">
        <v>347.72601587506023</v>
      </c>
      <c r="Q24" s="485">
        <v>31.313994084462305</v>
      </c>
      <c r="R24" s="485">
        <v>0.19142113019948215</v>
      </c>
      <c r="S24" s="485">
        <v>5.7996642607123353E-2</v>
      </c>
      <c r="T24" s="485">
        <v>6.6023238518216787E-2</v>
      </c>
      <c r="U24" s="485">
        <v>2.9582292853666058E-2</v>
      </c>
      <c r="V24" s="485">
        <v>3.7818956220475958E-2</v>
      </c>
      <c r="W24" s="485">
        <v>0.36523850547302616</v>
      </c>
      <c r="X24" s="485">
        <v>5.9000006966566265E-5</v>
      </c>
      <c r="Y24" s="485">
        <v>5.9000006966566261E-6</v>
      </c>
      <c r="Z24" s="555">
        <v>4.9166672472138553E-4</v>
      </c>
      <c r="AA24" s="555">
        <v>1.3117314486295727E-3</v>
      </c>
      <c r="AB24" s="555">
        <v>3.3258404665087115E-3</v>
      </c>
      <c r="AC24" s="555">
        <v>5.272265120536474E-3</v>
      </c>
      <c r="AD24" s="555">
        <v>3.9333337977710847E-4</v>
      </c>
      <c r="AE24" s="555">
        <v>1.9666668988855421E-3</v>
      </c>
      <c r="AF24" s="555">
        <v>3.38467301242453E-2</v>
      </c>
      <c r="AG24" s="555">
        <v>4.9166672472138553E-4</v>
      </c>
      <c r="AH24" s="555">
        <v>9.0150378185640548E-2</v>
      </c>
      <c r="AI24" s="4"/>
    </row>
    <row r="25" spans="1:35">
      <c r="A25" s="91"/>
      <c r="B25" s="66"/>
      <c r="C25" s="91"/>
      <c r="D25" s="66"/>
      <c r="E25" s="66" t="s">
        <v>89</v>
      </c>
      <c r="F25" s="98">
        <v>0</v>
      </c>
      <c r="G25" s="485">
        <v>66.239880472459731</v>
      </c>
      <c r="H25" s="486">
        <v>5.3080751935427016E-3</v>
      </c>
      <c r="I25" s="486">
        <v>8.8763799223122112E-3</v>
      </c>
      <c r="J25" s="486">
        <v>0.124864277</v>
      </c>
      <c r="K25" s="485">
        <v>7.6E-3</v>
      </c>
      <c r="L25" s="485">
        <v>4.9399999999999999E-2</v>
      </c>
      <c r="M25" s="485">
        <v>4.2340000000000003E-2</v>
      </c>
      <c r="N25" s="313">
        <v>0</v>
      </c>
      <c r="O25" s="567">
        <v>0.57775031501649721</v>
      </c>
      <c r="P25" s="568">
        <v>0.36606991908575076</v>
      </c>
      <c r="Q25" s="568">
        <v>1.2812447168001256E-2</v>
      </c>
      <c r="R25" s="568">
        <v>9.9339262546330263E-5</v>
      </c>
      <c r="S25" s="568">
        <v>3.3023567974290306E-5</v>
      </c>
      <c r="T25" s="568">
        <v>1.4656885620712934E-5</v>
      </c>
      <c r="U25" s="568">
        <v>3.9168059351386702E-5</v>
      </c>
      <c r="V25" s="568">
        <v>1.2492143881231092E-5</v>
      </c>
      <c r="W25" s="485">
        <v>1.6515463372382064E-2</v>
      </c>
      <c r="X25" s="485">
        <v>2.7209372950468887E-2</v>
      </c>
      <c r="Y25" s="485">
        <v>1.1493545928931426E-2</v>
      </c>
      <c r="Z25" s="569">
        <v>1.1945145318245046E-3</v>
      </c>
      <c r="AA25" s="569">
        <v>8.9458538138715638E-4</v>
      </c>
      <c r="AB25" s="569">
        <v>5.7531160299674521E-3</v>
      </c>
      <c r="AC25" s="569">
        <v>4.4775240345197179E-3</v>
      </c>
      <c r="AD25" s="569">
        <v>1.9639605471835834E-3</v>
      </c>
      <c r="AE25" s="569">
        <v>5.6662269093043778E-4</v>
      </c>
      <c r="AF25" s="569">
        <v>5.9835852965860595E-2</v>
      </c>
      <c r="AG25" s="569">
        <v>7.2422491814600756E-4</v>
      </c>
      <c r="AH25" s="569">
        <v>4.540394092870325E-2</v>
      </c>
      <c r="AI25" s="4"/>
    </row>
    <row r="26" spans="1:35">
      <c r="A26" s="91"/>
      <c r="B26" s="66"/>
      <c r="C26" s="91"/>
      <c r="D26" s="66"/>
      <c r="E26" s="66" t="s">
        <v>90</v>
      </c>
      <c r="F26" s="98">
        <v>0</v>
      </c>
      <c r="G26" s="485">
        <v>153.84287966405591</v>
      </c>
      <c r="H26" s="486">
        <v>5.3086700208410552E-3</v>
      </c>
      <c r="I26" s="486">
        <v>8.877374616791063E-3</v>
      </c>
      <c r="J26" s="486"/>
      <c r="K26" s="485"/>
      <c r="L26" s="485"/>
      <c r="M26" s="485"/>
      <c r="N26" s="313"/>
      <c r="O26" s="553"/>
      <c r="P26" s="129"/>
      <c r="Q26" s="129"/>
      <c r="R26" s="129"/>
      <c r="S26" s="129"/>
      <c r="T26" s="129"/>
      <c r="U26" s="129"/>
      <c r="V26" s="129"/>
      <c r="W26" s="129"/>
      <c r="X26" s="129"/>
      <c r="Y26" s="129"/>
      <c r="Z26" s="556"/>
      <c r="AA26" s="556"/>
      <c r="AB26" s="556"/>
      <c r="AC26" s="556"/>
      <c r="AD26" s="556"/>
      <c r="AE26" s="556"/>
      <c r="AF26" s="556"/>
      <c r="AG26" s="556"/>
      <c r="AH26" s="556"/>
      <c r="AI26" s="4"/>
    </row>
    <row r="27" spans="1:35">
      <c r="A27" s="91"/>
      <c r="B27" s="66"/>
      <c r="C27" s="91"/>
      <c r="D27" s="66"/>
      <c r="E27" s="66" t="s">
        <v>91</v>
      </c>
      <c r="F27" s="98">
        <v>0</v>
      </c>
      <c r="G27" s="485">
        <v>79.599999999999994</v>
      </c>
      <c r="H27" s="132">
        <v>1.2E-2</v>
      </c>
      <c r="I27" s="132">
        <v>2E-3</v>
      </c>
      <c r="J27" s="132">
        <v>1.3</v>
      </c>
      <c r="K27" s="129">
        <v>0.41</v>
      </c>
      <c r="L27" s="129">
        <v>8.7999999999999995E-2</v>
      </c>
      <c r="M27" s="485">
        <v>4.6864093846660126E-2</v>
      </c>
      <c r="N27" s="156">
        <v>0</v>
      </c>
      <c r="O27" s="553"/>
      <c r="P27" s="129"/>
      <c r="Q27" s="129"/>
      <c r="R27" s="129"/>
      <c r="S27" s="129"/>
      <c r="T27" s="129"/>
      <c r="U27" s="129"/>
      <c r="V27" s="129"/>
      <c r="W27" s="129"/>
      <c r="X27" s="129"/>
      <c r="Y27" s="129"/>
      <c r="Z27" s="557"/>
      <c r="AA27" s="557"/>
      <c r="AB27" s="557"/>
      <c r="AC27" s="557"/>
      <c r="AD27" s="557"/>
      <c r="AE27" s="557"/>
      <c r="AF27" s="557"/>
      <c r="AG27" s="557"/>
      <c r="AH27" s="557"/>
      <c r="AI27" s="4"/>
    </row>
    <row r="28" spans="1:35">
      <c r="A28" s="91"/>
      <c r="B28" s="66"/>
      <c r="C28" s="91"/>
      <c r="D28" s="66"/>
      <c r="E28" s="66" t="s">
        <v>92</v>
      </c>
      <c r="F28" s="98">
        <v>0</v>
      </c>
      <c r="G28" s="485">
        <v>76.475036910814254</v>
      </c>
      <c r="H28" s="129">
        <v>3.0000000000000001E-3</v>
      </c>
      <c r="I28" s="129">
        <v>2E-3</v>
      </c>
      <c r="J28" s="507">
        <v>6.9000000000000006E-2</v>
      </c>
      <c r="K28" s="129">
        <v>1.6E-2</v>
      </c>
      <c r="L28" s="507">
        <v>1.1999999999999999E-3</v>
      </c>
      <c r="M28" s="485">
        <v>0.14623218160867099</v>
      </c>
      <c r="N28" s="156">
        <v>0</v>
      </c>
      <c r="O28" s="558">
        <v>1.9</v>
      </c>
      <c r="P28" s="507">
        <v>1.52</v>
      </c>
      <c r="Q28" s="507">
        <v>0.12920000000000001</v>
      </c>
      <c r="R28" s="129">
        <v>3.6338697129754738E-4</v>
      </c>
      <c r="S28" s="129">
        <v>8.3596063819623581E-5</v>
      </c>
      <c r="T28" s="129">
        <v>6.8972845658756484E-5</v>
      </c>
      <c r="U28" s="129">
        <v>1.6670468703388491E-4</v>
      </c>
      <c r="V28" s="129">
        <v>4.4113374785282415E-5</v>
      </c>
      <c r="W28" s="129">
        <v>2.4372030268111831E-2</v>
      </c>
      <c r="X28" s="129">
        <v>8.7739308965202592E-5</v>
      </c>
      <c r="Y28" s="129"/>
      <c r="Z28" s="178">
        <v>2.4399999999999998E-2</v>
      </c>
      <c r="AA28" s="178">
        <v>2.4399999999999998E-2</v>
      </c>
      <c r="AB28" s="178">
        <v>6.0899999999999996E-2</v>
      </c>
      <c r="AC28" s="178">
        <v>2.4399999999999998E-2</v>
      </c>
      <c r="AD28" s="178">
        <v>4.9000000000000007E-3</v>
      </c>
      <c r="AE28" s="178">
        <v>0.85299999999999998</v>
      </c>
      <c r="AF28" s="178">
        <v>3.1699999999999999E-2</v>
      </c>
      <c r="AG28" s="178">
        <v>1.1999999999999999E-3</v>
      </c>
      <c r="AH28" s="178">
        <v>2.4399999999999998E-2</v>
      </c>
      <c r="AI28" s="4"/>
    </row>
    <row r="29" spans="1:35">
      <c r="A29" s="91"/>
      <c r="B29" s="66"/>
      <c r="C29" s="91"/>
      <c r="D29" s="66"/>
      <c r="E29" s="66" t="s">
        <v>93</v>
      </c>
      <c r="F29" s="98">
        <v>17171339.22752</v>
      </c>
      <c r="G29" s="485">
        <v>73.926512687586879</v>
      </c>
      <c r="H29" s="129">
        <v>7.0000000000000001E-3</v>
      </c>
      <c r="I29" s="129">
        <v>2E-3</v>
      </c>
      <c r="J29" s="507">
        <v>3.4000000000000002E-2</v>
      </c>
      <c r="K29" s="129">
        <v>0.02</v>
      </c>
      <c r="L29" s="507">
        <v>1.7000000000000001E-4</v>
      </c>
      <c r="M29" s="485">
        <v>4.6864093846660126E-2</v>
      </c>
      <c r="N29" s="156">
        <v>0</v>
      </c>
      <c r="O29" s="558">
        <v>2.2000000000000002</v>
      </c>
      <c r="P29" s="507">
        <v>2.2000000000000002</v>
      </c>
      <c r="Q29" s="507">
        <v>0.18700000000000003</v>
      </c>
      <c r="R29" s="129"/>
      <c r="S29" s="129"/>
      <c r="T29" s="129"/>
      <c r="U29" s="129"/>
      <c r="V29" s="129"/>
      <c r="W29" s="129">
        <v>2.3416264375244699E-2</v>
      </c>
      <c r="X29" s="129"/>
      <c r="Y29" s="129"/>
      <c r="Z29" s="178">
        <v>1.1999999999999999E-3</v>
      </c>
      <c r="AA29" s="178">
        <v>1.1999999999999999E-3</v>
      </c>
      <c r="AB29" s="178">
        <v>5.0000000000000001E-4</v>
      </c>
      <c r="AC29" s="178">
        <v>1.1999999999999999E-3</v>
      </c>
      <c r="AD29" s="178">
        <v>0</v>
      </c>
      <c r="AE29" s="178">
        <v>1.1999999999999999E-3</v>
      </c>
      <c r="AF29" s="178">
        <v>4.7000000000000002E-3</v>
      </c>
      <c r="AG29" s="178">
        <v>2.0000000000000002E-5</v>
      </c>
      <c r="AH29" s="178">
        <v>2.3E-3</v>
      </c>
      <c r="AI29" s="4"/>
    </row>
    <row r="30" spans="1:35">
      <c r="A30" s="91"/>
      <c r="B30" s="66"/>
      <c r="C30" s="91"/>
      <c r="D30" s="66"/>
      <c r="E30" s="66" t="s">
        <v>94</v>
      </c>
      <c r="F30" s="98">
        <v>47436.444000000003</v>
      </c>
      <c r="G30" s="129">
        <v>71.900000000000006</v>
      </c>
      <c r="H30" s="129">
        <v>7.0000000000000001E-3</v>
      </c>
      <c r="I30" s="129">
        <v>2E-3</v>
      </c>
      <c r="J30" s="507">
        <v>3.4000000000000002E-2</v>
      </c>
      <c r="K30" s="129">
        <v>0.06</v>
      </c>
      <c r="L30" s="507">
        <v>1.7000000000000001E-4</v>
      </c>
      <c r="M30" s="129">
        <v>1.8372761279038148E-2</v>
      </c>
      <c r="N30" s="156">
        <v>0</v>
      </c>
      <c r="O30" s="558">
        <v>2.2000000000000002</v>
      </c>
      <c r="P30" s="507">
        <v>2.2000000000000002</v>
      </c>
      <c r="Q30" s="507">
        <v>0.18700000000000003</v>
      </c>
      <c r="R30" s="129"/>
      <c r="S30" s="129"/>
      <c r="T30" s="129"/>
      <c r="U30" s="129"/>
      <c r="V30" s="129"/>
      <c r="W30" s="129">
        <v>2.3188922002669508E-2</v>
      </c>
      <c r="X30" s="129"/>
      <c r="Y30" s="129"/>
      <c r="Z30" s="178">
        <v>0</v>
      </c>
      <c r="AA30" s="178">
        <v>0</v>
      </c>
      <c r="AB30" s="178">
        <v>0</v>
      </c>
      <c r="AC30" s="178">
        <v>0</v>
      </c>
      <c r="AD30" s="178">
        <v>0</v>
      </c>
      <c r="AE30" s="178">
        <v>0</v>
      </c>
      <c r="AF30" s="178">
        <v>0</v>
      </c>
      <c r="AG30" s="178">
        <v>0</v>
      </c>
      <c r="AH30" s="178">
        <v>0</v>
      </c>
      <c r="AI30" s="4"/>
    </row>
    <row r="31" spans="1:35">
      <c r="A31" s="91"/>
      <c r="B31" s="66"/>
      <c r="C31" s="91"/>
      <c r="D31" s="66"/>
      <c r="E31" s="66" t="s">
        <v>95</v>
      </c>
      <c r="F31" s="98">
        <v>552090506.41589081</v>
      </c>
      <c r="G31" s="485">
        <v>59.088958691145862</v>
      </c>
      <c r="H31" s="129">
        <v>2.5000000000000001E-3</v>
      </c>
      <c r="I31" s="129">
        <v>1E-3</v>
      </c>
      <c r="J31" s="485">
        <v>2.9041751014630017E-2</v>
      </c>
      <c r="K31" s="129">
        <v>2.5000000000000001E-2</v>
      </c>
      <c r="L31" s="507">
        <v>1.8E-3</v>
      </c>
      <c r="M31" s="498">
        <v>2.9999999999999997E-4</v>
      </c>
      <c r="N31" s="156">
        <v>0</v>
      </c>
      <c r="O31" s="554">
        <v>0.2</v>
      </c>
      <c r="P31" s="485">
        <v>0.2</v>
      </c>
      <c r="Q31" s="507">
        <v>1.0800000000000001E-2</v>
      </c>
      <c r="R31" s="129"/>
      <c r="S31" s="129"/>
      <c r="T31" s="129"/>
      <c r="U31" s="129"/>
      <c r="V31" s="129"/>
      <c r="W31" s="129"/>
      <c r="X31" s="129"/>
      <c r="Y31" s="129"/>
      <c r="Z31" s="178">
        <v>0</v>
      </c>
      <c r="AA31" s="178">
        <v>0</v>
      </c>
      <c r="AB31" s="178">
        <v>0</v>
      </c>
      <c r="AC31" s="178">
        <v>0</v>
      </c>
      <c r="AD31" s="178">
        <v>2.0000000000000001E-4</v>
      </c>
      <c r="AE31" s="178">
        <v>0</v>
      </c>
      <c r="AF31" s="178">
        <v>0</v>
      </c>
      <c r="AG31" s="178">
        <v>0</v>
      </c>
      <c r="AH31" s="178">
        <v>0</v>
      </c>
      <c r="AI31" s="4"/>
    </row>
    <row r="32" spans="1:35">
      <c r="A32" s="91"/>
      <c r="B32" s="66"/>
      <c r="C32" s="91"/>
      <c r="D32" s="66"/>
      <c r="E32" s="66" t="s">
        <v>53</v>
      </c>
      <c r="F32" s="98">
        <v>44187561.480246179</v>
      </c>
      <c r="G32" s="485">
        <v>65.98436196093148</v>
      </c>
      <c r="H32" s="129">
        <v>1E-3</v>
      </c>
      <c r="I32" s="129">
        <v>2E-3</v>
      </c>
      <c r="J32" s="485">
        <v>2.9041751014630017E-2</v>
      </c>
      <c r="K32" s="129">
        <v>0.01</v>
      </c>
      <c r="L32" s="507">
        <v>1.8E-3</v>
      </c>
      <c r="M32" s="485">
        <v>2.2000000000000001E-3</v>
      </c>
      <c r="N32" s="156">
        <v>0</v>
      </c>
      <c r="O32" s="554">
        <v>0.2</v>
      </c>
      <c r="P32" s="485">
        <v>0.2</v>
      </c>
      <c r="Q32" s="507">
        <v>1.7000000000000001E-2</v>
      </c>
      <c r="R32" s="129"/>
      <c r="S32" s="129"/>
      <c r="T32" s="129"/>
      <c r="U32" s="129"/>
      <c r="V32" s="129"/>
      <c r="W32" s="129">
        <v>2.1713263329772359E-2</v>
      </c>
      <c r="X32" s="129"/>
      <c r="Y32" s="129"/>
      <c r="Z32" s="178">
        <v>0</v>
      </c>
      <c r="AA32" s="178">
        <v>0</v>
      </c>
      <c r="AB32" s="178">
        <v>0</v>
      </c>
      <c r="AC32" s="178">
        <v>0</v>
      </c>
      <c r="AD32" s="178">
        <v>0</v>
      </c>
      <c r="AE32" s="178">
        <v>0</v>
      </c>
      <c r="AF32" s="178">
        <v>0</v>
      </c>
      <c r="AG32" s="178">
        <v>0</v>
      </c>
      <c r="AH32" s="178">
        <v>0</v>
      </c>
      <c r="AI32" s="4"/>
    </row>
    <row r="33" spans="1:35">
      <c r="A33" s="91"/>
      <c r="B33" s="66"/>
      <c r="C33" s="80"/>
      <c r="D33" s="70"/>
      <c r="E33" s="70" t="s">
        <v>96</v>
      </c>
      <c r="F33" s="99">
        <v>0</v>
      </c>
      <c r="G33" s="129">
        <v>56.1</v>
      </c>
      <c r="H33" s="129">
        <v>5.0000000000000001E-3</v>
      </c>
      <c r="I33" s="129">
        <v>1E-3</v>
      </c>
      <c r="J33" s="507">
        <v>4.2000000000000003E-2</v>
      </c>
      <c r="K33" s="129">
        <v>6.5000000000000002E-2</v>
      </c>
      <c r="L33" s="507">
        <v>1.9E-3</v>
      </c>
      <c r="M33" s="129">
        <v>1.1239806900117456E-2</v>
      </c>
      <c r="N33" s="156">
        <v>0</v>
      </c>
      <c r="O33" s="570">
        <v>0</v>
      </c>
      <c r="P33" s="556">
        <v>0</v>
      </c>
      <c r="Q33" s="556">
        <v>0</v>
      </c>
      <c r="R33" s="129"/>
      <c r="S33" s="129"/>
      <c r="T33" s="129"/>
      <c r="U33" s="129"/>
      <c r="V33" s="129"/>
      <c r="W33" s="129"/>
      <c r="X33" s="129"/>
      <c r="Y33" s="129"/>
      <c r="Z33" s="178">
        <v>0</v>
      </c>
      <c r="AA33" s="178">
        <v>0</v>
      </c>
      <c r="AB33" s="178">
        <v>0</v>
      </c>
      <c r="AC33" s="178">
        <v>0</v>
      </c>
      <c r="AD33" s="178">
        <v>0</v>
      </c>
      <c r="AE33" s="178">
        <v>0</v>
      </c>
      <c r="AF33" s="178">
        <v>0</v>
      </c>
      <c r="AG33" s="178">
        <v>0</v>
      </c>
      <c r="AH33" s="178">
        <v>0</v>
      </c>
      <c r="AI33" s="4"/>
    </row>
    <row r="34" spans="1:35">
      <c r="A34" s="66"/>
      <c r="B34" s="66"/>
      <c r="C34" s="87" t="s">
        <v>102</v>
      </c>
      <c r="D34" s="88" t="s">
        <v>98</v>
      </c>
      <c r="E34" s="83"/>
      <c r="F34" s="106"/>
      <c r="G34" s="491"/>
      <c r="H34" s="151"/>
      <c r="I34" s="154"/>
      <c r="J34" s="248"/>
      <c r="K34" s="154"/>
      <c r="L34" s="514"/>
      <c r="M34" s="491"/>
      <c r="N34" s="157"/>
      <c r="O34" s="571"/>
      <c r="P34" s="572"/>
      <c r="Q34" s="572"/>
      <c r="R34" s="572"/>
      <c r="S34" s="572"/>
      <c r="T34" s="572"/>
      <c r="U34" s="572"/>
      <c r="V34" s="572"/>
      <c r="W34" s="572"/>
      <c r="X34" s="572"/>
      <c r="Y34" s="572"/>
      <c r="Z34" s="178"/>
      <c r="AA34" s="178"/>
      <c r="AB34" s="178"/>
      <c r="AC34" s="178"/>
      <c r="AD34" s="178"/>
      <c r="AE34" s="178"/>
      <c r="AF34" s="178"/>
      <c r="AG34" s="178"/>
      <c r="AH34" s="178"/>
      <c r="AI34" s="4"/>
    </row>
    <row r="35" spans="1:35">
      <c r="A35" s="66"/>
      <c r="B35" s="66"/>
      <c r="C35" s="85"/>
      <c r="D35" s="85"/>
      <c r="E35" s="85" t="s">
        <v>93</v>
      </c>
      <c r="F35" s="97">
        <v>3946</v>
      </c>
      <c r="G35" s="485">
        <v>73.926512687586879</v>
      </c>
      <c r="H35" s="138">
        <v>1.2E-2</v>
      </c>
      <c r="I35" s="138">
        <v>2E-3</v>
      </c>
      <c r="J35" s="509">
        <v>0.94199999999999995</v>
      </c>
      <c r="K35" s="138">
        <v>0.41</v>
      </c>
      <c r="L35" s="509">
        <v>0.05</v>
      </c>
      <c r="M35" s="485">
        <v>4.6864093846660126E-2</v>
      </c>
      <c r="N35" s="158">
        <v>0</v>
      </c>
      <c r="O35" s="558">
        <v>30</v>
      </c>
      <c r="P35" s="507">
        <v>30</v>
      </c>
      <c r="Q35" s="507">
        <v>2.5500000000000003</v>
      </c>
      <c r="R35" s="129"/>
      <c r="S35" s="129"/>
      <c r="T35" s="129"/>
      <c r="U35" s="129"/>
      <c r="V35" s="129"/>
      <c r="W35" s="129">
        <v>2.3416264375244699E-2</v>
      </c>
      <c r="X35" s="129"/>
      <c r="Y35" s="129"/>
      <c r="Z35" s="178">
        <v>1.1999999999999999E-3</v>
      </c>
      <c r="AA35" s="178">
        <v>1.1999999999999999E-3</v>
      </c>
      <c r="AB35" s="178">
        <v>5.0000000000000001E-4</v>
      </c>
      <c r="AC35" s="178">
        <v>1.1999999999999999E-3</v>
      </c>
      <c r="AD35" s="178">
        <v>0</v>
      </c>
      <c r="AE35" s="178">
        <v>1.1999999999999999E-3</v>
      </c>
      <c r="AF35" s="178">
        <v>4.7000000000000002E-3</v>
      </c>
      <c r="AG35" s="178">
        <v>2.0000000000000002E-5</v>
      </c>
      <c r="AH35" s="178">
        <v>2.3E-3</v>
      </c>
      <c r="AI35" s="4"/>
    </row>
    <row r="36" spans="1:35">
      <c r="A36" s="70"/>
      <c r="B36" s="70"/>
      <c r="C36" s="70"/>
      <c r="D36" s="70"/>
      <c r="E36" s="70" t="s">
        <v>100</v>
      </c>
      <c r="F36" s="99">
        <v>0</v>
      </c>
      <c r="G36" s="488">
        <v>73.080939201699294</v>
      </c>
      <c r="H36" s="145">
        <v>9.2999999999999999E-2</v>
      </c>
      <c r="I36" s="145">
        <v>2.3E-3</v>
      </c>
      <c r="J36" s="516">
        <v>0.94199999999999995</v>
      </c>
      <c r="K36" s="145">
        <v>26.946999999999999</v>
      </c>
      <c r="L36" s="511">
        <v>0.05</v>
      </c>
      <c r="M36" s="500">
        <v>2.274722825023771E-2</v>
      </c>
      <c r="N36" s="159">
        <v>0</v>
      </c>
      <c r="O36" s="566">
        <v>30</v>
      </c>
      <c r="P36" s="511">
        <v>30</v>
      </c>
      <c r="Q36" s="511">
        <v>2.5500000000000003</v>
      </c>
      <c r="R36" s="145"/>
      <c r="S36" s="145"/>
      <c r="T36" s="145"/>
      <c r="U36" s="145"/>
      <c r="V36" s="145"/>
      <c r="W36" s="145"/>
      <c r="X36" s="145"/>
      <c r="Y36" s="145"/>
      <c r="Z36" s="573">
        <v>0</v>
      </c>
      <c r="AA36" s="573">
        <v>1.7100000000000001E-2</v>
      </c>
      <c r="AB36" s="573">
        <v>1.14E-2</v>
      </c>
      <c r="AC36" s="573">
        <v>3.9799999999999995E-2</v>
      </c>
      <c r="AD36" s="573">
        <v>0</v>
      </c>
      <c r="AE36" s="573">
        <v>1.14E-2</v>
      </c>
      <c r="AF36" s="573">
        <v>1.7060999999999999</v>
      </c>
      <c r="AG36" s="573">
        <v>1.1000000000000001E-3</v>
      </c>
      <c r="AH36" s="573">
        <v>0.11370000000000001</v>
      </c>
      <c r="AI36" s="4"/>
    </row>
    <row r="37" spans="1:35">
      <c r="F37" s="107"/>
      <c r="G37" s="485"/>
      <c r="H37" s="130"/>
      <c r="I37" s="130"/>
      <c r="J37" s="160"/>
      <c r="K37" s="129"/>
      <c r="L37" s="507"/>
      <c r="M37" s="485"/>
      <c r="N37" s="129"/>
      <c r="O37" s="181"/>
      <c r="P37" s="182"/>
      <c r="Q37" s="182"/>
      <c r="R37" s="182"/>
      <c r="S37" s="182"/>
      <c r="T37" s="182"/>
      <c r="U37" s="182"/>
      <c r="V37" s="182"/>
      <c r="W37" s="182"/>
      <c r="X37" s="182"/>
      <c r="Y37" s="182"/>
      <c r="Z37" s="183"/>
      <c r="AA37" s="183"/>
      <c r="AB37" s="183"/>
      <c r="AC37" s="183"/>
      <c r="AD37" s="183"/>
      <c r="AE37" s="183"/>
      <c r="AF37" s="183"/>
      <c r="AG37" s="183"/>
      <c r="AH37" s="184"/>
      <c r="AI37" s="4"/>
    </row>
    <row r="38" spans="1:35">
      <c r="A38" s="92" t="s">
        <v>76</v>
      </c>
      <c r="B38" s="93" t="s">
        <v>77</v>
      </c>
      <c r="C38" s="92" t="s">
        <v>103</v>
      </c>
      <c r="D38" s="93" t="s">
        <v>85</v>
      </c>
      <c r="E38" s="88"/>
      <c r="F38" s="108"/>
      <c r="G38" s="492"/>
      <c r="H38" s="162"/>
      <c r="I38" s="163"/>
      <c r="J38" s="164"/>
      <c r="K38" s="164"/>
      <c r="L38" s="515"/>
      <c r="M38" s="503"/>
      <c r="N38" s="164"/>
      <c r="O38" s="161"/>
      <c r="P38" s="185"/>
      <c r="Q38" s="185"/>
      <c r="R38" s="185"/>
      <c r="S38" s="185"/>
      <c r="T38" s="185"/>
      <c r="U38" s="185"/>
      <c r="V38" s="185"/>
      <c r="W38" s="185"/>
      <c r="X38" s="185"/>
      <c r="Y38" s="185"/>
      <c r="Z38" s="156"/>
      <c r="AA38" s="156"/>
      <c r="AB38" s="156"/>
      <c r="AC38" s="156"/>
      <c r="AD38" s="156"/>
      <c r="AE38" s="156"/>
      <c r="AF38" s="156"/>
      <c r="AG38" s="156"/>
      <c r="AH38" s="156"/>
      <c r="AI38" s="4"/>
    </row>
    <row r="39" spans="1:35">
      <c r="A39" s="90"/>
      <c r="B39" s="85"/>
      <c r="C39" s="90"/>
      <c r="D39" s="85"/>
      <c r="E39" s="85" t="s">
        <v>92</v>
      </c>
      <c r="F39" s="97">
        <v>0</v>
      </c>
      <c r="G39" s="485">
        <v>76.475036910814254</v>
      </c>
      <c r="H39" s="129">
        <v>3.0000000000000001E-3</v>
      </c>
      <c r="I39" s="129">
        <v>2E-3</v>
      </c>
      <c r="J39" s="129">
        <v>0.15</v>
      </c>
      <c r="K39" s="129">
        <v>1.6E-2</v>
      </c>
      <c r="L39" s="507">
        <v>1.4999999999999999E-2</v>
      </c>
      <c r="M39" s="485">
        <v>0.14623218160867099</v>
      </c>
      <c r="N39" s="156">
        <v>0</v>
      </c>
      <c r="O39" s="517">
        <v>58.7</v>
      </c>
      <c r="P39" s="518">
        <v>46.960000000000008</v>
      </c>
      <c r="Q39" s="518">
        <v>26.297600000000006</v>
      </c>
      <c r="R39" s="167">
        <v>3.6338697129754738E-4</v>
      </c>
      <c r="S39" s="167">
        <v>8.3596063819623581E-5</v>
      </c>
      <c r="T39" s="167">
        <v>6.8972845658756484E-5</v>
      </c>
      <c r="U39" s="167">
        <v>1.6670468703388491E-4</v>
      </c>
      <c r="V39" s="167">
        <v>4.4113374785282415E-5</v>
      </c>
      <c r="W39" s="167">
        <v>2.4372030268111831E-2</v>
      </c>
      <c r="X39" s="167">
        <v>8.7739308965202592E-5</v>
      </c>
      <c r="Y39" s="167"/>
      <c r="Z39" s="156">
        <v>2.4399999999999998E-2</v>
      </c>
      <c r="AA39" s="156">
        <v>2.4399999999999998E-2</v>
      </c>
      <c r="AB39" s="156">
        <v>6.0899999999999996E-2</v>
      </c>
      <c r="AC39" s="156">
        <v>2.4399999999999998E-2</v>
      </c>
      <c r="AD39" s="156">
        <v>4.9000000000000007E-3</v>
      </c>
      <c r="AE39" s="156">
        <v>0.85299999999999998</v>
      </c>
      <c r="AF39" s="156">
        <v>3.1699999999999999E-2</v>
      </c>
      <c r="AG39" s="168">
        <v>1.1999999999999999E-3</v>
      </c>
      <c r="AH39" s="156">
        <v>2.4399999999999998E-2</v>
      </c>
      <c r="AI39" s="4"/>
    </row>
    <row r="40" spans="1:35">
      <c r="A40" s="91"/>
      <c r="B40" s="66"/>
      <c r="C40" s="91"/>
      <c r="D40" s="66"/>
      <c r="E40" s="66" t="s">
        <v>94</v>
      </c>
      <c r="F40" s="98">
        <v>0</v>
      </c>
      <c r="G40" s="129">
        <v>71.900000000000006</v>
      </c>
      <c r="H40" s="129">
        <v>7.0000000000000001E-3</v>
      </c>
      <c r="I40" s="129">
        <v>2E-3</v>
      </c>
      <c r="J40" s="129">
        <v>0.05</v>
      </c>
      <c r="K40" s="129">
        <v>0.06</v>
      </c>
      <c r="L40" s="507">
        <v>5.0000000000000001E-3</v>
      </c>
      <c r="M40" s="129">
        <v>1.8372761279038148E-2</v>
      </c>
      <c r="N40" s="156">
        <v>0</v>
      </c>
      <c r="O40" s="517">
        <v>3.6</v>
      </c>
      <c r="P40" s="518">
        <v>3.6</v>
      </c>
      <c r="Q40" s="518">
        <v>2.0160000000000005</v>
      </c>
      <c r="R40" s="167"/>
      <c r="S40" s="167"/>
      <c r="T40" s="167"/>
      <c r="U40" s="167"/>
      <c r="V40" s="167"/>
      <c r="W40" s="167">
        <v>2.3188922002669508E-2</v>
      </c>
      <c r="X40" s="167"/>
      <c r="Y40" s="167"/>
      <c r="Z40" s="156">
        <v>0</v>
      </c>
      <c r="AA40" s="156">
        <v>0</v>
      </c>
      <c r="AB40" s="156">
        <v>0</v>
      </c>
      <c r="AC40" s="156">
        <v>0</v>
      </c>
      <c r="AD40" s="156">
        <v>0</v>
      </c>
      <c r="AE40" s="156">
        <v>0</v>
      </c>
      <c r="AF40" s="156">
        <v>0</v>
      </c>
      <c r="AG40" s="156">
        <v>0</v>
      </c>
      <c r="AH40" s="156">
        <v>0</v>
      </c>
      <c r="AI40" s="4"/>
    </row>
    <row r="41" spans="1:35">
      <c r="A41" s="91"/>
      <c r="B41" s="66"/>
      <c r="C41" s="91"/>
      <c r="D41" s="66"/>
      <c r="E41" s="66" t="s">
        <v>95</v>
      </c>
      <c r="F41" s="98">
        <v>18368834.572398059</v>
      </c>
      <c r="G41" s="485">
        <v>59.088958691145862</v>
      </c>
      <c r="H41" s="129">
        <v>2.5000000000000001E-3</v>
      </c>
      <c r="I41" s="129">
        <v>1E-3</v>
      </c>
      <c r="J41" s="485">
        <v>2.6828644629376015E-2</v>
      </c>
      <c r="K41" s="129">
        <v>2.5000000000000001E-2</v>
      </c>
      <c r="L41" s="507">
        <v>2E-3</v>
      </c>
      <c r="M41" s="498">
        <v>2.9999999999999997E-4</v>
      </c>
      <c r="N41" s="156">
        <v>0</v>
      </c>
      <c r="O41" s="228">
        <v>0.2</v>
      </c>
      <c r="P41" s="518">
        <v>0.2</v>
      </c>
      <c r="Q41" s="518">
        <v>8.0000000000000002E-3</v>
      </c>
      <c r="R41" s="167"/>
      <c r="S41" s="167"/>
      <c r="T41" s="167"/>
      <c r="U41" s="167"/>
      <c r="V41" s="167"/>
      <c r="W41" s="165"/>
      <c r="X41" s="165"/>
      <c r="Y41" s="165"/>
      <c r="Z41" s="156">
        <v>0</v>
      </c>
      <c r="AA41" s="156">
        <v>0</v>
      </c>
      <c r="AB41" s="156">
        <v>0</v>
      </c>
      <c r="AC41" s="156">
        <v>0</v>
      </c>
      <c r="AD41" s="155">
        <v>2.0000000000000001E-4</v>
      </c>
      <c r="AE41" s="156">
        <v>0</v>
      </c>
      <c r="AF41" s="156">
        <v>0</v>
      </c>
      <c r="AG41" s="156">
        <v>0</v>
      </c>
      <c r="AH41" s="156">
        <v>0</v>
      </c>
      <c r="AI41" s="4"/>
    </row>
    <row r="42" spans="1:35">
      <c r="A42" s="91"/>
      <c r="B42" s="66"/>
      <c r="C42" s="91"/>
      <c r="D42" s="66"/>
      <c r="E42" s="66" t="s">
        <v>78</v>
      </c>
      <c r="F42" s="109">
        <v>1373725.4879785001</v>
      </c>
      <c r="G42" s="485">
        <v>94.6</v>
      </c>
      <c r="H42" s="486">
        <v>0.32</v>
      </c>
      <c r="I42" s="486">
        <v>1.4E-2</v>
      </c>
      <c r="J42" s="486">
        <v>6.5532605989411657E-2</v>
      </c>
      <c r="K42" s="486">
        <v>4.6086098486546856</v>
      </c>
      <c r="L42" s="486">
        <v>0.5332493070921106</v>
      </c>
      <c r="M42" s="485">
        <v>1.392481787374599E-2</v>
      </c>
      <c r="N42" s="486">
        <v>4.8616966720255407E-3</v>
      </c>
      <c r="O42" s="494">
        <v>311.60000000000002</v>
      </c>
      <c r="P42" s="495">
        <v>305.86503067484665</v>
      </c>
      <c r="Q42" s="495">
        <v>31.313994084462305</v>
      </c>
      <c r="R42" s="496">
        <v>0.19142113019948215</v>
      </c>
      <c r="S42" s="496">
        <v>5.7996642607123353E-2</v>
      </c>
      <c r="T42" s="496">
        <v>6.6023238518216787E-2</v>
      </c>
      <c r="U42" s="496">
        <v>2.9582292853666058E-2</v>
      </c>
      <c r="V42" s="496">
        <v>3.7818956220475958E-2</v>
      </c>
      <c r="W42" s="496">
        <v>0.36523850547302616</v>
      </c>
      <c r="X42" s="496">
        <v>5.9000006966566265E-5</v>
      </c>
      <c r="Y42" s="496">
        <v>5.9000006966566261E-6</v>
      </c>
      <c r="Z42" s="313">
        <v>0</v>
      </c>
      <c r="AA42" s="313">
        <v>9.5999999999999992E-3</v>
      </c>
      <c r="AB42" s="313">
        <v>0</v>
      </c>
      <c r="AC42" s="313">
        <v>9.5999999999999992E-3</v>
      </c>
      <c r="AD42" s="313">
        <v>9.5999999999999992E-3</v>
      </c>
      <c r="AE42" s="313">
        <v>0</v>
      </c>
      <c r="AF42" s="504">
        <v>4.7999999999999996E-3</v>
      </c>
      <c r="AG42" s="313">
        <v>0</v>
      </c>
      <c r="AH42" s="313">
        <v>0.19119999999999998</v>
      </c>
      <c r="AI42" s="4"/>
    </row>
    <row r="43" spans="1:35">
      <c r="A43" s="91"/>
      <c r="B43" s="66"/>
      <c r="C43" s="80"/>
      <c r="D43" s="70"/>
      <c r="E43" s="70" t="s">
        <v>53</v>
      </c>
      <c r="F43" s="99">
        <v>1064052.0852169537</v>
      </c>
      <c r="G43" s="485">
        <v>65.98436196093148</v>
      </c>
      <c r="H43" s="129">
        <v>1E-3</v>
      </c>
      <c r="I43" s="129">
        <v>2E-3</v>
      </c>
      <c r="J43" s="485">
        <v>2.6828644629376015E-2</v>
      </c>
      <c r="K43" s="129">
        <v>0.01</v>
      </c>
      <c r="L43" s="507">
        <v>2E-3</v>
      </c>
      <c r="M43" s="485">
        <v>2.2000000000000001E-3</v>
      </c>
      <c r="N43" s="156">
        <v>0</v>
      </c>
      <c r="O43" s="228">
        <v>2</v>
      </c>
      <c r="P43" s="518">
        <v>2</v>
      </c>
      <c r="Q43" s="518">
        <v>1.1200000000000001</v>
      </c>
      <c r="R43" s="185"/>
      <c r="S43" s="185"/>
      <c r="T43" s="185"/>
      <c r="U43" s="185"/>
      <c r="V43" s="185"/>
      <c r="W43" s="167">
        <v>2.1713263329772359E-2</v>
      </c>
      <c r="X43" s="167"/>
      <c r="Y43" s="167"/>
      <c r="Z43" s="156">
        <v>0</v>
      </c>
      <c r="AA43" s="156">
        <v>0</v>
      </c>
      <c r="AB43" s="156">
        <v>0</v>
      </c>
      <c r="AC43" s="156">
        <v>0</v>
      </c>
      <c r="AD43" s="156">
        <v>0</v>
      </c>
      <c r="AE43" s="156">
        <v>0</v>
      </c>
      <c r="AF43" s="156">
        <v>0</v>
      </c>
      <c r="AG43" s="156">
        <v>0</v>
      </c>
      <c r="AH43" s="156">
        <v>0</v>
      </c>
      <c r="AI43" s="4"/>
    </row>
    <row r="44" spans="1:35">
      <c r="A44" s="66"/>
      <c r="B44" s="66"/>
      <c r="C44" s="87" t="s">
        <v>104</v>
      </c>
      <c r="D44" s="83" t="s">
        <v>98</v>
      </c>
      <c r="E44" s="83"/>
      <c r="F44" s="110"/>
      <c r="G44" s="493"/>
      <c r="H44" s="165"/>
      <c r="I44" s="165"/>
      <c r="J44" s="165"/>
      <c r="K44" s="165"/>
      <c r="L44" s="165"/>
      <c r="M44" s="497"/>
      <c r="N44" s="165"/>
      <c r="O44" s="228"/>
      <c r="P44" s="185"/>
      <c r="Q44" s="185"/>
      <c r="R44" s="185"/>
      <c r="S44" s="185"/>
      <c r="T44" s="185"/>
      <c r="U44" s="185"/>
      <c r="V44" s="185"/>
      <c r="W44" s="165"/>
      <c r="X44" s="165"/>
      <c r="Y44" s="165"/>
      <c r="Z44" s="156"/>
      <c r="AA44" s="156"/>
      <c r="AB44" s="156"/>
      <c r="AC44" s="156"/>
      <c r="AD44" s="156"/>
      <c r="AE44" s="156"/>
      <c r="AF44" s="156"/>
      <c r="AG44" s="156"/>
      <c r="AH44" s="156"/>
      <c r="AI44" s="4"/>
    </row>
    <row r="45" spans="1:35">
      <c r="A45" s="66"/>
      <c r="B45" s="66"/>
      <c r="C45" s="85"/>
      <c r="D45" s="85"/>
      <c r="E45" s="94" t="s">
        <v>93</v>
      </c>
      <c r="F45" s="97">
        <v>0</v>
      </c>
      <c r="G45" s="485">
        <v>73.926512687586879</v>
      </c>
      <c r="H45" s="138">
        <v>1.2E-2</v>
      </c>
      <c r="I45" s="138">
        <v>2E-3</v>
      </c>
      <c r="J45" s="138">
        <v>1.3</v>
      </c>
      <c r="K45" s="138">
        <v>0.27</v>
      </c>
      <c r="L45" s="509">
        <v>0.05</v>
      </c>
      <c r="M45" s="485">
        <v>4.6864093846660126E-2</v>
      </c>
      <c r="N45" s="158">
        <v>0</v>
      </c>
      <c r="O45" s="517">
        <v>14</v>
      </c>
      <c r="P45" s="518">
        <v>14</v>
      </c>
      <c r="Q45" s="518">
        <v>7.8400000000000007</v>
      </c>
      <c r="R45" s="185"/>
      <c r="S45" s="185"/>
      <c r="T45" s="185"/>
      <c r="U45" s="185"/>
      <c r="V45" s="185"/>
      <c r="W45" s="167">
        <v>2.3416264375244699E-2</v>
      </c>
      <c r="X45" s="167"/>
      <c r="Y45" s="167"/>
      <c r="Z45" s="168">
        <v>1.1999999999999999E-3</v>
      </c>
      <c r="AA45" s="168">
        <v>1.1999999999999999E-3</v>
      </c>
      <c r="AB45" s="168">
        <v>5.0000000000000001E-4</v>
      </c>
      <c r="AC45" s="168">
        <v>1.1999999999999999E-3</v>
      </c>
      <c r="AD45" s="156">
        <v>0</v>
      </c>
      <c r="AE45" s="168">
        <v>1.1999999999999999E-3</v>
      </c>
      <c r="AF45" s="168">
        <v>4.7000000000000002E-3</v>
      </c>
      <c r="AG45" s="169">
        <v>2.0000000000000002E-5</v>
      </c>
      <c r="AH45" s="168">
        <v>2.3E-3</v>
      </c>
      <c r="AI45" s="4"/>
    </row>
    <row r="46" spans="1:35">
      <c r="A46" s="66"/>
      <c r="B46" s="66"/>
      <c r="C46" s="66"/>
      <c r="D46" s="66"/>
      <c r="E46" s="66" t="s">
        <v>99</v>
      </c>
      <c r="F46" s="102">
        <v>11614572.18326428</v>
      </c>
      <c r="G46" s="487">
        <v>54.117932307198394</v>
      </c>
      <c r="H46" s="140">
        <v>0.153</v>
      </c>
      <c r="I46" s="140">
        <v>3.0000000000000001E-3</v>
      </c>
      <c r="J46" s="140">
        <v>1</v>
      </c>
      <c r="K46" s="140">
        <v>0.3</v>
      </c>
      <c r="L46" s="510">
        <v>8.8999999999999996E-2</v>
      </c>
      <c r="M46" s="499">
        <v>0</v>
      </c>
      <c r="N46" s="166">
        <v>0</v>
      </c>
      <c r="O46" s="522">
        <v>10</v>
      </c>
      <c r="P46" s="521">
        <v>10</v>
      </c>
      <c r="Q46" s="521">
        <v>0.4</v>
      </c>
      <c r="R46" s="229"/>
      <c r="S46" s="229"/>
      <c r="T46" s="229"/>
      <c r="U46" s="229"/>
      <c r="V46" s="229"/>
      <c r="W46" s="170"/>
      <c r="X46" s="170"/>
      <c r="Y46" s="170"/>
      <c r="Z46" s="156">
        <v>0</v>
      </c>
      <c r="AA46" s="156">
        <v>0</v>
      </c>
      <c r="AB46" s="156">
        <v>0</v>
      </c>
      <c r="AC46" s="156">
        <v>0</v>
      </c>
      <c r="AD46" s="156">
        <v>0</v>
      </c>
      <c r="AE46" s="156">
        <v>0</v>
      </c>
      <c r="AF46" s="156">
        <v>0</v>
      </c>
      <c r="AG46" s="156">
        <v>0</v>
      </c>
      <c r="AH46" s="156">
        <v>0</v>
      </c>
      <c r="AI46" s="4"/>
    </row>
    <row r="47" spans="1:35">
      <c r="A47" s="70"/>
      <c r="B47" s="70"/>
      <c r="C47" s="70"/>
      <c r="D47" s="70"/>
      <c r="E47" s="95" t="s">
        <v>100</v>
      </c>
      <c r="F47" s="99">
        <v>0</v>
      </c>
      <c r="G47" s="488">
        <v>73.080939201699294</v>
      </c>
      <c r="H47" s="145">
        <v>9.2999999999999999E-2</v>
      </c>
      <c r="I47" s="145">
        <v>2.3E-3</v>
      </c>
      <c r="J47" s="144">
        <v>0.375</v>
      </c>
      <c r="K47" s="145">
        <v>14.509</v>
      </c>
      <c r="L47" s="511">
        <v>0.05</v>
      </c>
      <c r="M47" s="500">
        <v>2.274722825023771E-2</v>
      </c>
      <c r="N47" s="159">
        <v>0</v>
      </c>
      <c r="O47" s="519">
        <v>44</v>
      </c>
      <c r="P47" s="520">
        <v>44</v>
      </c>
      <c r="Q47" s="520">
        <v>24.64</v>
      </c>
      <c r="R47" s="230"/>
      <c r="S47" s="230"/>
      <c r="T47" s="230"/>
      <c r="U47" s="230"/>
      <c r="V47" s="230"/>
      <c r="W47" s="171"/>
      <c r="X47" s="171"/>
      <c r="Y47" s="171"/>
      <c r="Z47" s="179">
        <v>0</v>
      </c>
      <c r="AA47" s="179">
        <v>1.7100000000000001E-2</v>
      </c>
      <c r="AB47" s="179">
        <v>1.14E-2</v>
      </c>
      <c r="AC47" s="179">
        <v>3.9799999999999995E-2</v>
      </c>
      <c r="AD47" s="179">
        <v>0</v>
      </c>
      <c r="AE47" s="179">
        <v>1.14E-2</v>
      </c>
      <c r="AF47" s="179">
        <v>1.7060999999999999</v>
      </c>
      <c r="AG47" s="180">
        <v>1.1000000000000001E-3</v>
      </c>
      <c r="AH47" s="179">
        <v>0.11370000000000001</v>
      </c>
      <c r="AI47" s="4"/>
    </row>
    <row r="48" spans="1:35">
      <c r="F48" s="96"/>
    </row>
    <row r="49" spans="5:6">
      <c r="F49" s="96"/>
    </row>
    <row r="50" spans="5:6">
      <c r="E50" s="296" t="s">
        <v>192</v>
      </c>
    </row>
    <row r="51" spans="5:6">
      <c r="E51" s="243" t="s">
        <v>193</v>
      </c>
    </row>
    <row r="52" spans="5:6">
      <c r="E52" s="246" t="s">
        <v>194</v>
      </c>
    </row>
  </sheetData>
  <dataValidations count="1">
    <dataValidation type="list" allowBlank="1" showInputMessage="1" showErrorMessage="1" error="Please enter &quot;GCV&quot; or &quot;NCV&quot; in uppercase letters" prompt="Use the drop-down list if you need to change the entries of this column." sqref="IV65553:IV65576 SR65553:SR65576 ACN65553:ACN65576 AMJ65553:AMJ65576 AWF65553:AWF65576 BGB65553:BGB65576 BPX65553:BPX65576 BZT65553:BZT65576 CJP65553:CJP65576 CTL65553:CTL65576 DDH65553:DDH65576 DND65553:DND65576 DWZ65553:DWZ65576 EGV65553:EGV65576 EQR65553:EQR65576 FAN65553:FAN65576 FKJ65553:FKJ65576 FUF65553:FUF65576 GEB65553:GEB65576 GNX65553:GNX65576 GXT65553:GXT65576 HHP65553:HHP65576 HRL65553:HRL65576 IBH65553:IBH65576 ILD65553:ILD65576 IUZ65553:IUZ65576 JEV65553:JEV65576 JOR65553:JOR65576 JYN65553:JYN65576 KIJ65553:KIJ65576 KSF65553:KSF65576 LCB65553:LCB65576 LLX65553:LLX65576 LVT65553:LVT65576 MFP65553:MFP65576 MPL65553:MPL65576 MZH65553:MZH65576 NJD65553:NJD65576 NSZ65553:NSZ65576 OCV65553:OCV65576 OMR65553:OMR65576 OWN65553:OWN65576 PGJ65553:PGJ65576 PQF65553:PQF65576 QAB65553:QAB65576 QJX65553:QJX65576 QTT65553:QTT65576 RDP65553:RDP65576 RNL65553:RNL65576 RXH65553:RXH65576 SHD65553:SHD65576 SQZ65553:SQZ65576 TAV65553:TAV65576 TKR65553:TKR65576 TUN65553:TUN65576 UEJ65553:UEJ65576 UOF65553:UOF65576 UYB65553:UYB65576 VHX65553:VHX65576 VRT65553:VRT65576 WBP65553:WBP65576 WLL65553:WLL65576 WVH65553:WVH65576 IV131089:IV131112 SR131089:SR131112 ACN131089:ACN131112 AMJ131089:AMJ131112 AWF131089:AWF131112 BGB131089:BGB131112 BPX131089:BPX131112 BZT131089:BZT131112 CJP131089:CJP131112 CTL131089:CTL131112 DDH131089:DDH131112 DND131089:DND131112 DWZ131089:DWZ131112 EGV131089:EGV131112 EQR131089:EQR131112 FAN131089:FAN131112 FKJ131089:FKJ131112 FUF131089:FUF131112 GEB131089:GEB131112 GNX131089:GNX131112 GXT131089:GXT131112 HHP131089:HHP131112 HRL131089:HRL131112 IBH131089:IBH131112 ILD131089:ILD131112 IUZ131089:IUZ131112 JEV131089:JEV131112 JOR131089:JOR131112 JYN131089:JYN131112 KIJ131089:KIJ131112 KSF131089:KSF131112 LCB131089:LCB131112 LLX131089:LLX131112 LVT131089:LVT131112 MFP131089:MFP131112 MPL131089:MPL131112 MZH131089:MZH131112 NJD131089:NJD131112 NSZ131089:NSZ131112 OCV131089:OCV131112 OMR131089:OMR131112 OWN131089:OWN131112 PGJ131089:PGJ131112 PQF131089:PQF131112 QAB131089:QAB131112 QJX131089:QJX131112 QTT131089:QTT131112 RDP131089:RDP131112 RNL131089:RNL131112 RXH131089:RXH131112 SHD131089:SHD131112 SQZ131089:SQZ131112 TAV131089:TAV131112 TKR131089:TKR131112 TUN131089:TUN131112 UEJ131089:UEJ131112 UOF131089:UOF131112 UYB131089:UYB131112 VHX131089:VHX131112 VRT131089:VRT131112 WBP131089:WBP131112 WLL131089:WLL131112 WVH131089:WVH131112 IV196625:IV196648 SR196625:SR196648 ACN196625:ACN196648 AMJ196625:AMJ196648 AWF196625:AWF196648 BGB196625:BGB196648 BPX196625:BPX196648 BZT196625:BZT196648 CJP196625:CJP196648 CTL196625:CTL196648 DDH196625:DDH196648 DND196625:DND196648 DWZ196625:DWZ196648 EGV196625:EGV196648 EQR196625:EQR196648 FAN196625:FAN196648 FKJ196625:FKJ196648 FUF196625:FUF196648 GEB196625:GEB196648 GNX196625:GNX196648 GXT196625:GXT196648 HHP196625:HHP196648 HRL196625:HRL196648 IBH196625:IBH196648 ILD196625:ILD196648 IUZ196625:IUZ196648 JEV196625:JEV196648 JOR196625:JOR196648 JYN196625:JYN196648 KIJ196625:KIJ196648 KSF196625:KSF196648 LCB196625:LCB196648 LLX196625:LLX196648 LVT196625:LVT196648 MFP196625:MFP196648 MPL196625:MPL196648 MZH196625:MZH196648 NJD196625:NJD196648 NSZ196625:NSZ196648 OCV196625:OCV196648 OMR196625:OMR196648 OWN196625:OWN196648 PGJ196625:PGJ196648 PQF196625:PQF196648 QAB196625:QAB196648 QJX196625:QJX196648 QTT196625:QTT196648 RDP196625:RDP196648 RNL196625:RNL196648 RXH196625:RXH196648 SHD196625:SHD196648 SQZ196625:SQZ196648 TAV196625:TAV196648 TKR196625:TKR196648 TUN196625:TUN196648 UEJ196625:UEJ196648 UOF196625:UOF196648 UYB196625:UYB196648 VHX196625:VHX196648 VRT196625:VRT196648 WBP196625:WBP196648 WLL196625:WLL196648 WVH196625:WVH196648 IV262161:IV262184 SR262161:SR262184 ACN262161:ACN262184 AMJ262161:AMJ262184 AWF262161:AWF262184 BGB262161:BGB262184 BPX262161:BPX262184 BZT262161:BZT262184 CJP262161:CJP262184 CTL262161:CTL262184 DDH262161:DDH262184 DND262161:DND262184 DWZ262161:DWZ262184 EGV262161:EGV262184 EQR262161:EQR262184 FAN262161:FAN262184 FKJ262161:FKJ262184 FUF262161:FUF262184 GEB262161:GEB262184 GNX262161:GNX262184 GXT262161:GXT262184 HHP262161:HHP262184 HRL262161:HRL262184 IBH262161:IBH262184 ILD262161:ILD262184 IUZ262161:IUZ262184 JEV262161:JEV262184 JOR262161:JOR262184 JYN262161:JYN262184 KIJ262161:KIJ262184 KSF262161:KSF262184 LCB262161:LCB262184 LLX262161:LLX262184 LVT262161:LVT262184 MFP262161:MFP262184 MPL262161:MPL262184 MZH262161:MZH262184 NJD262161:NJD262184 NSZ262161:NSZ262184 OCV262161:OCV262184 OMR262161:OMR262184 OWN262161:OWN262184 PGJ262161:PGJ262184 PQF262161:PQF262184 QAB262161:QAB262184 QJX262161:QJX262184 QTT262161:QTT262184 RDP262161:RDP262184 RNL262161:RNL262184 RXH262161:RXH262184 SHD262161:SHD262184 SQZ262161:SQZ262184 TAV262161:TAV262184 TKR262161:TKR262184 TUN262161:TUN262184 UEJ262161:UEJ262184 UOF262161:UOF262184 UYB262161:UYB262184 VHX262161:VHX262184 VRT262161:VRT262184 WBP262161:WBP262184 WLL262161:WLL262184 WVH262161:WVH262184 IV327697:IV327720 SR327697:SR327720 ACN327697:ACN327720 AMJ327697:AMJ327720 AWF327697:AWF327720 BGB327697:BGB327720 BPX327697:BPX327720 BZT327697:BZT327720 CJP327697:CJP327720 CTL327697:CTL327720 DDH327697:DDH327720 DND327697:DND327720 DWZ327697:DWZ327720 EGV327697:EGV327720 EQR327697:EQR327720 FAN327697:FAN327720 FKJ327697:FKJ327720 FUF327697:FUF327720 GEB327697:GEB327720 GNX327697:GNX327720 GXT327697:GXT327720 HHP327697:HHP327720 HRL327697:HRL327720 IBH327697:IBH327720 ILD327697:ILD327720 IUZ327697:IUZ327720 JEV327697:JEV327720 JOR327697:JOR327720 JYN327697:JYN327720 KIJ327697:KIJ327720 KSF327697:KSF327720 LCB327697:LCB327720 LLX327697:LLX327720 LVT327697:LVT327720 MFP327697:MFP327720 MPL327697:MPL327720 MZH327697:MZH327720 NJD327697:NJD327720 NSZ327697:NSZ327720 OCV327697:OCV327720 OMR327697:OMR327720 OWN327697:OWN327720 PGJ327697:PGJ327720 PQF327697:PQF327720 QAB327697:QAB327720 QJX327697:QJX327720 QTT327697:QTT327720 RDP327697:RDP327720 RNL327697:RNL327720 RXH327697:RXH327720 SHD327697:SHD327720 SQZ327697:SQZ327720 TAV327697:TAV327720 TKR327697:TKR327720 TUN327697:TUN327720 UEJ327697:UEJ327720 UOF327697:UOF327720 UYB327697:UYB327720 VHX327697:VHX327720 VRT327697:VRT327720 WBP327697:WBP327720 WLL327697:WLL327720 WVH327697:WVH327720 IV393233:IV393256 SR393233:SR393256 ACN393233:ACN393256 AMJ393233:AMJ393256 AWF393233:AWF393256 BGB393233:BGB393256 BPX393233:BPX393256 BZT393233:BZT393256 CJP393233:CJP393256 CTL393233:CTL393256 DDH393233:DDH393256 DND393233:DND393256 DWZ393233:DWZ393256 EGV393233:EGV393256 EQR393233:EQR393256 FAN393233:FAN393256 FKJ393233:FKJ393256 FUF393233:FUF393256 GEB393233:GEB393256 GNX393233:GNX393256 GXT393233:GXT393256 HHP393233:HHP393256 HRL393233:HRL393256 IBH393233:IBH393256 ILD393233:ILD393256 IUZ393233:IUZ393256 JEV393233:JEV393256 JOR393233:JOR393256 JYN393233:JYN393256 KIJ393233:KIJ393256 KSF393233:KSF393256 LCB393233:LCB393256 LLX393233:LLX393256 LVT393233:LVT393256 MFP393233:MFP393256 MPL393233:MPL393256 MZH393233:MZH393256 NJD393233:NJD393256 NSZ393233:NSZ393256 OCV393233:OCV393256 OMR393233:OMR393256 OWN393233:OWN393256 PGJ393233:PGJ393256 PQF393233:PQF393256 QAB393233:QAB393256 QJX393233:QJX393256 QTT393233:QTT393256 RDP393233:RDP393256 RNL393233:RNL393256 RXH393233:RXH393256 SHD393233:SHD393256 SQZ393233:SQZ393256 TAV393233:TAV393256 TKR393233:TKR393256 TUN393233:TUN393256 UEJ393233:UEJ393256 UOF393233:UOF393256 UYB393233:UYB393256 VHX393233:VHX393256 VRT393233:VRT393256 WBP393233:WBP393256 WLL393233:WLL393256 WVH393233:WVH393256 IV458769:IV458792 SR458769:SR458792 ACN458769:ACN458792 AMJ458769:AMJ458792 AWF458769:AWF458792 BGB458769:BGB458792 BPX458769:BPX458792 BZT458769:BZT458792 CJP458769:CJP458792 CTL458769:CTL458792 DDH458769:DDH458792 DND458769:DND458792 DWZ458769:DWZ458792 EGV458769:EGV458792 EQR458769:EQR458792 FAN458769:FAN458792 FKJ458769:FKJ458792 FUF458769:FUF458792 GEB458769:GEB458792 GNX458769:GNX458792 GXT458769:GXT458792 HHP458769:HHP458792 HRL458769:HRL458792 IBH458769:IBH458792 ILD458769:ILD458792 IUZ458769:IUZ458792 JEV458769:JEV458792 JOR458769:JOR458792 JYN458769:JYN458792 KIJ458769:KIJ458792 KSF458769:KSF458792 LCB458769:LCB458792 LLX458769:LLX458792 LVT458769:LVT458792 MFP458769:MFP458792 MPL458769:MPL458792 MZH458769:MZH458792 NJD458769:NJD458792 NSZ458769:NSZ458792 OCV458769:OCV458792 OMR458769:OMR458792 OWN458769:OWN458792 PGJ458769:PGJ458792 PQF458769:PQF458792 QAB458769:QAB458792 QJX458769:QJX458792 QTT458769:QTT458792 RDP458769:RDP458792 RNL458769:RNL458792 RXH458769:RXH458792 SHD458769:SHD458792 SQZ458769:SQZ458792 TAV458769:TAV458792 TKR458769:TKR458792 TUN458769:TUN458792 UEJ458769:UEJ458792 UOF458769:UOF458792 UYB458769:UYB458792 VHX458769:VHX458792 VRT458769:VRT458792 WBP458769:WBP458792 WLL458769:WLL458792 WVH458769:WVH458792 IV524305:IV524328 SR524305:SR524328 ACN524305:ACN524328 AMJ524305:AMJ524328 AWF524305:AWF524328 BGB524305:BGB524328 BPX524305:BPX524328 BZT524305:BZT524328 CJP524305:CJP524328 CTL524305:CTL524328 DDH524305:DDH524328 DND524305:DND524328 DWZ524305:DWZ524328 EGV524305:EGV524328 EQR524305:EQR524328 FAN524305:FAN524328 FKJ524305:FKJ524328 FUF524305:FUF524328 GEB524305:GEB524328 GNX524305:GNX524328 GXT524305:GXT524328 HHP524305:HHP524328 HRL524305:HRL524328 IBH524305:IBH524328 ILD524305:ILD524328 IUZ524305:IUZ524328 JEV524305:JEV524328 JOR524305:JOR524328 JYN524305:JYN524328 KIJ524305:KIJ524328 KSF524305:KSF524328 LCB524305:LCB524328 LLX524305:LLX524328 LVT524305:LVT524328 MFP524305:MFP524328 MPL524305:MPL524328 MZH524305:MZH524328 NJD524305:NJD524328 NSZ524305:NSZ524328 OCV524305:OCV524328 OMR524305:OMR524328 OWN524305:OWN524328 PGJ524305:PGJ524328 PQF524305:PQF524328 QAB524305:QAB524328 QJX524305:QJX524328 QTT524305:QTT524328 RDP524305:RDP524328 RNL524305:RNL524328 RXH524305:RXH524328 SHD524305:SHD524328 SQZ524305:SQZ524328 TAV524305:TAV524328 TKR524305:TKR524328 TUN524305:TUN524328 UEJ524305:UEJ524328 UOF524305:UOF524328 UYB524305:UYB524328 VHX524305:VHX524328 VRT524305:VRT524328 WBP524305:WBP524328 WLL524305:WLL524328 WVH524305:WVH524328 IV589841:IV589864 SR589841:SR589864 ACN589841:ACN589864 AMJ589841:AMJ589864 AWF589841:AWF589864 BGB589841:BGB589864 BPX589841:BPX589864 BZT589841:BZT589864 CJP589841:CJP589864 CTL589841:CTL589864 DDH589841:DDH589864 DND589841:DND589864 DWZ589841:DWZ589864 EGV589841:EGV589864 EQR589841:EQR589864 FAN589841:FAN589864 FKJ589841:FKJ589864 FUF589841:FUF589864 GEB589841:GEB589864 GNX589841:GNX589864 GXT589841:GXT589864 HHP589841:HHP589864 HRL589841:HRL589864 IBH589841:IBH589864 ILD589841:ILD589864 IUZ589841:IUZ589864 JEV589841:JEV589864 JOR589841:JOR589864 JYN589841:JYN589864 KIJ589841:KIJ589864 KSF589841:KSF589864 LCB589841:LCB589864 LLX589841:LLX589864 LVT589841:LVT589864 MFP589841:MFP589864 MPL589841:MPL589864 MZH589841:MZH589864 NJD589841:NJD589864 NSZ589841:NSZ589864 OCV589841:OCV589864 OMR589841:OMR589864 OWN589841:OWN589864 PGJ589841:PGJ589864 PQF589841:PQF589864 QAB589841:QAB589864 QJX589841:QJX589864 QTT589841:QTT589864 RDP589841:RDP589864 RNL589841:RNL589864 RXH589841:RXH589864 SHD589841:SHD589864 SQZ589841:SQZ589864 TAV589841:TAV589864 TKR589841:TKR589864 TUN589841:TUN589864 UEJ589841:UEJ589864 UOF589841:UOF589864 UYB589841:UYB589864 VHX589841:VHX589864 VRT589841:VRT589864 WBP589841:WBP589864 WLL589841:WLL589864 WVH589841:WVH589864 IV655377:IV655400 SR655377:SR655400 ACN655377:ACN655400 AMJ655377:AMJ655400 AWF655377:AWF655400 BGB655377:BGB655400 BPX655377:BPX655400 BZT655377:BZT655400 CJP655377:CJP655400 CTL655377:CTL655400 DDH655377:DDH655400 DND655377:DND655400 DWZ655377:DWZ655400 EGV655377:EGV655400 EQR655377:EQR655400 FAN655377:FAN655400 FKJ655377:FKJ655400 FUF655377:FUF655400 GEB655377:GEB655400 GNX655377:GNX655400 GXT655377:GXT655400 HHP655377:HHP655400 HRL655377:HRL655400 IBH655377:IBH655400 ILD655377:ILD655400 IUZ655377:IUZ655400 JEV655377:JEV655400 JOR655377:JOR655400 JYN655377:JYN655400 KIJ655377:KIJ655400 KSF655377:KSF655400 LCB655377:LCB655400 LLX655377:LLX655400 LVT655377:LVT655400 MFP655377:MFP655400 MPL655377:MPL655400 MZH655377:MZH655400 NJD655377:NJD655400 NSZ655377:NSZ655400 OCV655377:OCV655400 OMR655377:OMR655400 OWN655377:OWN655400 PGJ655377:PGJ655400 PQF655377:PQF655400 QAB655377:QAB655400 QJX655377:QJX655400 QTT655377:QTT655400 RDP655377:RDP655400 RNL655377:RNL655400 RXH655377:RXH655400 SHD655377:SHD655400 SQZ655377:SQZ655400 TAV655377:TAV655400 TKR655377:TKR655400 TUN655377:TUN655400 UEJ655377:UEJ655400 UOF655377:UOF655400 UYB655377:UYB655400 VHX655377:VHX655400 VRT655377:VRT655400 WBP655377:WBP655400 WLL655377:WLL655400 WVH655377:WVH655400 IV720913:IV720936 SR720913:SR720936 ACN720913:ACN720936 AMJ720913:AMJ720936 AWF720913:AWF720936 BGB720913:BGB720936 BPX720913:BPX720936 BZT720913:BZT720936 CJP720913:CJP720936 CTL720913:CTL720936 DDH720913:DDH720936 DND720913:DND720936 DWZ720913:DWZ720936 EGV720913:EGV720936 EQR720913:EQR720936 FAN720913:FAN720936 FKJ720913:FKJ720936 FUF720913:FUF720936 GEB720913:GEB720936 GNX720913:GNX720936 GXT720913:GXT720936 HHP720913:HHP720936 HRL720913:HRL720936 IBH720913:IBH720936 ILD720913:ILD720936 IUZ720913:IUZ720936 JEV720913:JEV720936 JOR720913:JOR720936 JYN720913:JYN720936 KIJ720913:KIJ720936 KSF720913:KSF720936 LCB720913:LCB720936 LLX720913:LLX720936 LVT720913:LVT720936 MFP720913:MFP720936 MPL720913:MPL720936 MZH720913:MZH720936 NJD720913:NJD720936 NSZ720913:NSZ720936 OCV720913:OCV720936 OMR720913:OMR720936 OWN720913:OWN720936 PGJ720913:PGJ720936 PQF720913:PQF720936 QAB720913:QAB720936 QJX720913:QJX720936 QTT720913:QTT720936 RDP720913:RDP720936 RNL720913:RNL720936 RXH720913:RXH720936 SHD720913:SHD720936 SQZ720913:SQZ720936 TAV720913:TAV720936 TKR720913:TKR720936 TUN720913:TUN720936 UEJ720913:UEJ720936 UOF720913:UOF720936 UYB720913:UYB720936 VHX720913:VHX720936 VRT720913:VRT720936 WBP720913:WBP720936 WLL720913:WLL720936 WVH720913:WVH720936 IV786449:IV786472 SR786449:SR786472 ACN786449:ACN786472 AMJ786449:AMJ786472 AWF786449:AWF786472 BGB786449:BGB786472 BPX786449:BPX786472 BZT786449:BZT786472 CJP786449:CJP786472 CTL786449:CTL786472 DDH786449:DDH786472 DND786449:DND786472 DWZ786449:DWZ786472 EGV786449:EGV786472 EQR786449:EQR786472 FAN786449:FAN786472 FKJ786449:FKJ786472 FUF786449:FUF786472 GEB786449:GEB786472 GNX786449:GNX786472 GXT786449:GXT786472 HHP786449:HHP786472 HRL786449:HRL786472 IBH786449:IBH786472 ILD786449:ILD786472 IUZ786449:IUZ786472 JEV786449:JEV786472 JOR786449:JOR786472 JYN786449:JYN786472 KIJ786449:KIJ786472 KSF786449:KSF786472 LCB786449:LCB786472 LLX786449:LLX786472 LVT786449:LVT786472 MFP786449:MFP786472 MPL786449:MPL786472 MZH786449:MZH786472 NJD786449:NJD786472 NSZ786449:NSZ786472 OCV786449:OCV786472 OMR786449:OMR786472 OWN786449:OWN786472 PGJ786449:PGJ786472 PQF786449:PQF786472 QAB786449:QAB786472 QJX786449:QJX786472 QTT786449:QTT786472 RDP786449:RDP786472 RNL786449:RNL786472 RXH786449:RXH786472 SHD786449:SHD786472 SQZ786449:SQZ786472 TAV786449:TAV786472 TKR786449:TKR786472 TUN786449:TUN786472 UEJ786449:UEJ786472 UOF786449:UOF786472 UYB786449:UYB786472 VHX786449:VHX786472 VRT786449:VRT786472 WBP786449:WBP786472 WLL786449:WLL786472 WVH786449:WVH786472 IV851985:IV852008 SR851985:SR852008 ACN851985:ACN852008 AMJ851985:AMJ852008 AWF851985:AWF852008 BGB851985:BGB852008 BPX851985:BPX852008 BZT851985:BZT852008 CJP851985:CJP852008 CTL851985:CTL852008 DDH851985:DDH852008 DND851985:DND852008 DWZ851985:DWZ852008 EGV851985:EGV852008 EQR851985:EQR852008 FAN851985:FAN852008 FKJ851985:FKJ852008 FUF851985:FUF852008 GEB851985:GEB852008 GNX851985:GNX852008 GXT851985:GXT852008 HHP851985:HHP852008 HRL851985:HRL852008 IBH851985:IBH852008 ILD851985:ILD852008 IUZ851985:IUZ852008 JEV851985:JEV852008 JOR851985:JOR852008 JYN851985:JYN852008 KIJ851985:KIJ852008 KSF851985:KSF852008 LCB851985:LCB852008 LLX851985:LLX852008 LVT851985:LVT852008 MFP851985:MFP852008 MPL851985:MPL852008 MZH851985:MZH852008 NJD851985:NJD852008 NSZ851985:NSZ852008 OCV851985:OCV852008 OMR851985:OMR852008 OWN851985:OWN852008 PGJ851985:PGJ852008 PQF851985:PQF852008 QAB851985:QAB852008 QJX851985:QJX852008 QTT851985:QTT852008 RDP851985:RDP852008 RNL851985:RNL852008 RXH851985:RXH852008 SHD851985:SHD852008 SQZ851985:SQZ852008 TAV851985:TAV852008 TKR851985:TKR852008 TUN851985:TUN852008 UEJ851985:UEJ852008 UOF851985:UOF852008 UYB851985:UYB852008 VHX851985:VHX852008 VRT851985:VRT852008 WBP851985:WBP852008 WLL851985:WLL852008 WVH851985:WVH852008 IV917521:IV917544 SR917521:SR917544 ACN917521:ACN917544 AMJ917521:AMJ917544 AWF917521:AWF917544 BGB917521:BGB917544 BPX917521:BPX917544 BZT917521:BZT917544 CJP917521:CJP917544 CTL917521:CTL917544 DDH917521:DDH917544 DND917521:DND917544 DWZ917521:DWZ917544 EGV917521:EGV917544 EQR917521:EQR917544 FAN917521:FAN917544 FKJ917521:FKJ917544 FUF917521:FUF917544 GEB917521:GEB917544 GNX917521:GNX917544 GXT917521:GXT917544 HHP917521:HHP917544 HRL917521:HRL917544 IBH917521:IBH917544 ILD917521:ILD917544 IUZ917521:IUZ917544 JEV917521:JEV917544 JOR917521:JOR917544 JYN917521:JYN917544 KIJ917521:KIJ917544 KSF917521:KSF917544 LCB917521:LCB917544 LLX917521:LLX917544 LVT917521:LVT917544 MFP917521:MFP917544 MPL917521:MPL917544 MZH917521:MZH917544 NJD917521:NJD917544 NSZ917521:NSZ917544 OCV917521:OCV917544 OMR917521:OMR917544 OWN917521:OWN917544 PGJ917521:PGJ917544 PQF917521:PQF917544 QAB917521:QAB917544 QJX917521:QJX917544 QTT917521:QTT917544 RDP917521:RDP917544 RNL917521:RNL917544 RXH917521:RXH917544 SHD917521:SHD917544 SQZ917521:SQZ917544 TAV917521:TAV917544 TKR917521:TKR917544 TUN917521:TUN917544 UEJ917521:UEJ917544 UOF917521:UOF917544 UYB917521:UYB917544 VHX917521:VHX917544 VRT917521:VRT917544 WBP917521:WBP917544 WLL917521:WLL917544 WVH917521:WVH917544 IV983057:IV983080 SR983057:SR983080 ACN983057:ACN983080 AMJ983057:AMJ983080 AWF983057:AWF983080 BGB983057:BGB983080 BPX983057:BPX983080 BZT983057:BZT983080 CJP983057:CJP983080 CTL983057:CTL983080 DDH983057:DDH983080 DND983057:DND983080 DWZ983057:DWZ983080 EGV983057:EGV983080 EQR983057:EQR983080 FAN983057:FAN983080 FKJ983057:FKJ983080 FUF983057:FUF983080 GEB983057:GEB983080 GNX983057:GNX983080 GXT983057:GXT983080 HHP983057:HHP983080 HRL983057:HRL983080 IBH983057:IBH983080 ILD983057:ILD983080 IUZ983057:IUZ983080 JEV983057:JEV983080 JOR983057:JOR983080 JYN983057:JYN983080 KIJ983057:KIJ983080 KSF983057:KSF983080 LCB983057:LCB983080 LLX983057:LLX983080 LVT983057:LVT983080 MFP983057:MFP983080 MPL983057:MPL983080 MZH983057:MZH983080 NJD983057:NJD983080 NSZ983057:NSZ983080 OCV983057:OCV983080 OMR983057:OMR983080 OWN983057:OWN983080 PGJ983057:PGJ983080 PQF983057:PQF983080 QAB983057:QAB983080 QJX983057:QJX983080 QTT983057:QTT983080 RDP983057:RDP983080 RNL983057:RNL983080 RXH983057:RXH983080 SHD983057:SHD983080 SQZ983057:SQZ983080 TAV983057:TAV983080 TKR983057:TKR983080 TUN983057:TUN983080 UEJ983057:UEJ983080 UOF983057:UOF983080 UYB983057:UYB983080 VHX983057:VHX983080 VRT983057:VRT983080 WBP983057:WBP983080 WLL983057:WLL983080 WVH983057:WVH983080 D983057:D983080 D917521:D917544 D851985:D852008 D786449:D786472 D720913:D720936 D655377:D655400 D589841:D589864 D524305:D524328 D458769:D458792 D393233:D393256 D327697:D327720 D262161:D262184 D196625:D196648 D131089:D131112 D65553:D65576" xr:uid="{00000000-0002-0000-0300-000000000000}">
      <formula1>"GCV,NCV"</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A68"/>
  <sheetViews>
    <sheetView zoomScaleNormal="100" workbookViewId="0">
      <selection activeCell="K62" sqref="K62"/>
    </sheetView>
  </sheetViews>
  <sheetFormatPr defaultRowHeight="14.5"/>
  <cols>
    <col min="2" max="2" width="21.08984375" customWidth="1"/>
    <col min="3" max="3" width="9" bestFit="1" customWidth="1"/>
    <col min="4" max="4" width="16.81640625" bestFit="1" customWidth="1"/>
    <col min="5" max="5" width="9.6328125" bestFit="1" customWidth="1"/>
    <col min="6" max="6" width="10.54296875" bestFit="1" customWidth="1"/>
    <col min="7" max="7" width="9.54296875" customWidth="1"/>
    <col min="8" max="8" width="10.54296875" bestFit="1" customWidth="1"/>
    <col min="9" max="9" width="11.54296875" customWidth="1"/>
    <col min="10" max="12" width="9.54296875" customWidth="1"/>
    <col min="13" max="13" width="9.6328125" bestFit="1" customWidth="1"/>
    <col min="14" max="15" width="9.54296875" customWidth="1"/>
    <col min="16" max="16" width="9.6328125" bestFit="1" customWidth="1"/>
    <col min="17" max="17" width="9.54296875" customWidth="1"/>
    <col min="18" max="18" width="9.6328125" bestFit="1" customWidth="1"/>
    <col min="19" max="21" width="9.54296875" customWidth="1"/>
    <col min="22" max="22" width="9.6328125" bestFit="1" customWidth="1"/>
    <col min="23" max="23" width="9.54296875" customWidth="1"/>
    <col min="24" max="24" width="14.453125" customWidth="1"/>
    <col min="25" max="25" width="10.54296875" customWidth="1"/>
    <col min="26" max="26" width="13.54296875" customWidth="1"/>
    <col min="27" max="27" width="11.453125" customWidth="1"/>
  </cols>
  <sheetData>
    <row r="1" spans="1:27" ht="15.5">
      <c r="A1" s="9" t="s">
        <v>30</v>
      </c>
      <c r="B1" s="10" t="s">
        <v>31</v>
      </c>
      <c r="C1" s="28"/>
      <c r="D1" s="592" t="s">
        <v>64</v>
      </c>
      <c r="E1" s="592"/>
      <c r="F1" s="592"/>
      <c r="G1" s="592"/>
      <c r="H1" s="592"/>
      <c r="I1" s="592"/>
      <c r="J1" s="592"/>
      <c r="K1" s="593"/>
      <c r="L1" s="595" t="s">
        <v>108</v>
      </c>
      <c r="M1" s="596"/>
      <c r="N1" s="596"/>
      <c r="O1" s="596"/>
      <c r="P1" s="596"/>
      <c r="Q1" s="596"/>
      <c r="R1" s="596"/>
      <c r="S1" s="596"/>
      <c r="T1" s="596"/>
      <c r="U1" s="596" t="s">
        <v>64</v>
      </c>
      <c r="V1" s="596"/>
      <c r="W1" s="597"/>
      <c r="X1" s="50" t="s">
        <v>45</v>
      </c>
      <c r="Y1" s="598" t="s">
        <v>46</v>
      </c>
      <c r="Z1" s="594"/>
      <c r="AA1" s="599"/>
    </row>
    <row r="2" spans="1:27">
      <c r="C2" s="31" t="s">
        <v>0</v>
      </c>
      <c r="D2" s="55" t="s">
        <v>1</v>
      </c>
      <c r="E2" s="8" t="s">
        <v>2</v>
      </c>
      <c r="F2" s="6" t="s">
        <v>3</v>
      </c>
      <c r="G2" s="8" t="s">
        <v>4</v>
      </c>
      <c r="H2" s="8" t="s">
        <v>5</v>
      </c>
      <c r="I2" s="8" t="s">
        <v>47</v>
      </c>
      <c r="J2" s="8" t="s">
        <v>7</v>
      </c>
      <c r="K2" s="7" t="s">
        <v>8</v>
      </c>
      <c r="L2" s="6" t="s">
        <v>9</v>
      </c>
      <c r="M2" s="6" t="s">
        <v>10</v>
      </c>
      <c r="N2" s="6" t="s">
        <v>11</v>
      </c>
      <c r="O2" s="6" t="s">
        <v>12</v>
      </c>
      <c r="P2" s="6" t="s">
        <v>13</v>
      </c>
      <c r="Q2" s="6" t="s">
        <v>14</v>
      </c>
      <c r="R2" s="6" t="s">
        <v>15</v>
      </c>
      <c r="S2" s="6" t="s">
        <v>16</v>
      </c>
      <c r="T2" s="6" t="s">
        <v>17</v>
      </c>
      <c r="U2" s="5" t="s">
        <v>18</v>
      </c>
      <c r="V2" s="5" t="s">
        <v>106</v>
      </c>
      <c r="W2" s="5" t="s">
        <v>184</v>
      </c>
      <c r="X2" s="51" t="s">
        <v>19</v>
      </c>
      <c r="Y2" s="6" t="s">
        <v>20</v>
      </c>
      <c r="Z2" s="6" t="s">
        <v>21</v>
      </c>
      <c r="AA2" s="6" t="s">
        <v>22</v>
      </c>
    </row>
    <row r="3" spans="1:27" ht="21" customHeight="1">
      <c r="C3" s="113">
        <f>SUM(C6:C23,C26:C43,C46:C62)</f>
        <v>284040.48920843232</v>
      </c>
      <c r="D3" s="222">
        <v>443.44272318591459</v>
      </c>
      <c r="E3" s="222">
        <v>5416.6272910864118</v>
      </c>
      <c r="F3" s="222">
        <v>1651.6404642358104</v>
      </c>
      <c r="G3" s="222">
        <v>8183.1524436513137</v>
      </c>
      <c r="H3" s="222">
        <v>4800.0549289158862</v>
      </c>
      <c r="I3" s="222">
        <v>21402708.652403116</v>
      </c>
      <c r="J3" s="222">
        <v>383.11807058374188</v>
      </c>
      <c r="K3" s="577">
        <v>0.36960000000000004</v>
      </c>
      <c r="L3" s="222">
        <v>93.268149493494377</v>
      </c>
      <c r="M3" s="222">
        <v>17.37177231765348</v>
      </c>
      <c r="N3" s="222">
        <v>1618.5548607414694</v>
      </c>
      <c r="O3" s="222">
        <v>927.6043334710032</v>
      </c>
      <c r="P3" s="222">
        <v>133.72472613107709</v>
      </c>
      <c r="Q3" s="222">
        <v>2582.6277500815868</v>
      </c>
      <c r="R3" s="222">
        <v>325.16234957674106</v>
      </c>
      <c r="S3" s="222">
        <v>347.31822168289284</v>
      </c>
      <c r="T3" s="222">
        <v>225.4783969772997</v>
      </c>
      <c r="U3" s="222">
        <v>729.86806066540453</v>
      </c>
      <c r="V3" s="222">
        <v>584.89917442374951</v>
      </c>
      <c r="W3" s="222">
        <v>28.757435294017931</v>
      </c>
      <c r="X3" s="578">
        <v>2.1455733804406174</v>
      </c>
      <c r="Y3" s="222">
        <v>208.63500475646319</v>
      </c>
      <c r="Z3" s="222">
        <v>0.17721449858419699</v>
      </c>
      <c r="AA3" s="577">
        <v>0.29024198269532325</v>
      </c>
    </row>
    <row r="4" spans="1:27" ht="15.5">
      <c r="A4" s="2"/>
      <c r="B4" s="2"/>
      <c r="C4" s="28"/>
      <c r="D4" s="579">
        <f>+D5+D25+D45</f>
        <v>443.44272318591459</v>
      </c>
      <c r="E4" s="579">
        <f t="shared" ref="E4:AA4" si="0">+E5+E25+E45</f>
        <v>5416.6272910864118</v>
      </c>
      <c r="F4" s="583">
        <f t="shared" si="0"/>
        <v>1651.6404642358104</v>
      </c>
      <c r="G4" s="579">
        <f t="shared" si="0"/>
        <v>8183.1524436513137</v>
      </c>
      <c r="H4" s="583">
        <f t="shared" si="0"/>
        <v>4800.0549289158862</v>
      </c>
      <c r="I4" s="579">
        <f t="shared" si="0"/>
        <v>21402.708652403111</v>
      </c>
      <c r="J4" s="579">
        <f t="shared" si="0"/>
        <v>383.11807058374188</v>
      </c>
      <c r="K4" s="584">
        <f t="shared" si="0"/>
        <v>0.36960000000000004</v>
      </c>
      <c r="L4" s="583">
        <f t="shared" si="0"/>
        <v>93.268149493494363</v>
      </c>
      <c r="M4" s="583">
        <f t="shared" si="0"/>
        <v>17.37177231765348</v>
      </c>
      <c r="N4" s="583">
        <f t="shared" si="0"/>
        <v>1618.5548607414694</v>
      </c>
      <c r="O4" s="583">
        <f t="shared" si="0"/>
        <v>927.6043334710032</v>
      </c>
      <c r="P4" s="583">
        <f t="shared" si="0"/>
        <v>133.72472613107709</v>
      </c>
      <c r="Q4" s="583">
        <f t="shared" si="0"/>
        <v>2582.6277500815868</v>
      </c>
      <c r="R4" s="583">
        <f t="shared" si="0"/>
        <v>325.16234957674106</v>
      </c>
      <c r="S4" s="583">
        <f t="shared" si="0"/>
        <v>347.3182216828929</v>
      </c>
      <c r="T4" s="583">
        <f t="shared" si="0"/>
        <v>225.4783969772997</v>
      </c>
      <c r="U4" s="583">
        <f t="shared" si="0"/>
        <v>729.86806066540453</v>
      </c>
      <c r="V4" s="583">
        <f t="shared" si="0"/>
        <v>584.89917442374951</v>
      </c>
      <c r="W4" s="583">
        <f t="shared" si="0"/>
        <v>28.757435294017931</v>
      </c>
      <c r="X4" s="580">
        <f t="shared" si="0"/>
        <v>2.1455733804406174</v>
      </c>
      <c r="Y4" s="581">
        <f t="shared" si="0"/>
        <v>185.30315834812507</v>
      </c>
      <c r="Z4" s="581">
        <f t="shared" si="0"/>
        <v>0.17721449858419699</v>
      </c>
      <c r="AA4" s="582">
        <f t="shared" si="0"/>
        <v>0.29024198269532325</v>
      </c>
    </row>
    <row r="5" spans="1:27" ht="15.5">
      <c r="A5" s="15" t="s">
        <v>32</v>
      </c>
      <c r="B5" s="16" t="s">
        <v>66</v>
      </c>
      <c r="C5" s="47"/>
      <c r="D5" s="336">
        <f>(+$C6*D6+$C7*D7+$C8*D8+$C9*D9+$C10*D10+$C11*D11+$C12*D12+$C13*D13+$C14*D14+$C15*D15+$C16*D16+$C17*D17+$C18*D18+$C19*D19+$C20*D20+$C21*D21+$C22*D22+$C23*D23+$C24*D24+$A7*D7+$A9*D9+$A22*D14)/1000</f>
        <v>135.518695092575</v>
      </c>
      <c r="E5" s="336">
        <f>(+$C6*E6+$C7*E7+$C8*E8+$C9*E9+$C10*E10+$C11*E11+$C12*E12+$C13*E13+$C14*E14+$C15*E15+$C16*E16+$C17*E17+$C18*E18+$C19*E19+$C20*E20+$C21*E21+$C22*E22+$C23*E23+$C24*E24+$A7*E7+$A9*E9+$A22*E22)/1000</f>
        <v>2248.6057385376662</v>
      </c>
      <c r="F5" s="543">
        <f>(+$C6*F6+$C7*F7+$C8*F8+$C9*F9+$C10*F10+$C11*F11+$C12*F12+$C13*F13+$C14*F14+$C15*F15+$C16*F16+$C17*F17+$C18*F18+$C19*F19+$C20*F20+$C21*F21+$C22*F22+$C23*F23+$C24*F24+$A7*F7+$A9*F9+$A22*F22)/1000</f>
        <v>462.41456071023225</v>
      </c>
      <c r="G5" s="542">
        <f>(+$C6*G6+$C7*G7+$C8*G8+$C9*G9+$C10*G10+$C11*G11+$C12*G12+$C13*G13+$C14*G14+$C15*G15+$C16*G16+$C17*G17+$C18*G18+$C19*G19+$C20*G20+$C21*G21+$C22*G22+$C23*G23+$C24*G24+$A7*G7+$A9*G9+$A22*G22)/1000</f>
        <v>243.61788072353389</v>
      </c>
      <c r="H5" s="543">
        <f>(+$C6*H6+$C7*H7+$C8*H8+$C9*H9+$C10*H10+$C11*H11+$C12*H12+$C13*H13+$C14*H14+$C15*H15+$C16*H16+$C17*H17+$C18*H18+$C19*H19+$C20*H20+$C21*H21+$C22*H22+$C23*H23+$C24*H24+$A7*H7+$A9*H9+$A22*H22)/1000</f>
        <v>2222.6548638160739</v>
      </c>
      <c r="I5" s="542">
        <f>(+$C6*I6+$C7*I7+$C8*I8+$C9*I9+$C10*I10+$C11*I11+$C12*I12+$C13*I13+$C14*I14+$C15*I15+$C16*I16+$C17*I17+$C18*I18+$C19*I19+$C20*I20+$C21*I21+$C22*I22+$C23*I23+$A7*I7+$A9*I9+$A22*I22)/1000</f>
        <v>11156.458898064571</v>
      </c>
      <c r="J5" s="542">
        <f t="shared" ref="J5:AA5" si="1">(+$C6*J6+$C7*J7+$C8*J8+$C9*J9+$C10*J10+$C11*J11+$C12*J12+$C13*J13+$C14*J14+$C15*J15+$C16*J16+$C17*J17+$C18*J18+$C19*J19+$C20*J20+$C21*J21+$C22*J22+$C23*J23+$C24*J24+$A7*J7+$A9*J9+$A22*J22)/1000</f>
        <v>112.99099706472167</v>
      </c>
      <c r="K5" s="53">
        <f t="shared" si="1"/>
        <v>0</v>
      </c>
      <c r="L5" s="542">
        <f t="shared" si="1"/>
        <v>48.057459735206805</v>
      </c>
      <c r="M5" s="542">
        <f t="shared" si="1"/>
        <v>8.9529176604164764</v>
      </c>
      <c r="N5" s="542">
        <f t="shared" si="1"/>
        <v>854.03729033008256</v>
      </c>
      <c r="O5" s="542">
        <f t="shared" si="1"/>
        <v>484.6898362490665</v>
      </c>
      <c r="P5" s="542">
        <f t="shared" si="1"/>
        <v>69.679632063369411</v>
      </c>
      <c r="Q5" s="542">
        <f t="shared" si="1"/>
        <v>1313.8641778312101</v>
      </c>
      <c r="R5" s="542">
        <f t="shared" si="1"/>
        <v>167.94999354084808</v>
      </c>
      <c r="S5" s="542">
        <f t="shared" si="1"/>
        <v>183.23880714437189</v>
      </c>
      <c r="T5" s="542">
        <f t="shared" si="1"/>
        <v>112.45383414905071</v>
      </c>
      <c r="U5" s="542">
        <f t="shared" si="1"/>
        <v>352.32824943648967</v>
      </c>
      <c r="V5" s="351">
        <f t="shared" si="1"/>
        <v>276.70905100599663</v>
      </c>
      <c r="W5" s="351">
        <f t="shared" si="1"/>
        <v>14.586025668533642</v>
      </c>
      <c r="X5" s="541">
        <f t="shared" si="1"/>
        <v>0.84308755204335484</v>
      </c>
      <c r="Y5" s="354">
        <f t="shared" si="1"/>
        <v>1.1736806670136421E-2</v>
      </c>
      <c r="Z5" s="344">
        <f t="shared" si="1"/>
        <v>0</v>
      </c>
      <c r="AA5" s="360">
        <f t="shared" si="1"/>
        <v>0</v>
      </c>
    </row>
    <row r="6" spans="1:27" ht="15.5">
      <c r="B6" s="2" t="s">
        <v>58</v>
      </c>
      <c r="C6" s="29">
        <v>0</v>
      </c>
      <c r="D6" s="300">
        <v>34.756709945019118</v>
      </c>
      <c r="E6" s="300">
        <v>40</v>
      </c>
      <c r="F6" s="119">
        <v>15</v>
      </c>
      <c r="G6" s="327">
        <v>1.5</v>
      </c>
      <c r="H6" s="119">
        <v>10</v>
      </c>
      <c r="I6" s="310">
        <v>92.227254202533359</v>
      </c>
      <c r="J6" s="327">
        <v>1.5</v>
      </c>
      <c r="K6" s="120">
        <v>0.5</v>
      </c>
      <c r="L6" s="330">
        <v>8.3728016965254177</v>
      </c>
      <c r="M6" s="330">
        <v>0.14819118046947641</v>
      </c>
      <c r="N6" s="330">
        <v>10.595669403567562</v>
      </c>
      <c r="O6" s="330">
        <v>2.8156324289200514</v>
      </c>
      <c r="P6" s="330">
        <v>0.85209928769948917</v>
      </c>
      <c r="Q6" s="330">
        <v>6.6315553260090674</v>
      </c>
      <c r="R6" s="330">
        <v>4.6309743896711373</v>
      </c>
      <c r="S6" s="330">
        <v>4.5939265945537686</v>
      </c>
      <c r="T6" s="330">
        <v>9.8122244420744664</v>
      </c>
      <c r="U6" s="330">
        <v>25</v>
      </c>
      <c r="V6" s="269">
        <v>11.038961038961039</v>
      </c>
      <c r="W6" s="269">
        <v>0.24285714285714285</v>
      </c>
      <c r="X6" s="272">
        <v>3.7613527027952121E-2</v>
      </c>
      <c r="Y6" s="355">
        <v>2.4443526674384963E-3</v>
      </c>
      <c r="Z6" s="345">
        <v>3.3000000000000002E-9</v>
      </c>
      <c r="AA6" s="361">
        <v>5.0953791280532467E-7</v>
      </c>
    </row>
    <row r="7" spans="1:27" ht="15.5">
      <c r="A7" s="552">
        <v>0</v>
      </c>
      <c r="B7" s="2" t="s">
        <v>60</v>
      </c>
      <c r="C7" s="29">
        <v>0</v>
      </c>
      <c r="D7" s="300">
        <v>30.529542519273541</v>
      </c>
      <c r="E7" s="300">
        <v>40</v>
      </c>
      <c r="F7" s="119">
        <v>15</v>
      </c>
      <c r="G7" s="327">
        <v>1.5</v>
      </c>
      <c r="H7" s="119">
        <v>10</v>
      </c>
      <c r="I7" s="310">
        <v>101.00074873906529</v>
      </c>
      <c r="J7" s="327">
        <v>1.5</v>
      </c>
      <c r="K7" s="120">
        <v>0.5</v>
      </c>
      <c r="L7" s="330">
        <v>8.3728016965254177</v>
      </c>
      <c r="M7" s="330">
        <v>0.14819118046947641</v>
      </c>
      <c r="N7" s="330">
        <v>10.595669403567562</v>
      </c>
      <c r="O7" s="330">
        <v>2.8156324289200514</v>
      </c>
      <c r="P7" s="330">
        <v>0.85209928769948917</v>
      </c>
      <c r="Q7" s="330">
        <v>6.6315553260090674</v>
      </c>
      <c r="R7" s="330">
        <v>4.6309743896711373</v>
      </c>
      <c r="S7" s="330">
        <v>4.5939265945537686</v>
      </c>
      <c r="T7" s="330">
        <v>9.8122244420744664</v>
      </c>
      <c r="U7" s="330">
        <v>25</v>
      </c>
      <c r="V7" s="269">
        <v>11.038961038961039</v>
      </c>
      <c r="W7" s="269">
        <v>0.24285714285714285</v>
      </c>
      <c r="X7" s="272">
        <v>3.7613527027952121E-2</v>
      </c>
      <c r="Y7" s="355">
        <v>2.4443526674384963E-3</v>
      </c>
      <c r="Z7" s="345">
        <v>3.3000000000000002E-9</v>
      </c>
      <c r="AA7" s="361">
        <v>5.0953791280532467E-7</v>
      </c>
    </row>
    <row r="8" spans="1:27" ht="15.5">
      <c r="A8" s="552"/>
      <c r="B8" s="2" t="s">
        <v>25</v>
      </c>
      <c r="C8" s="225">
        <v>0</v>
      </c>
      <c r="D8" s="300">
        <v>382.15343460399356</v>
      </c>
      <c r="E8" s="300">
        <v>40</v>
      </c>
      <c r="F8" s="119">
        <v>15</v>
      </c>
      <c r="G8" s="327">
        <v>1.5</v>
      </c>
      <c r="H8" s="119">
        <v>100</v>
      </c>
      <c r="I8" s="310">
        <v>101</v>
      </c>
      <c r="J8" s="327">
        <v>1.5</v>
      </c>
      <c r="K8" s="120">
        <v>0.86</v>
      </c>
      <c r="L8" s="330">
        <v>8.3728016965254177</v>
      </c>
      <c r="M8" s="330">
        <v>0.14819118046947641</v>
      </c>
      <c r="N8" s="330">
        <v>10.595669403567562</v>
      </c>
      <c r="O8" s="330">
        <v>2.8156324289200514</v>
      </c>
      <c r="P8" s="330">
        <v>0.85209928769948917</v>
      </c>
      <c r="Q8" s="330">
        <v>6.6315553260090674</v>
      </c>
      <c r="R8" s="330">
        <v>4.6309743896711373</v>
      </c>
      <c r="S8" s="330">
        <v>4.5939265945537686</v>
      </c>
      <c r="T8" s="330">
        <v>9.8122244420744664</v>
      </c>
      <c r="U8" s="330">
        <v>30</v>
      </c>
      <c r="V8" s="269">
        <v>12.151898734177214</v>
      </c>
      <c r="W8" s="269">
        <v>0.26734177215189869</v>
      </c>
      <c r="X8" s="272">
        <v>9.5538358650998384E-2</v>
      </c>
      <c r="Y8" s="355">
        <v>6.208655775293781E-3</v>
      </c>
      <c r="Z8" s="346"/>
      <c r="AA8" s="362"/>
    </row>
    <row r="9" spans="1:27" ht="15.5">
      <c r="A9" s="552">
        <v>19154.473133844032</v>
      </c>
      <c r="B9" s="2" t="s">
        <v>39</v>
      </c>
      <c r="C9" s="29">
        <v>124993.34238723994</v>
      </c>
      <c r="D9" s="529">
        <v>0.21713263329772356</v>
      </c>
      <c r="E9" s="300">
        <v>10.088561527618966</v>
      </c>
      <c r="F9" s="119">
        <v>2.5</v>
      </c>
      <c r="G9" s="327">
        <v>1</v>
      </c>
      <c r="H9" s="119">
        <v>13</v>
      </c>
      <c r="I9" s="310">
        <v>59.088958691145862</v>
      </c>
      <c r="J9" s="327">
        <v>0.3</v>
      </c>
      <c r="K9" s="121">
        <v>0</v>
      </c>
      <c r="L9" s="330">
        <v>0.16</v>
      </c>
      <c r="M9" s="330">
        <v>0.03</v>
      </c>
      <c r="N9" s="330">
        <v>4.8587045577587276</v>
      </c>
      <c r="O9" s="330">
        <v>2.29</v>
      </c>
      <c r="P9" s="330">
        <v>0.31</v>
      </c>
      <c r="Q9" s="330">
        <v>2.68</v>
      </c>
      <c r="R9" s="330">
        <v>0.6</v>
      </c>
      <c r="S9" s="330">
        <v>1.04</v>
      </c>
      <c r="T9" s="330">
        <v>0</v>
      </c>
      <c r="U9" s="330">
        <v>0.2</v>
      </c>
      <c r="V9" s="269">
        <v>0.2</v>
      </c>
      <c r="W9" s="269">
        <v>5.000000000000001E-3</v>
      </c>
      <c r="X9" s="272">
        <v>0</v>
      </c>
      <c r="Y9" s="356">
        <v>0</v>
      </c>
      <c r="Z9" s="347"/>
      <c r="AA9" s="363"/>
    </row>
    <row r="10" spans="1:27" ht="15.5">
      <c r="A10" s="552"/>
      <c r="B10" s="2" t="s">
        <v>59</v>
      </c>
      <c r="C10" s="225">
        <v>0</v>
      </c>
      <c r="D10" s="300">
        <v>64.552945034458347</v>
      </c>
      <c r="E10" s="300">
        <v>40</v>
      </c>
      <c r="F10" s="119">
        <v>5</v>
      </c>
      <c r="G10" s="327">
        <v>1.5</v>
      </c>
      <c r="H10" s="119">
        <v>100</v>
      </c>
      <c r="I10" s="310">
        <v>105.30530572883049</v>
      </c>
      <c r="J10" s="327">
        <v>1.5</v>
      </c>
      <c r="K10" s="121">
        <v>0</v>
      </c>
      <c r="L10" s="330">
        <v>8.3728016965254177</v>
      </c>
      <c r="M10" s="330">
        <v>0.14819118046947641</v>
      </c>
      <c r="N10" s="330">
        <v>10.595669403567562</v>
      </c>
      <c r="O10" s="330">
        <v>2.8156324289200514</v>
      </c>
      <c r="P10" s="330">
        <v>0.85209928769948917</v>
      </c>
      <c r="Q10" s="330">
        <v>6.6315553260090674</v>
      </c>
      <c r="R10" s="330">
        <v>4.6309743896711373</v>
      </c>
      <c r="S10" s="330">
        <v>4.5939265945537686</v>
      </c>
      <c r="T10" s="330">
        <v>9.8122244420744664</v>
      </c>
      <c r="U10" s="330">
        <v>25</v>
      </c>
      <c r="V10" s="269">
        <v>11.038961038961039</v>
      </c>
      <c r="W10" s="269">
        <v>0.24285714285714285</v>
      </c>
      <c r="X10" s="272">
        <v>3.4120842375356564E-2</v>
      </c>
      <c r="Y10" s="355">
        <v>2.4443526674384963E-3</v>
      </c>
      <c r="Z10" s="347"/>
      <c r="AA10" s="363"/>
    </row>
    <row r="11" spans="1:27" ht="15.5">
      <c r="A11" s="552"/>
      <c r="B11" s="2" t="s">
        <v>52</v>
      </c>
      <c r="C11" s="225">
        <v>0</v>
      </c>
      <c r="D11" s="300">
        <v>13.487768280140946</v>
      </c>
      <c r="E11" s="300">
        <v>40</v>
      </c>
      <c r="F11" s="119">
        <v>2.5</v>
      </c>
      <c r="G11" s="327">
        <v>1</v>
      </c>
      <c r="H11" s="119">
        <v>13</v>
      </c>
      <c r="I11" s="310">
        <v>44.856660114731618</v>
      </c>
      <c r="J11" s="327">
        <v>1.5</v>
      </c>
      <c r="K11" s="121">
        <v>0</v>
      </c>
      <c r="L11" s="327">
        <v>0.16</v>
      </c>
      <c r="M11" s="327">
        <v>0.03</v>
      </c>
      <c r="N11" s="327">
        <v>4.8587045577587276</v>
      </c>
      <c r="O11" s="327">
        <v>2.29</v>
      </c>
      <c r="P11" s="327">
        <v>0.31</v>
      </c>
      <c r="Q11" s="327">
        <v>2.68</v>
      </c>
      <c r="R11" s="327">
        <v>0.6</v>
      </c>
      <c r="S11" s="327">
        <v>1.04</v>
      </c>
      <c r="T11" s="327">
        <v>0</v>
      </c>
      <c r="U11" s="341">
        <v>2.101172636249389E-2</v>
      </c>
      <c r="V11" s="342">
        <v>2.101172636249389E-2</v>
      </c>
      <c r="W11" s="342">
        <v>5.2529315906234731E-4</v>
      </c>
      <c r="X11" s="272">
        <v>0</v>
      </c>
      <c r="Y11" s="356">
        <v>0</v>
      </c>
      <c r="Z11" s="347"/>
      <c r="AA11" s="363"/>
    </row>
    <row r="12" spans="1:27" ht="15.5">
      <c r="A12" s="552"/>
      <c r="B12" s="2" t="s">
        <v>48</v>
      </c>
      <c r="C12" s="225">
        <v>0</v>
      </c>
      <c r="D12" s="321">
        <v>0.11942294831374796</v>
      </c>
      <c r="E12" s="300">
        <v>40</v>
      </c>
      <c r="F12" s="119">
        <v>2.5</v>
      </c>
      <c r="G12" s="327">
        <v>1</v>
      </c>
      <c r="H12" s="119">
        <v>13</v>
      </c>
      <c r="I12" s="310">
        <v>246.71669904112483</v>
      </c>
      <c r="J12" s="327">
        <v>1.5</v>
      </c>
      <c r="K12" s="121">
        <v>0</v>
      </c>
      <c r="L12" s="327">
        <v>0.16</v>
      </c>
      <c r="M12" s="327">
        <v>0.03</v>
      </c>
      <c r="N12" s="327">
        <v>4.8587045577587276</v>
      </c>
      <c r="O12" s="327">
        <v>2.29</v>
      </c>
      <c r="P12" s="327">
        <v>0.31</v>
      </c>
      <c r="Q12" s="327">
        <v>2.68</v>
      </c>
      <c r="R12" s="327">
        <v>0.6</v>
      </c>
      <c r="S12" s="327">
        <v>1.04</v>
      </c>
      <c r="T12" s="327">
        <v>0</v>
      </c>
      <c r="U12" s="341">
        <v>2.101172636249389E-2</v>
      </c>
      <c r="V12" s="342">
        <v>2.101172636249389E-2</v>
      </c>
      <c r="W12" s="342">
        <v>5.2529315906234731E-4</v>
      </c>
      <c r="X12" s="272">
        <v>0</v>
      </c>
      <c r="Y12" s="356">
        <v>0</v>
      </c>
      <c r="Z12" s="347"/>
      <c r="AA12" s="363"/>
    </row>
    <row r="13" spans="1:27" ht="15.5">
      <c r="A13" s="552"/>
      <c r="B13" s="2" t="s">
        <v>53</v>
      </c>
      <c r="C13" s="29">
        <v>2574.9567050723999</v>
      </c>
      <c r="D13" s="321">
        <v>0.21713263329772359</v>
      </c>
      <c r="E13" s="300">
        <v>20</v>
      </c>
      <c r="F13" s="119">
        <v>2</v>
      </c>
      <c r="G13" s="327">
        <v>1</v>
      </c>
      <c r="H13" s="119">
        <v>10</v>
      </c>
      <c r="I13" s="310">
        <v>65.591620000000006</v>
      </c>
      <c r="J13" s="327">
        <v>2</v>
      </c>
      <c r="K13" s="121">
        <v>0</v>
      </c>
      <c r="L13" s="327">
        <v>0</v>
      </c>
      <c r="M13" s="327">
        <v>0</v>
      </c>
      <c r="N13" s="327">
        <v>0</v>
      </c>
      <c r="O13" s="327">
        <v>0</v>
      </c>
      <c r="P13" s="327">
        <v>0</v>
      </c>
      <c r="Q13" s="327">
        <v>0</v>
      </c>
      <c r="R13" s="327">
        <v>0</v>
      </c>
      <c r="S13" s="327">
        <v>0</v>
      </c>
      <c r="T13" s="327">
        <v>0</v>
      </c>
      <c r="U13" s="327">
        <v>0.2</v>
      </c>
      <c r="V13" s="288">
        <v>0.2</v>
      </c>
      <c r="W13" s="288">
        <v>5.000000000000001E-3</v>
      </c>
      <c r="X13" s="272">
        <v>2.1713263329772359E-2</v>
      </c>
      <c r="Y13" s="356">
        <v>0</v>
      </c>
      <c r="Z13" s="347"/>
      <c r="AA13" s="363"/>
    </row>
    <row r="14" spans="1:27" ht="15.5">
      <c r="A14" s="552"/>
      <c r="B14" s="2" t="s">
        <v>54</v>
      </c>
      <c r="C14" s="29"/>
      <c r="D14" s="321">
        <v>0.39124379724182257</v>
      </c>
      <c r="E14" s="300">
        <v>20</v>
      </c>
      <c r="F14" s="119">
        <v>2.5</v>
      </c>
      <c r="G14" s="327">
        <v>1</v>
      </c>
      <c r="H14" s="119">
        <v>13</v>
      </c>
      <c r="I14" s="310">
        <v>56.069992929332656</v>
      </c>
      <c r="J14" s="327">
        <v>2</v>
      </c>
      <c r="K14" s="121">
        <v>0</v>
      </c>
      <c r="L14" s="327">
        <v>0</v>
      </c>
      <c r="M14" s="327">
        <v>0</v>
      </c>
      <c r="N14" s="327">
        <v>0</v>
      </c>
      <c r="O14" s="327">
        <v>0</v>
      </c>
      <c r="P14" s="327">
        <v>0</v>
      </c>
      <c r="Q14" s="327">
        <v>0</v>
      </c>
      <c r="R14" s="327">
        <v>0</v>
      </c>
      <c r="S14" s="327">
        <v>0</v>
      </c>
      <c r="T14" s="327">
        <v>0</v>
      </c>
      <c r="U14" s="327">
        <v>5</v>
      </c>
      <c r="V14" s="288">
        <v>5</v>
      </c>
      <c r="W14" s="288">
        <v>0.125</v>
      </c>
      <c r="X14" s="272">
        <v>0</v>
      </c>
      <c r="Y14" s="356">
        <v>0</v>
      </c>
      <c r="Z14" s="347"/>
      <c r="AA14" s="363"/>
    </row>
    <row r="15" spans="1:27" ht="15.5">
      <c r="A15" s="552"/>
      <c r="B15" s="2" t="s">
        <v>33</v>
      </c>
      <c r="C15" s="29"/>
      <c r="D15" s="300">
        <v>68.897854796393062</v>
      </c>
      <c r="E15" s="300">
        <v>40</v>
      </c>
      <c r="F15" s="119">
        <v>3</v>
      </c>
      <c r="G15" s="327">
        <v>7</v>
      </c>
      <c r="H15" s="119">
        <v>60</v>
      </c>
      <c r="I15" s="310">
        <v>71.900000000000006</v>
      </c>
      <c r="J15" s="327">
        <v>2</v>
      </c>
      <c r="K15" s="121">
        <v>0</v>
      </c>
      <c r="L15" s="330">
        <v>0.77384120744887253</v>
      </c>
      <c r="M15" s="330">
        <v>0.14330392730534675</v>
      </c>
      <c r="N15" s="330">
        <v>4.7576903865375133</v>
      </c>
      <c r="O15" s="330">
        <v>4.7863511719985814</v>
      </c>
      <c r="P15" s="330">
        <v>0.77384120744887253</v>
      </c>
      <c r="Q15" s="330">
        <v>28.71810703199149</v>
      </c>
      <c r="R15" s="330">
        <v>2.5221491205741033</v>
      </c>
      <c r="S15" s="330">
        <v>1.0317882765984967</v>
      </c>
      <c r="T15" s="330">
        <v>3.4817186097302617</v>
      </c>
      <c r="U15" s="330">
        <v>10</v>
      </c>
      <c r="V15" s="269">
        <v>2.5</v>
      </c>
      <c r="W15" s="269">
        <v>0.83750000000000002</v>
      </c>
      <c r="X15" s="272">
        <v>2.2965951598797683E-2</v>
      </c>
      <c r="Y15" s="357">
        <v>3.6338697129754738E-4</v>
      </c>
      <c r="Z15" s="348"/>
      <c r="AA15" s="364"/>
    </row>
    <row r="16" spans="1:27" ht="15.5">
      <c r="A16" s="552"/>
      <c r="B16" s="2" t="s">
        <v>55</v>
      </c>
      <c r="C16" s="29"/>
      <c r="D16" s="300">
        <v>22.747228250237711</v>
      </c>
      <c r="E16" s="300">
        <v>40</v>
      </c>
      <c r="F16" s="119">
        <v>3</v>
      </c>
      <c r="G16" s="327">
        <v>7</v>
      </c>
      <c r="H16" s="119">
        <v>60</v>
      </c>
      <c r="I16" s="310">
        <v>73.338305545600491</v>
      </c>
      <c r="J16" s="327">
        <v>2</v>
      </c>
      <c r="K16" s="121">
        <v>0</v>
      </c>
      <c r="L16" s="330">
        <v>0.77384120744887253</v>
      </c>
      <c r="M16" s="330">
        <v>0.14330392730534675</v>
      </c>
      <c r="N16" s="330">
        <v>4.7576903865375133</v>
      </c>
      <c r="O16" s="330">
        <v>4.7863511719985814</v>
      </c>
      <c r="P16" s="330">
        <v>0.77384120744887253</v>
      </c>
      <c r="Q16" s="330">
        <v>28.71810703199149</v>
      </c>
      <c r="R16" s="330">
        <v>2.5221491205741033</v>
      </c>
      <c r="S16" s="330">
        <v>1.0317882765984967</v>
      </c>
      <c r="T16" s="330">
        <v>3.4817186097302617</v>
      </c>
      <c r="U16" s="330">
        <v>5</v>
      </c>
      <c r="V16" s="269">
        <v>1.25</v>
      </c>
      <c r="W16" s="269">
        <v>0.41875000000000001</v>
      </c>
      <c r="X16" s="272">
        <v>2.2965951598797683E-2</v>
      </c>
      <c r="Y16" s="357">
        <v>3.6338697129754738E-4</v>
      </c>
      <c r="Z16" s="348"/>
      <c r="AA16" s="364"/>
    </row>
    <row r="17" spans="1:27" ht="15.5">
      <c r="A17" s="552"/>
      <c r="B17" s="2" t="s">
        <v>57</v>
      </c>
      <c r="C17" s="29"/>
      <c r="D17" s="300">
        <v>95.53835865099839</v>
      </c>
      <c r="E17" s="300">
        <v>40</v>
      </c>
      <c r="F17" s="119">
        <v>3</v>
      </c>
      <c r="G17" s="327">
        <v>7</v>
      </c>
      <c r="H17" s="119">
        <v>60</v>
      </c>
      <c r="I17" s="310">
        <v>71.5</v>
      </c>
      <c r="J17" s="327">
        <v>2</v>
      </c>
      <c r="K17" s="121">
        <v>0</v>
      </c>
      <c r="L17" s="330">
        <v>0.77384120744887253</v>
      </c>
      <c r="M17" s="330">
        <v>0.14330392730534675</v>
      </c>
      <c r="N17" s="330">
        <v>4.7576903865375133</v>
      </c>
      <c r="O17" s="330">
        <v>4.7863511719985814</v>
      </c>
      <c r="P17" s="330">
        <v>0.77384120744887253</v>
      </c>
      <c r="Q17" s="330">
        <v>28.71810703199149</v>
      </c>
      <c r="R17" s="330">
        <v>2.5221491205741033</v>
      </c>
      <c r="S17" s="330">
        <v>1.0317882765984967</v>
      </c>
      <c r="T17" s="330">
        <v>3.4817186097302617</v>
      </c>
      <c r="U17" s="330">
        <v>5</v>
      </c>
      <c r="V17" s="269">
        <v>1.25</v>
      </c>
      <c r="W17" s="269">
        <v>0.41875000000000001</v>
      </c>
      <c r="X17" s="272">
        <v>2.2965951598797683E-2</v>
      </c>
      <c r="Y17" s="357">
        <v>3.6338697129754738E-4</v>
      </c>
      <c r="Z17" s="348"/>
      <c r="AA17" s="364"/>
    </row>
    <row r="18" spans="1:27" ht="15.5">
      <c r="A18" s="552"/>
      <c r="B18" s="2" t="s">
        <v>56</v>
      </c>
      <c r="C18" s="29"/>
      <c r="D18" s="300">
        <v>69.566766008008528</v>
      </c>
      <c r="E18" s="300">
        <v>40</v>
      </c>
      <c r="F18" s="119">
        <v>3</v>
      </c>
      <c r="G18" s="327">
        <v>7</v>
      </c>
      <c r="H18" s="119">
        <v>60</v>
      </c>
      <c r="I18" s="310">
        <v>71.900000000000006</v>
      </c>
      <c r="J18" s="327">
        <v>2</v>
      </c>
      <c r="K18" s="121">
        <v>0</v>
      </c>
      <c r="L18" s="330">
        <v>0.77384120744887253</v>
      </c>
      <c r="M18" s="330">
        <v>0.14330392730534675</v>
      </c>
      <c r="N18" s="330">
        <v>4.7576903865375133</v>
      </c>
      <c r="O18" s="330">
        <v>4.7863511719985814</v>
      </c>
      <c r="P18" s="330">
        <v>0.77384120744887253</v>
      </c>
      <c r="Q18" s="330">
        <v>28.71810703199149</v>
      </c>
      <c r="R18" s="330">
        <v>2.5221491205741033</v>
      </c>
      <c r="S18" s="330">
        <v>1.0317882765984967</v>
      </c>
      <c r="T18" s="330">
        <v>3.4817186097302617</v>
      </c>
      <c r="U18" s="330">
        <v>5</v>
      </c>
      <c r="V18" s="269">
        <v>1.25</v>
      </c>
      <c r="W18" s="269">
        <v>0.41875000000000001</v>
      </c>
      <c r="X18" s="272">
        <v>2.3188922002669508E-2</v>
      </c>
      <c r="Y18" s="357">
        <v>3.6338697129754738E-4</v>
      </c>
      <c r="Z18" s="348"/>
      <c r="AA18" s="364"/>
    </row>
    <row r="19" spans="1:27" ht="15.5">
      <c r="A19" s="552"/>
      <c r="B19" s="2" t="s">
        <v>40</v>
      </c>
      <c r="C19" s="29"/>
      <c r="D19" s="300">
        <v>46.832528750489395</v>
      </c>
      <c r="E19" s="300">
        <v>30</v>
      </c>
      <c r="F19" s="119">
        <v>3</v>
      </c>
      <c r="G19" s="327">
        <v>0.1</v>
      </c>
      <c r="H19" s="119">
        <v>10</v>
      </c>
      <c r="I19" s="310">
        <v>74.099999999999994</v>
      </c>
      <c r="J19" s="327">
        <v>2</v>
      </c>
      <c r="K19" s="121">
        <v>0</v>
      </c>
      <c r="L19" s="330">
        <v>0.77384120744887253</v>
      </c>
      <c r="M19" s="330">
        <v>0.14330392730534675</v>
      </c>
      <c r="N19" s="330">
        <v>4.7576903865375133</v>
      </c>
      <c r="O19" s="330">
        <v>4.7863511719985814</v>
      </c>
      <c r="P19" s="330">
        <v>0.77384120744887253</v>
      </c>
      <c r="Q19" s="330">
        <v>28.71810703199149</v>
      </c>
      <c r="R19" s="330">
        <v>2.5221491205741033</v>
      </c>
      <c r="S19" s="330">
        <v>1.0317882765984967</v>
      </c>
      <c r="T19" s="330">
        <v>3.4817186097302617</v>
      </c>
      <c r="U19" s="330">
        <v>5</v>
      </c>
      <c r="V19" s="269">
        <v>1.25</v>
      </c>
      <c r="W19" s="269">
        <v>0.41875000000000001</v>
      </c>
      <c r="X19" s="272">
        <v>2.3416264375244699E-2</v>
      </c>
      <c r="Y19" s="357">
        <v>3.6338697129754738E-4</v>
      </c>
      <c r="Z19" s="348"/>
      <c r="AA19" s="364"/>
    </row>
    <row r="20" spans="1:27" ht="15.5">
      <c r="A20" s="552"/>
      <c r="B20" s="2" t="s">
        <v>44</v>
      </c>
      <c r="C20" s="29"/>
      <c r="D20" s="300">
        <v>13.177287347536705</v>
      </c>
      <c r="E20" s="300">
        <v>20</v>
      </c>
      <c r="F20" s="119">
        <v>3</v>
      </c>
      <c r="G20" s="327">
        <v>3</v>
      </c>
      <c r="H20" s="119">
        <v>15</v>
      </c>
      <c r="I20" s="310">
        <v>89.110733352873567</v>
      </c>
      <c r="J20" s="327">
        <v>2</v>
      </c>
      <c r="K20" s="122">
        <v>0</v>
      </c>
      <c r="L20" s="330">
        <v>0.77384120744887253</v>
      </c>
      <c r="M20" s="330">
        <v>0.14330392730534675</v>
      </c>
      <c r="N20" s="330">
        <v>4.7576903865375133</v>
      </c>
      <c r="O20" s="330">
        <v>4.7863511719985814</v>
      </c>
      <c r="P20" s="330">
        <v>0.77384120744887253</v>
      </c>
      <c r="Q20" s="330">
        <v>28.71810703199149</v>
      </c>
      <c r="R20" s="330">
        <v>2.5221491205741033</v>
      </c>
      <c r="S20" s="330">
        <v>1.0317882765984967</v>
      </c>
      <c r="T20" s="330">
        <v>3.4817186097302617</v>
      </c>
      <c r="U20" s="330">
        <v>5</v>
      </c>
      <c r="V20" s="269">
        <v>1.25</v>
      </c>
      <c r="W20" s="269">
        <v>0.41875000000000001</v>
      </c>
      <c r="X20" s="272">
        <v>2.3416264375244699E-2</v>
      </c>
      <c r="Y20" s="357">
        <v>3.6338697129754738E-4</v>
      </c>
      <c r="Z20" s="348"/>
      <c r="AA20" s="364"/>
    </row>
    <row r="21" spans="1:27" ht="15.5">
      <c r="A21" s="552"/>
      <c r="B21" s="2" t="s">
        <v>41</v>
      </c>
      <c r="C21" s="29">
        <v>1249.59404961216</v>
      </c>
      <c r="D21" s="300">
        <v>39.994909135400064</v>
      </c>
      <c r="E21" s="300">
        <v>23</v>
      </c>
      <c r="F21" s="119">
        <v>3</v>
      </c>
      <c r="G21" s="327">
        <v>3</v>
      </c>
      <c r="H21" s="119">
        <v>10</v>
      </c>
      <c r="I21" s="310">
        <v>76.475036910814254</v>
      </c>
      <c r="J21" s="327">
        <v>2</v>
      </c>
      <c r="K21" s="121">
        <v>0</v>
      </c>
      <c r="L21" s="330">
        <v>0.77384120744887253</v>
      </c>
      <c r="M21" s="330">
        <v>0.14330392730534675</v>
      </c>
      <c r="N21" s="330">
        <v>4.7576903865375133</v>
      </c>
      <c r="O21" s="330">
        <v>4.7863511719985814</v>
      </c>
      <c r="P21" s="330">
        <v>0.77384120744887253</v>
      </c>
      <c r="Q21" s="330">
        <v>28.71810703199149</v>
      </c>
      <c r="R21" s="330">
        <v>2.5221491205741033</v>
      </c>
      <c r="S21" s="330">
        <v>1.0317882765984967</v>
      </c>
      <c r="T21" s="330">
        <v>3.4817186097302617</v>
      </c>
      <c r="U21" s="330">
        <v>10</v>
      </c>
      <c r="V21" s="269">
        <v>7.6587301587301591</v>
      </c>
      <c r="W21" s="269">
        <v>0.42888888888888893</v>
      </c>
      <c r="X21" s="272">
        <v>2.4372030268111831E-2</v>
      </c>
      <c r="Y21" s="357">
        <v>3.6338697129754738E-4</v>
      </c>
      <c r="Z21" s="349">
        <v>0</v>
      </c>
      <c r="AA21" s="364"/>
    </row>
    <row r="22" spans="1:27" ht="15.5">
      <c r="A22" s="552">
        <v>30000</v>
      </c>
      <c r="B22" s="2" t="s">
        <v>42</v>
      </c>
      <c r="C22" s="29">
        <v>1048.7754495136799</v>
      </c>
      <c r="D22" s="300">
        <v>39.994909135400064</v>
      </c>
      <c r="E22" s="300">
        <v>23</v>
      </c>
      <c r="F22" s="119">
        <v>3</v>
      </c>
      <c r="G22" s="327">
        <v>3</v>
      </c>
      <c r="H22" s="119">
        <v>10</v>
      </c>
      <c r="I22" s="310">
        <v>76.475036910814254</v>
      </c>
      <c r="J22" s="327">
        <v>2</v>
      </c>
      <c r="K22" s="121">
        <v>0</v>
      </c>
      <c r="L22" s="330">
        <v>0.77384120744887253</v>
      </c>
      <c r="M22" s="330">
        <v>0.14330392730534675</v>
      </c>
      <c r="N22" s="330">
        <v>4.7576903865375133</v>
      </c>
      <c r="O22" s="330">
        <v>4.7863511719985814</v>
      </c>
      <c r="P22" s="330">
        <v>0.77384120744887253</v>
      </c>
      <c r="Q22" s="330">
        <v>28.71810703199149</v>
      </c>
      <c r="R22" s="330">
        <v>2.5221491205741033</v>
      </c>
      <c r="S22" s="330">
        <v>1.0317882765984967</v>
      </c>
      <c r="T22" s="330">
        <v>3.4817186097302617</v>
      </c>
      <c r="U22" s="330">
        <v>10</v>
      </c>
      <c r="V22" s="269">
        <v>7.6587301587301591</v>
      </c>
      <c r="W22" s="269">
        <v>0.42888888888888893</v>
      </c>
      <c r="X22" s="272">
        <v>2.4372030268111831E-2</v>
      </c>
      <c r="Y22" s="357">
        <v>3.6338697129754738E-4</v>
      </c>
      <c r="Z22" s="349">
        <v>0</v>
      </c>
      <c r="AA22" s="364"/>
    </row>
    <row r="23" spans="1:27" ht="15.5">
      <c r="B23" s="2" t="s">
        <v>34</v>
      </c>
      <c r="C23" s="29">
        <v>0</v>
      </c>
      <c r="D23" s="300">
        <v>86.329842154516598</v>
      </c>
      <c r="E23" s="300">
        <v>23</v>
      </c>
      <c r="F23" s="119">
        <v>1.5</v>
      </c>
      <c r="G23" s="327">
        <v>1.5</v>
      </c>
      <c r="H23" s="119">
        <v>9</v>
      </c>
      <c r="I23" s="310">
        <v>93.879562798083015</v>
      </c>
      <c r="J23" s="327">
        <v>2</v>
      </c>
      <c r="K23" s="121">
        <v>0</v>
      </c>
      <c r="L23" s="330">
        <v>0.77384120744887253</v>
      </c>
      <c r="M23" s="330">
        <v>0.14330392730534675</v>
      </c>
      <c r="N23" s="330">
        <v>4.7576903865375133</v>
      </c>
      <c r="O23" s="330">
        <v>4.7863511719985814</v>
      </c>
      <c r="P23" s="330">
        <v>0.77384120744887253</v>
      </c>
      <c r="Q23" s="330">
        <v>28.71810703199149</v>
      </c>
      <c r="R23" s="330">
        <v>2.5221491205741033</v>
      </c>
      <c r="S23" s="330">
        <v>1.0317882765984967</v>
      </c>
      <c r="T23" s="330">
        <v>3.4817186097302617</v>
      </c>
      <c r="U23" s="330">
        <v>10</v>
      </c>
      <c r="V23" s="269">
        <v>4.4155844155844157</v>
      </c>
      <c r="W23" s="269">
        <v>0.14571428571428571</v>
      </c>
      <c r="X23" s="272">
        <v>2.8776614051505531E-2</v>
      </c>
      <c r="Y23" s="357">
        <v>3.6338697129754738E-4</v>
      </c>
      <c r="Z23" s="348"/>
      <c r="AA23" s="364"/>
    </row>
    <row r="24" spans="1:27" ht="15.5">
      <c r="B24" s="2" t="s">
        <v>78</v>
      </c>
      <c r="C24" s="29">
        <v>0</v>
      </c>
      <c r="D24" s="321">
        <v>0.11309788874649562</v>
      </c>
      <c r="E24" s="300">
        <v>20</v>
      </c>
      <c r="F24" s="119">
        <v>15</v>
      </c>
      <c r="G24" s="327"/>
      <c r="H24" s="119">
        <v>10</v>
      </c>
      <c r="I24" s="310"/>
      <c r="J24" s="327"/>
      <c r="K24" s="121"/>
      <c r="L24" s="330"/>
      <c r="M24" s="330"/>
      <c r="N24" s="330"/>
      <c r="O24" s="330"/>
      <c r="P24" s="330"/>
      <c r="Q24" s="330"/>
      <c r="R24" s="330"/>
      <c r="S24" s="330"/>
      <c r="T24" s="330"/>
      <c r="U24" s="330"/>
      <c r="V24" s="269"/>
      <c r="W24" s="269"/>
      <c r="X24" s="272">
        <v>9.5538358650998391E-3</v>
      </c>
      <c r="Y24" s="357">
        <v>3.6557752937804535E-3</v>
      </c>
      <c r="Z24" s="348">
        <v>3.4999999999999999E-6</v>
      </c>
      <c r="AA24" s="364">
        <v>5.7323015190599033E-6</v>
      </c>
    </row>
    <row r="25" spans="1:27" ht="15.5">
      <c r="A25" s="15" t="s">
        <v>32</v>
      </c>
      <c r="B25" s="16" t="s">
        <v>67</v>
      </c>
      <c r="C25" s="47"/>
      <c r="D25" s="545">
        <f>($C26*D26+$C27*D27+$C28*D28+$C29*D29+$C30*D30+$C31*D31+$C32*D32+$C33*D33+$C34*D34+$C35*D35+$C36*D36+$C37*D37+$C38*D38+$C39*D39+$C40*D40+$C41*D41+$C42*D42+$C43*D43+$A27*D27+$A29*D29+$A40*D34)/1000</f>
        <v>271.03953543974495</v>
      </c>
      <c r="E25" s="545">
        <f>($C26*E26+$C27*E27+$C28*E28+$C29*E29+$C30*E30+$C31*E31+$C32*E32+$C33*E33+$C34*E34+$C35*E35+$C36*E36+$C37*E37+$C38*E38+$C39*E39+$C40*E40+$C41*E41+$C42*E42+$C43*E43+$A27*E27+$A29*E29+$A40*E40)/1000</f>
        <v>1602.2747349313934</v>
      </c>
      <c r="F25" s="546">
        <f t="shared" ref="F25:W25" si="2">($C26*F26+$C27*F27+$C28*F28+$C29*F29+$C30*F30+$C31*F31+$C32*F32+$C33*F33+$C34*F34+$C35*F35+$C36*F36+$C37*F37+$C38*F38+$C39*F39+$C40*F40+$C41*F41+$C42*F42+$C43*F43+$A27*F27+$A29*F29+$A40*F40)/1000</f>
        <v>295.2747203145301</v>
      </c>
      <c r="G25" s="545">
        <f t="shared" si="2"/>
        <v>175.86117452562493</v>
      </c>
      <c r="H25" s="546">
        <f t="shared" si="2"/>
        <v>1374.7939600478346</v>
      </c>
      <c r="I25" s="545">
        <f>($C26*I26+$C27*I27+$C28*I28+$C29*I29+$C30*I30+$C31*I31+$C32*I32+$C33*I33+$C34*I34+$C35*I35+$C36*I36+$C37*I37+$C38*I38+$C39*I39+$C40*I40+$C41*I41+$C43*I43+$A27*I27+$A29*I29+$A40*I40)/1000</f>
        <v>7057.5585638326756</v>
      </c>
      <c r="J25" s="545">
        <f t="shared" si="2"/>
        <v>100.22233594254874</v>
      </c>
      <c r="K25" s="54">
        <f t="shared" si="2"/>
        <v>0</v>
      </c>
      <c r="L25" s="545">
        <f t="shared" si="2"/>
        <v>36.375527059457099</v>
      </c>
      <c r="M25" s="545">
        <f t="shared" si="2"/>
        <v>6.7631389888038074</v>
      </c>
      <c r="N25" s="545">
        <f t="shared" si="2"/>
        <v>505.40018409005535</v>
      </c>
      <c r="O25" s="545">
        <f t="shared" si="2"/>
        <v>319.54156339979897</v>
      </c>
      <c r="P25" s="545">
        <f t="shared" si="2"/>
        <v>47.282288065717019</v>
      </c>
      <c r="Q25" s="545">
        <f t="shared" si="2"/>
        <v>1113.0575355372296</v>
      </c>
      <c r="R25" s="545">
        <f t="shared" si="2"/>
        <v>124.26649148595179</v>
      </c>
      <c r="S25" s="545">
        <f t="shared" si="2"/>
        <v>108.60907451377521</v>
      </c>
      <c r="T25" s="545">
        <f t="shared" si="2"/>
        <v>111.31929615609512</v>
      </c>
      <c r="U25" s="545">
        <f t="shared" si="2"/>
        <v>346.7956577120803</v>
      </c>
      <c r="V25" s="547">
        <f t="shared" si="2"/>
        <v>280.74864430002998</v>
      </c>
      <c r="W25" s="551">
        <f t="shared" si="2"/>
        <v>13.264818690306003</v>
      </c>
      <c r="X25" s="550">
        <f t="shared" ref="X25" si="3">($C26*X26+$C27*X27+$C28*X28+$C29*X29+$C30*X30+$C31*X31+$C32*X32+$C33*X33+$C34*X34+$C35*X35+$C36*X36+$C37*X37+$C38*X38+$C39*X39+$C40*X40+$C41*X41+$C42*X42+$C43*X43+$A27*X27+$A29*X29+$A40*X40)/1000</f>
        <v>0.79743485652832824</v>
      </c>
      <c r="Y25" s="548">
        <f t="shared" ref="Y25" si="4">($C26*Y26+$C27*Y27+$C28*Y28+$C29*Y29+$C30*Y30+$C31*Y31+$C32*Y32+$C33*Y33+$C34*Y34+$C35*Y35+$C36*Y36+$C37*Y37+$C38*Y38+$C39*Y39+$C40*Y40+$C41*Y41+$C42*Y42+$C43*Y43+$A27*Y27+$A29*Y29+$A40*Y40)/1000</f>
        <v>1.1618394939811646E-2</v>
      </c>
      <c r="Z25" s="547">
        <f t="shared" ref="Z25" si="5">($C26*Z26+$C27*Z27+$C28*Z28+$C29*Z29+$C30*Z30+$C31*Z31+$C32*Z32+$C33*Z33+$C34*Z34+$C35*Z35+$C36*Z36+$C37*Z37+$C38*Z38+$C39*Z39+$C40*Z40+$C41*Z41+$C42*Z42+$C43*Z43+$A27*Z27+$A29*Z29+$A40*Z40)/1000</f>
        <v>0</v>
      </c>
      <c r="AA25" s="550">
        <f t="shared" ref="AA25" si="6">($C26*AA26+$C27*AA27+$C28*AA28+$C29*AA29+$C30*AA30+$C31*AA31+$C32*AA32+$C33*AA33+$C34*AA34+$C35*AA35+$C36*AA36+$C37*AA37+$C38*AA38+$C39*AA39+$C40*AA40+$C41*AA41+$C42*AA42+$C43*AA43+$A27*AA27+$A29*AA29+$A40*AA40)/1000</f>
        <v>0</v>
      </c>
    </row>
    <row r="26" spans="1:27" ht="15.5">
      <c r="A26" s="19"/>
      <c r="B26" s="2" t="s">
        <v>58</v>
      </c>
      <c r="C26" s="29">
        <v>0</v>
      </c>
      <c r="D26" s="300">
        <f>D6</f>
        <v>34.756709945019118</v>
      </c>
      <c r="E26" s="300">
        <v>40</v>
      </c>
      <c r="F26" s="119">
        <v>15</v>
      </c>
      <c r="G26" s="327">
        <v>1.5</v>
      </c>
      <c r="H26" s="119">
        <v>10</v>
      </c>
      <c r="I26" s="310">
        <v>92.227254202533359</v>
      </c>
      <c r="J26" s="327">
        <v>1.5</v>
      </c>
      <c r="K26" s="120">
        <v>0.5</v>
      </c>
      <c r="L26" s="330">
        <v>8.3728016965254177</v>
      </c>
      <c r="M26" s="330">
        <v>0.14819118046947641</v>
      </c>
      <c r="N26" s="330">
        <v>10.595669403567562</v>
      </c>
      <c r="O26" s="330">
        <v>2.8156324289200514</v>
      </c>
      <c r="P26" s="330">
        <v>0.85209928769948917</v>
      </c>
      <c r="Q26" s="330">
        <v>6.6315553260090674</v>
      </c>
      <c r="R26" s="330">
        <v>4.6309743896711373</v>
      </c>
      <c r="S26" s="330">
        <v>4.5939265945537686</v>
      </c>
      <c r="T26" s="330">
        <v>9.8122244420744664</v>
      </c>
      <c r="U26" s="330">
        <v>25</v>
      </c>
      <c r="V26" s="269">
        <v>11.038961038961039</v>
      </c>
      <c r="W26" s="269">
        <v>0.24285714285714285</v>
      </c>
      <c r="X26" s="353">
        <v>3.7613527027952121E-2</v>
      </c>
      <c r="Y26" s="359">
        <v>2.4443526674384963E-3</v>
      </c>
      <c r="Z26" s="464">
        <v>3.3000000000000002E-9</v>
      </c>
      <c r="AA26" s="365">
        <v>5.0953791280532467E-7</v>
      </c>
    </row>
    <row r="27" spans="1:27" ht="15.5">
      <c r="A27" s="552">
        <v>0</v>
      </c>
      <c r="B27" s="2" t="s">
        <v>60</v>
      </c>
      <c r="C27" s="29">
        <v>0</v>
      </c>
      <c r="D27" s="300">
        <f t="shared" ref="D27:D36" si="7">D7</f>
        <v>30.529542519273541</v>
      </c>
      <c r="E27" s="300">
        <v>40</v>
      </c>
      <c r="F27" s="119">
        <v>15</v>
      </c>
      <c r="G27" s="327">
        <v>1.5</v>
      </c>
      <c r="H27" s="119">
        <v>10</v>
      </c>
      <c r="I27" s="310">
        <v>101.00074873906529</v>
      </c>
      <c r="J27" s="327">
        <v>1.5</v>
      </c>
      <c r="K27" s="120">
        <v>0.5</v>
      </c>
      <c r="L27" s="330">
        <v>8.3728016965254177</v>
      </c>
      <c r="M27" s="330">
        <v>0.14819118046947641</v>
      </c>
      <c r="N27" s="330">
        <v>10.595669403567562</v>
      </c>
      <c r="O27" s="330">
        <v>2.8156324289200514</v>
      </c>
      <c r="P27" s="330">
        <v>0.85209928769948917</v>
      </c>
      <c r="Q27" s="330">
        <v>6.6315553260090674</v>
      </c>
      <c r="R27" s="330">
        <v>4.6309743896711373</v>
      </c>
      <c r="S27" s="330">
        <v>4.5939265945537686</v>
      </c>
      <c r="T27" s="330">
        <v>9.8122244420744664</v>
      </c>
      <c r="U27" s="330">
        <v>25</v>
      </c>
      <c r="V27" s="269">
        <v>11.038961038961039</v>
      </c>
      <c r="W27" s="269">
        <v>0.24285714285714285</v>
      </c>
      <c r="X27" s="353">
        <v>3.7613527027952121E-2</v>
      </c>
      <c r="Y27" s="359">
        <v>2.4443526674384963E-3</v>
      </c>
      <c r="Z27" s="464">
        <v>3.3000000000000002E-9</v>
      </c>
      <c r="AA27" s="366">
        <v>5.0953791280532467E-7</v>
      </c>
    </row>
    <row r="28" spans="1:27" ht="15.5">
      <c r="A28" s="20"/>
      <c r="B28" s="2" t="s">
        <v>25</v>
      </c>
      <c r="C28" s="29">
        <v>0</v>
      </c>
      <c r="D28" s="300">
        <f t="shared" si="7"/>
        <v>382.15343460399356</v>
      </c>
      <c r="E28" s="300">
        <v>40</v>
      </c>
      <c r="F28" s="119">
        <v>15</v>
      </c>
      <c r="G28" s="327">
        <v>1.5</v>
      </c>
      <c r="H28" s="119">
        <v>100</v>
      </c>
      <c r="I28" s="310">
        <v>101</v>
      </c>
      <c r="J28" s="327">
        <v>1.5</v>
      </c>
      <c r="K28" s="120">
        <v>0.86</v>
      </c>
      <c r="L28" s="330">
        <v>8.3728016965254177</v>
      </c>
      <c r="M28" s="330">
        <v>0.14819118046947641</v>
      </c>
      <c r="N28" s="330">
        <v>10.595669403567562</v>
      </c>
      <c r="O28" s="330">
        <v>2.8156324289200514</v>
      </c>
      <c r="P28" s="330">
        <v>0.85209928769948917</v>
      </c>
      <c r="Q28" s="330">
        <v>6.6315553260090674</v>
      </c>
      <c r="R28" s="330">
        <v>4.6309743896711373</v>
      </c>
      <c r="S28" s="330">
        <v>4.5939265945537686</v>
      </c>
      <c r="T28" s="330">
        <v>9.8122244420744664</v>
      </c>
      <c r="U28" s="330">
        <v>30</v>
      </c>
      <c r="V28" s="269">
        <v>12.151898734177214</v>
      </c>
      <c r="W28" s="269">
        <v>0.26734177215189869</v>
      </c>
      <c r="X28" s="353">
        <v>9.5538358650998384E-2</v>
      </c>
      <c r="Y28" s="359">
        <v>6.208655775293781E-3</v>
      </c>
      <c r="Z28" s="464"/>
      <c r="AA28" s="366"/>
    </row>
    <row r="29" spans="1:27" ht="15.5">
      <c r="A29" s="552">
        <v>40000</v>
      </c>
      <c r="B29" s="2" t="s">
        <v>39</v>
      </c>
      <c r="C29" s="29">
        <v>32711.740041732763</v>
      </c>
      <c r="D29" s="529">
        <f t="shared" si="7"/>
        <v>0.21713263329772356</v>
      </c>
      <c r="E29" s="300">
        <v>10.088561527618966</v>
      </c>
      <c r="F29" s="119">
        <v>2.5</v>
      </c>
      <c r="G29" s="327">
        <v>1</v>
      </c>
      <c r="H29" s="119">
        <v>13</v>
      </c>
      <c r="I29" s="310">
        <v>59.088958691145862</v>
      </c>
      <c r="J29" s="327">
        <v>0.3</v>
      </c>
      <c r="K29" s="122">
        <v>0</v>
      </c>
      <c r="L29" s="330">
        <v>0.16</v>
      </c>
      <c r="M29" s="330">
        <v>0.03</v>
      </c>
      <c r="N29" s="330">
        <v>4.8587045577587276</v>
      </c>
      <c r="O29" s="330">
        <v>2.29</v>
      </c>
      <c r="P29" s="330">
        <v>0.31</v>
      </c>
      <c r="Q29" s="330">
        <v>2.68</v>
      </c>
      <c r="R29" s="330">
        <v>0.6</v>
      </c>
      <c r="S29" s="330">
        <v>1.04</v>
      </c>
      <c r="T29" s="330">
        <v>0</v>
      </c>
      <c r="U29" s="330">
        <v>0.2</v>
      </c>
      <c r="V29" s="269">
        <v>0.2</v>
      </c>
      <c r="W29" s="269">
        <v>5.000000000000001E-3</v>
      </c>
      <c r="X29" s="353">
        <v>0</v>
      </c>
      <c r="Y29" s="278">
        <v>0</v>
      </c>
      <c r="Z29" s="464"/>
      <c r="AA29" s="367"/>
    </row>
    <row r="30" spans="1:27" ht="15.5">
      <c r="A30" s="20"/>
      <c r="B30" s="2" t="s">
        <v>59</v>
      </c>
      <c r="C30" s="29">
        <v>0</v>
      </c>
      <c r="D30" s="300">
        <f t="shared" si="7"/>
        <v>64.552945034458347</v>
      </c>
      <c r="E30" s="300">
        <v>40</v>
      </c>
      <c r="F30" s="119">
        <v>5</v>
      </c>
      <c r="G30" s="327">
        <v>1.5</v>
      </c>
      <c r="H30" s="119">
        <v>100</v>
      </c>
      <c r="I30" s="310">
        <v>105.30530572883049</v>
      </c>
      <c r="J30" s="327">
        <v>1.5</v>
      </c>
      <c r="K30" s="122">
        <v>0</v>
      </c>
      <c r="L30" s="330">
        <v>8.3728016965254177</v>
      </c>
      <c r="M30" s="330">
        <v>0.14819118046947641</v>
      </c>
      <c r="N30" s="330">
        <v>10.595669403567562</v>
      </c>
      <c r="O30" s="330">
        <v>2.8156324289200514</v>
      </c>
      <c r="P30" s="330">
        <v>0.85209928769948917</v>
      </c>
      <c r="Q30" s="330">
        <v>6.6315553260090674</v>
      </c>
      <c r="R30" s="330">
        <v>4.6309743896711373</v>
      </c>
      <c r="S30" s="330">
        <v>4.5939265945537686</v>
      </c>
      <c r="T30" s="330">
        <v>9.8122244420744664</v>
      </c>
      <c r="U30" s="330">
        <v>25</v>
      </c>
      <c r="V30" s="269">
        <v>11.038961038961039</v>
      </c>
      <c r="W30" s="269">
        <v>0.24285714285714285</v>
      </c>
      <c r="X30" s="353">
        <v>3.4120842375356564E-2</v>
      </c>
      <c r="Y30" s="359">
        <v>2.4443526674384963E-3</v>
      </c>
      <c r="Z30" s="464"/>
      <c r="AA30" s="366"/>
    </row>
    <row r="31" spans="1:27" ht="15.5">
      <c r="A31" s="20"/>
      <c r="B31" s="2" t="s">
        <v>52</v>
      </c>
      <c r="C31" s="30">
        <v>0</v>
      </c>
      <c r="D31" s="300">
        <f t="shared" si="7"/>
        <v>13.487768280140946</v>
      </c>
      <c r="E31" s="300">
        <v>40</v>
      </c>
      <c r="F31" s="119">
        <v>2.5</v>
      </c>
      <c r="G31" s="327">
        <v>1</v>
      </c>
      <c r="H31" s="119">
        <v>13</v>
      </c>
      <c r="I31" s="310">
        <v>44.856660114731618</v>
      </c>
      <c r="J31" s="327">
        <v>1.5</v>
      </c>
      <c r="K31" s="122">
        <v>0</v>
      </c>
      <c r="L31" s="330">
        <v>0.16</v>
      </c>
      <c r="M31" s="330">
        <v>0.03</v>
      </c>
      <c r="N31" s="330">
        <v>4.8587045577587276</v>
      </c>
      <c r="O31" s="330">
        <v>2.29</v>
      </c>
      <c r="P31" s="330">
        <v>0.31</v>
      </c>
      <c r="Q31" s="330">
        <v>2.68</v>
      </c>
      <c r="R31" s="330">
        <v>0.6</v>
      </c>
      <c r="S31" s="330">
        <v>1.04</v>
      </c>
      <c r="T31" s="326">
        <v>0</v>
      </c>
      <c r="U31" s="326">
        <v>2.101172636249389E-2</v>
      </c>
      <c r="V31" s="286">
        <v>2.101172636249389E-2</v>
      </c>
      <c r="W31" s="286">
        <v>5.2529315906234731E-4</v>
      </c>
      <c r="X31" s="276">
        <v>0</v>
      </c>
      <c r="Y31" s="278">
        <v>0</v>
      </c>
      <c r="Z31" s="464"/>
      <c r="AA31" s="367"/>
    </row>
    <row r="32" spans="1:27" ht="15.5">
      <c r="A32" s="20"/>
      <c r="B32" s="2" t="s">
        <v>48</v>
      </c>
      <c r="C32" s="30">
        <v>0</v>
      </c>
      <c r="D32" s="321">
        <f t="shared" si="7"/>
        <v>0.11942294831374796</v>
      </c>
      <c r="E32" s="300">
        <v>40</v>
      </c>
      <c r="F32" s="119">
        <v>2.5</v>
      </c>
      <c r="G32" s="327">
        <v>1</v>
      </c>
      <c r="H32" s="119">
        <v>13</v>
      </c>
      <c r="I32" s="310">
        <v>246.71669904112483</v>
      </c>
      <c r="J32" s="327">
        <v>1.5</v>
      </c>
      <c r="K32" s="122">
        <v>0</v>
      </c>
      <c r="L32" s="330">
        <v>0.16</v>
      </c>
      <c r="M32" s="330">
        <v>0.03</v>
      </c>
      <c r="N32" s="330">
        <v>4.8587045577587276</v>
      </c>
      <c r="O32" s="330">
        <v>2.29</v>
      </c>
      <c r="P32" s="330">
        <v>0.31</v>
      </c>
      <c r="Q32" s="330">
        <v>2.68</v>
      </c>
      <c r="R32" s="330">
        <v>0.6</v>
      </c>
      <c r="S32" s="330">
        <v>1.04</v>
      </c>
      <c r="T32" s="326">
        <v>0</v>
      </c>
      <c r="U32" s="326">
        <v>2.101172636249389E-2</v>
      </c>
      <c r="V32" s="286">
        <v>2.101172636249389E-2</v>
      </c>
      <c r="W32" s="286">
        <v>5.2529315906234731E-4</v>
      </c>
      <c r="X32" s="276">
        <v>0</v>
      </c>
      <c r="Y32" s="278">
        <v>0</v>
      </c>
      <c r="Z32" s="464"/>
      <c r="AA32" s="367"/>
    </row>
    <row r="33" spans="1:27" ht="15.5">
      <c r="A33" s="20"/>
      <c r="B33" s="2" t="s">
        <v>53</v>
      </c>
      <c r="C33" s="29">
        <v>1003.8081641148</v>
      </c>
      <c r="D33" s="321">
        <f t="shared" si="7"/>
        <v>0.21713263329772359</v>
      </c>
      <c r="E33" s="300">
        <v>20</v>
      </c>
      <c r="F33" s="119">
        <v>2</v>
      </c>
      <c r="G33" s="327">
        <v>1</v>
      </c>
      <c r="H33" s="119">
        <v>10</v>
      </c>
      <c r="I33" s="310">
        <v>65.591620000000006</v>
      </c>
      <c r="J33" s="327">
        <v>2</v>
      </c>
      <c r="K33" s="122">
        <v>0</v>
      </c>
      <c r="L33" s="326">
        <v>0</v>
      </c>
      <c r="M33" s="326">
        <v>0</v>
      </c>
      <c r="N33" s="326">
        <v>0</v>
      </c>
      <c r="O33" s="326">
        <v>0</v>
      </c>
      <c r="P33" s="326">
        <v>0</v>
      </c>
      <c r="Q33" s="326">
        <v>0</v>
      </c>
      <c r="R33" s="326">
        <v>0</v>
      </c>
      <c r="S33" s="326">
        <v>0</v>
      </c>
      <c r="T33" s="326">
        <v>0</v>
      </c>
      <c r="U33" s="326">
        <v>0.2</v>
      </c>
      <c r="V33" s="286">
        <v>0.2</v>
      </c>
      <c r="W33" s="286">
        <v>5.000000000000001E-3</v>
      </c>
      <c r="X33" s="276">
        <v>2.1713263329772359E-2</v>
      </c>
      <c r="Y33" s="278">
        <v>0</v>
      </c>
      <c r="Z33" s="464"/>
      <c r="AA33" s="367"/>
    </row>
    <row r="34" spans="1:27" ht="15.5">
      <c r="A34" s="20"/>
      <c r="B34" s="2" t="s">
        <v>54</v>
      </c>
      <c r="C34" s="29">
        <v>6228.0850414607994</v>
      </c>
      <c r="D34" s="321">
        <f t="shared" si="7"/>
        <v>0.39124379724182257</v>
      </c>
      <c r="E34" s="300">
        <v>20</v>
      </c>
      <c r="F34" s="119">
        <v>2.5</v>
      </c>
      <c r="G34" s="327">
        <v>1</v>
      </c>
      <c r="H34" s="119">
        <v>13</v>
      </c>
      <c r="I34" s="310">
        <v>56.069992929332656</v>
      </c>
      <c r="J34" s="327">
        <v>2</v>
      </c>
      <c r="K34" s="122">
        <v>0</v>
      </c>
      <c r="L34" s="326">
        <v>0</v>
      </c>
      <c r="M34" s="326">
        <v>0</v>
      </c>
      <c r="N34" s="326">
        <v>0</v>
      </c>
      <c r="O34" s="326">
        <v>0</v>
      </c>
      <c r="P34" s="326">
        <v>0</v>
      </c>
      <c r="Q34" s="326">
        <v>0</v>
      </c>
      <c r="R34" s="326">
        <v>0</v>
      </c>
      <c r="S34" s="326">
        <v>0</v>
      </c>
      <c r="T34" s="326">
        <v>0</v>
      </c>
      <c r="U34" s="326">
        <v>5</v>
      </c>
      <c r="V34" s="286">
        <v>5</v>
      </c>
      <c r="W34" s="286">
        <v>0.125</v>
      </c>
      <c r="X34" s="276">
        <v>0</v>
      </c>
      <c r="Y34" s="278">
        <v>0</v>
      </c>
      <c r="Z34" s="464"/>
      <c r="AA34" s="367"/>
    </row>
    <row r="35" spans="1:27" ht="15.5">
      <c r="A35" s="20"/>
      <c r="B35" s="2" t="s">
        <v>33</v>
      </c>
      <c r="C35" s="29">
        <v>0</v>
      </c>
      <c r="D35" s="300">
        <f t="shared" si="7"/>
        <v>68.897854796393062</v>
      </c>
      <c r="E35" s="300">
        <v>40</v>
      </c>
      <c r="F35" s="119">
        <v>3</v>
      </c>
      <c r="G35" s="327">
        <v>7</v>
      </c>
      <c r="H35" s="119">
        <v>60</v>
      </c>
      <c r="I35" s="310">
        <v>71.900000000000006</v>
      </c>
      <c r="J35" s="327">
        <v>2</v>
      </c>
      <c r="K35" s="122">
        <v>0</v>
      </c>
      <c r="L35" s="326">
        <v>0.77384120744887253</v>
      </c>
      <c r="M35" s="326">
        <v>0.14330392730534675</v>
      </c>
      <c r="N35" s="326">
        <v>4.7576903865375133</v>
      </c>
      <c r="O35" s="326">
        <v>4.7863511719985814</v>
      </c>
      <c r="P35" s="326">
        <v>0.77384120744887253</v>
      </c>
      <c r="Q35" s="326">
        <v>28.71810703199149</v>
      </c>
      <c r="R35" s="326">
        <v>2.5221491205741033</v>
      </c>
      <c r="S35" s="326">
        <v>1.0317882765984967</v>
      </c>
      <c r="T35" s="326">
        <v>3.4817186097302617</v>
      </c>
      <c r="U35" s="326">
        <v>10</v>
      </c>
      <c r="V35" s="286">
        <v>2.5</v>
      </c>
      <c r="W35" s="286">
        <v>0.83750000000000002</v>
      </c>
      <c r="X35" s="276">
        <v>2.2965951598797683E-2</v>
      </c>
      <c r="Y35" s="359">
        <v>3.6338697129754738E-4</v>
      </c>
      <c r="Z35" s="464"/>
      <c r="AA35" s="366"/>
    </row>
    <row r="36" spans="1:27" ht="15.5">
      <c r="A36" s="20"/>
      <c r="B36" s="2" t="s">
        <v>55</v>
      </c>
      <c r="C36" s="29">
        <v>0</v>
      </c>
      <c r="D36" s="300">
        <f t="shared" si="7"/>
        <v>22.747228250237711</v>
      </c>
      <c r="E36" s="300">
        <v>40</v>
      </c>
      <c r="F36" s="119">
        <v>3</v>
      </c>
      <c r="G36" s="327">
        <v>7</v>
      </c>
      <c r="H36" s="119">
        <v>60</v>
      </c>
      <c r="I36" s="310">
        <v>73.338305545600491</v>
      </c>
      <c r="J36" s="327">
        <v>2</v>
      </c>
      <c r="K36" s="122">
        <v>0</v>
      </c>
      <c r="L36" s="326">
        <v>0.77384120744887253</v>
      </c>
      <c r="M36" s="326">
        <v>0.14330392730534675</v>
      </c>
      <c r="N36" s="326">
        <v>4.7576903865375133</v>
      </c>
      <c r="O36" s="326">
        <v>4.7863511719985814</v>
      </c>
      <c r="P36" s="326">
        <v>0.77384120744887253</v>
      </c>
      <c r="Q36" s="326">
        <v>28.71810703199149</v>
      </c>
      <c r="R36" s="326">
        <v>2.5221491205741033</v>
      </c>
      <c r="S36" s="326">
        <v>1.0317882765984967</v>
      </c>
      <c r="T36" s="326">
        <v>3.4817186097302617</v>
      </c>
      <c r="U36" s="326">
        <v>5</v>
      </c>
      <c r="V36" s="286">
        <v>1.25</v>
      </c>
      <c r="W36" s="286">
        <v>0.41875000000000001</v>
      </c>
      <c r="X36" s="276">
        <v>2.2965951598797683E-2</v>
      </c>
      <c r="Y36" s="359">
        <v>3.6338697129754738E-4</v>
      </c>
      <c r="Z36" s="464"/>
      <c r="AA36" s="366"/>
    </row>
    <row r="37" spans="1:27" ht="15.5">
      <c r="A37" s="20"/>
      <c r="B37" s="2" t="s">
        <v>56</v>
      </c>
      <c r="C37" s="29">
        <v>0</v>
      </c>
      <c r="D37" s="300">
        <f>D18</f>
        <v>69.566766008008528</v>
      </c>
      <c r="E37" s="300">
        <v>40</v>
      </c>
      <c r="F37" s="119">
        <v>3</v>
      </c>
      <c r="G37" s="327">
        <v>7</v>
      </c>
      <c r="H37" s="119">
        <v>60</v>
      </c>
      <c r="I37" s="327">
        <v>71.900000000000006</v>
      </c>
      <c r="J37" s="327">
        <v>2</v>
      </c>
      <c r="K37" s="122">
        <v>0</v>
      </c>
      <c r="L37" s="330">
        <v>0.77384120744887253</v>
      </c>
      <c r="M37" s="330">
        <v>0.14330392730534675</v>
      </c>
      <c r="N37" s="330">
        <v>4.7576903865375133</v>
      </c>
      <c r="O37" s="330">
        <v>4.7863511719985814</v>
      </c>
      <c r="P37" s="330">
        <v>0.77384120744887253</v>
      </c>
      <c r="Q37" s="330">
        <v>28.71810703199149</v>
      </c>
      <c r="R37" s="330">
        <v>2.5221491205741033</v>
      </c>
      <c r="S37" s="330">
        <v>1.0317882765984967</v>
      </c>
      <c r="T37" s="330">
        <v>3.4817186097302617</v>
      </c>
      <c r="U37" s="330">
        <v>5</v>
      </c>
      <c r="V37" s="269">
        <v>1.25</v>
      </c>
      <c r="W37" s="269">
        <v>0.41875000000000001</v>
      </c>
      <c r="X37" s="353">
        <v>2.3188922002669508E-2</v>
      </c>
      <c r="Y37" s="359">
        <v>3.6338697129754738E-4</v>
      </c>
      <c r="Z37" s="464"/>
      <c r="AA37" s="366"/>
    </row>
    <row r="38" spans="1:27" ht="15.5">
      <c r="B38" s="2" t="s">
        <v>195</v>
      </c>
      <c r="C38" s="29">
        <v>3762.6029461563617</v>
      </c>
      <c r="D38" s="321">
        <f>D34</f>
        <v>0.39124379724182257</v>
      </c>
      <c r="E38" s="300">
        <v>20</v>
      </c>
      <c r="F38" s="119">
        <v>3</v>
      </c>
      <c r="G38" s="327">
        <v>3</v>
      </c>
      <c r="H38" s="119">
        <v>15</v>
      </c>
      <c r="I38" s="311">
        <v>50.149724607558767</v>
      </c>
      <c r="J38" s="327">
        <v>2</v>
      </c>
      <c r="K38" s="122">
        <v>0</v>
      </c>
      <c r="L38" s="330">
        <v>0.77384120744887253</v>
      </c>
      <c r="M38" s="330">
        <v>0.14330392730534675</v>
      </c>
      <c r="N38" s="330">
        <v>4.7576903865375133</v>
      </c>
      <c r="O38" s="330">
        <v>4.7863511719985814</v>
      </c>
      <c r="P38" s="330">
        <v>0.77384120744887253</v>
      </c>
      <c r="Q38" s="330">
        <v>28.71810703199149</v>
      </c>
      <c r="R38" s="330">
        <v>2.5221491205741033</v>
      </c>
      <c r="S38" s="330">
        <v>1.0317882765984967</v>
      </c>
      <c r="T38" s="330">
        <v>3.4817186097302617</v>
      </c>
      <c r="U38" s="330">
        <v>5</v>
      </c>
      <c r="V38" s="269">
        <v>5</v>
      </c>
      <c r="W38" s="269">
        <v>5.000000000000001E-3</v>
      </c>
      <c r="X38" s="353">
        <v>2.3416264375244699E-2</v>
      </c>
      <c r="Y38" s="359">
        <v>3.6338697129754738E-4</v>
      </c>
      <c r="Z38" s="464"/>
      <c r="AA38" s="366"/>
    </row>
    <row r="39" spans="1:27" ht="18" customHeight="1">
      <c r="A39" s="20"/>
      <c r="B39" s="2" t="s">
        <v>41</v>
      </c>
      <c r="C39" s="29">
        <v>4588.4029262148006</v>
      </c>
      <c r="D39" s="300">
        <f>D21</f>
        <v>39.994909135400064</v>
      </c>
      <c r="E39" s="300">
        <v>23</v>
      </c>
      <c r="F39" s="119">
        <v>3</v>
      </c>
      <c r="G39" s="327">
        <v>3</v>
      </c>
      <c r="H39" s="119">
        <v>10</v>
      </c>
      <c r="I39" s="310">
        <v>76.475036910814254</v>
      </c>
      <c r="J39" s="327">
        <v>2</v>
      </c>
      <c r="K39" s="122">
        <v>0</v>
      </c>
      <c r="L39" s="330">
        <v>0.77384120744887253</v>
      </c>
      <c r="M39" s="330">
        <v>0.14330392730534675</v>
      </c>
      <c r="N39" s="330">
        <v>4.7576903865375133</v>
      </c>
      <c r="O39" s="330">
        <v>4.7863511719985814</v>
      </c>
      <c r="P39" s="330">
        <v>0.77384120744887253</v>
      </c>
      <c r="Q39" s="330">
        <v>28.71810703199149</v>
      </c>
      <c r="R39" s="330">
        <v>2.5221491205741033</v>
      </c>
      <c r="S39" s="330">
        <v>1.0317882765984967</v>
      </c>
      <c r="T39" s="330">
        <v>3.4817186097302617</v>
      </c>
      <c r="U39" s="330">
        <v>10</v>
      </c>
      <c r="V39" s="269">
        <v>7.6587301587301591</v>
      </c>
      <c r="W39" s="269">
        <v>0.42888888888888893</v>
      </c>
      <c r="X39" s="353">
        <v>2.4372030268111831E-2</v>
      </c>
      <c r="Y39" s="359">
        <v>3.6338697129754738E-4</v>
      </c>
      <c r="Z39" s="464">
        <v>0</v>
      </c>
      <c r="AA39" s="366"/>
    </row>
    <row r="40" spans="1:27" ht="18" customHeight="1">
      <c r="A40" s="552">
        <v>22147.650288630415</v>
      </c>
      <c r="B40" s="2" t="s">
        <v>42</v>
      </c>
      <c r="C40" s="29">
        <v>1473.8575984372799</v>
      </c>
      <c r="D40" s="300">
        <f t="shared" ref="D40:D41" si="8">D22</f>
        <v>39.994909135400064</v>
      </c>
      <c r="E40" s="300">
        <v>23</v>
      </c>
      <c r="F40" s="119">
        <v>3</v>
      </c>
      <c r="G40" s="327">
        <v>3</v>
      </c>
      <c r="H40" s="119">
        <v>10</v>
      </c>
      <c r="I40" s="310">
        <v>76.475036910814254</v>
      </c>
      <c r="J40" s="327">
        <v>2</v>
      </c>
      <c r="K40" s="122">
        <v>0</v>
      </c>
      <c r="L40" s="330">
        <v>0.77384120744887253</v>
      </c>
      <c r="M40" s="330">
        <v>0.14330392730534675</v>
      </c>
      <c r="N40" s="330">
        <v>4.7576903865375133</v>
      </c>
      <c r="O40" s="330">
        <v>4.7863511719985814</v>
      </c>
      <c r="P40" s="330">
        <v>0.77384120744887253</v>
      </c>
      <c r="Q40" s="330">
        <v>28.71810703199149</v>
      </c>
      <c r="R40" s="330">
        <v>2.5221491205741033</v>
      </c>
      <c r="S40" s="330">
        <v>1.0317882765984967</v>
      </c>
      <c r="T40" s="330">
        <v>3.4817186097302617</v>
      </c>
      <c r="U40" s="330">
        <v>10</v>
      </c>
      <c r="V40" s="269">
        <v>7.6587301587301591</v>
      </c>
      <c r="W40" s="269">
        <v>0.42888888888888893</v>
      </c>
      <c r="X40" s="353">
        <v>2.4372030268111831E-2</v>
      </c>
      <c r="Y40" s="359">
        <v>3.6338697129754738E-4</v>
      </c>
      <c r="Z40" s="464">
        <v>0</v>
      </c>
      <c r="AA40" s="366"/>
    </row>
    <row r="41" spans="1:27" ht="18" customHeight="1">
      <c r="A41" s="20"/>
      <c r="B41" s="2" t="s">
        <v>34</v>
      </c>
      <c r="C41" s="29">
        <v>0</v>
      </c>
      <c r="D41" s="300">
        <f t="shared" si="8"/>
        <v>86.329842154516598</v>
      </c>
      <c r="E41" s="300">
        <v>23</v>
      </c>
      <c r="F41" s="119">
        <v>1.5</v>
      </c>
      <c r="G41" s="327">
        <v>1.5</v>
      </c>
      <c r="H41" s="119">
        <v>9</v>
      </c>
      <c r="I41" s="310">
        <v>93.879562798083015</v>
      </c>
      <c r="J41" s="327">
        <v>2</v>
      </c>
      <c r="K41" s="122">
        <v>0</v>
      </c>
      <c r="L41" s="330">
        <v>0.77384120744887253</v>
      </c>
      <c r="M41" s="330">
        <v>0.14330392730534675</v>
      </c>
      <c r="N41" s="330">
        <v>4.7576903865375133</v>
      </c>
      <c r="O41" s="330">
        <v>4.7863511719985814</v>
      </c>
      <c r="P41" s="330">
        <v>0.77384120744887253</v>
      </c>
      <c r="Q41" s="330">
        <v>28.71810703199149</v>
      </c>
      <c r="R41" s="330">
        <v>2.5221491205741033</v>
      </c>
      <c r="S41" s="330">
        <v>1.0317882765984967</v>
      </c>
      <c r="T41" s="330">
        <v>3.4817186097302617</v>
      </c>
      <c r="U41" s="330">
        <v>10</v>
      </c>
      <c r="V41" s="269">
        <v>4.4155844155844157</v>
      </c>
      <c r="W41" s="269">
        <v>0.14571428571428571</v>
      </c>
      <c r="X41" s="353">
        <v>2.8776614051505531E-2</v>
      </c>
      <c r="Y41" s="359">
        <v>3.6338697129754738E-4</v>
      </c>
      <c r="Z41" s="464"/>
      <c r="AA41" s="366"/>
    </row>
    <row r="42" spans="1:27" ht="18" customHeight="1">
      <c r="A42" s="21"/>
      <c r="B42" s="2" t="s">
        <v>43</v>
      </c>
      <c r="C42" s="29">
        <v>0</v>
      </c>
      <c r="D42" s="321">
        <v>0.11309788874649562</v>
      </c>
      <c r="E42" s="300">
        <v>20</v>
      </c>
      <c r="F42" s="119">
        <v>15</v>
      </c>
      <c r="G42" s="326"/>
      <c r="H42" s="119">
        <v>10</v>
      </c>
      <c r="I42" s="310"/>
      <c r="J42" s="326"/>
      <c r="K42" s="123"/>
      <c r="L42" s="330"/>
      <c r="M42" s="330"/>
      <c r="N42" s="330"/>
      <c r="O42" s="330"/>
      <c r="P42" s="330"/>
      <c r="Q42" s="330"/>
      <c r="R42" s="330"/>
      <c r="S42" s="330"/>
      <c r="T42" s="330"/>
      <c r="U42" s="330">
        <v>25</v>
      </c>
      <c r="V42" s="269">
        <v>21.451612903225804</v>
      </c>
      <c r="W42" s="269">
        <v>0.7079032258064516</v>
      </c>
      <c r="X42" s="272">
        <v>9.5538358650998391E-3</v>
      </c>
      <c r="Y42" s="359">
        <v>3.6557752937804535E-3</v>
      </c>
      <c r="Z42" s="464">
        <v>3.4999999999999999E-6</v>
      </c>
      <c r="AA42" s="365">
        <v>5.7323015190599033E-6</v>
      </c>
    </row>
    <row r="43" spans="1:27" ht="18" customHeight="1">
      <c r="A43" s="20"/>
      <c r="B43" s="2" t="s">
        <v>186</v>
      </c>
      <c r="C43" s="29">
        <v>0</v>
      </c>
      <c r="D43" s="300">
        <f>D39</f>
        <v>39.994909135400064</v>
      </c>
      <c r="E43" s="300"/>
      <c r="F43" s="119"/>
      <c r="G43" s="327"/>
      <c r="H43" s="119"/>
      <c r="I43" s="310"/>
      <c r="J43" s="327"/>
      <c r="K43" s="122"/>
      <c r="L43" s="330"/>
      <c r="M43" s="330"/>
      <c r="N43" s="330"/>
      <c r="O43" s="330"/>
      <c r="P43" s="330"/>
      <c r="Q43" s="330"/>
      <c r="R43" s="330"/>
      <c r="S43" s="330"/>
      <c r="T43" s="330"/>
      <c r="U43" s="330">
        <v>10</v>
      </c>
      <c r="V43" s="269">
        <v>7.6587301587301591</v>
      </c>
      <c r="W43" s="269">
        <v>0.42888888888888893</v>
      </c>
      <c r="X43" s="353"/>
      <c r="Y43" s="359"/>
      <c r="Z43" s="464"/>
      <c r="AA43" s="366"/>
    </row>
    <row r="44" spans="1:27" ht="18" customHeight="1">
      <c r="A44" s="21"/>
      <c r="C44" s="29"/>
      <c r="D44" s="338"/>
      <c r="E44" s="337"/>
      <c r="G44" s="296"/>
      <c r="I44" s="296"/>
      <c r="J44" s="296"/>
      <c r="K44" s="1"/>
      <c r="L44" s="339"/>
      <c r="M44" s="339"/>
      <c r="N44" s="339"/>
      <c r="O44" s="339"/>
      <c r="P44" s="339"/>
      <c r="Q44" s="339"/>
      <c r="R44" s="339"/>
      <c r="S44" s="339"/>
      <c r="T44" s="339"/>
      <c r="U44" s="339"/>
      <c r="V44" s="343"/>
      <c r="W44" s="343"/>
      <c r="X44" s="274"/>
      <c r="Y44" s="358"/>
      <c r="Z44" s="350"/>
      <c r="AA44" s="368"/>
    </row>
    <row r="45" spans="1:27" ht="15.5">
      <c r="A45" s="15" t="s">
        <v>32</v>
      </c>
      <c r="B45" s="16" t="s">
        <v>35</v>
      </c>
      <c r="C45" s="47"/>
      <c r="D45" s="545">
        <f>($C46*D46+$C47*D47+$C48*D48+$C49*D49+$C50*D50+$C51*D51+$C52*D52+$C53*D53+$C54*D54+$C55*D55+$C56*D56+$C57*D57+$C58*D58+$C59*D59+$C60*D60+$C61*D61+$C62*D62)/1000</f>
        <v>36.884492653594613</v>
      </c>
      <c r="E45" s="336">
        <f>($C46*E46+$C47*E47+$C48*E48+$C49*E49+$C50*E50+$C51*E51+$C52*E52+$C53*E53+$C54*E54+$C55*E55+$C56*E56+$C57*E57+$C58*E58+$C59*E59+$C60*E60+$C61*E61+$C62*E62)/1000</f>
        <v>1565.746817617352</v>
      </c>
      <c r="F45" s="34">
        <f t="shared" ref="F45:G45" si="9">($C53*F53+$C54*F54+$C55*F55+$C56*F56+$C57*F57+$C58*F58+$C59*F59+$C60*F60+$C61*F61+$C62*F62+$C46*F46+$C47*F47+$C48*F48+$C49*F49+$C50*F50+$C51*F51+$C52*F52)/1000</f>
        <v>893.95118321104815</v>
      </c>
      <c r="G45" s="336">
        <f t="shared" si="9"/>
        <v>7763.6733884021551</v>
      </c>
      <c r="H45" s="34">
        <f>($C53*H53+$C54*H54+$C55*H55+$C56*H56+$C57*H57+$C58*H58+$C59*H59+$C60*H60+$C61*H61+$C62*H62+$C46*H46+$C47*H47+$C48*H48+$C49*H49+$C50*H50+$C51*H51+$C52*H52)/1000</f>
        <v>1202.6061050519772</v>
      </c>
      <c r="I45" s="336">
        <f>($C53*I53+$C54*I54+$C55*I55+$C56*I56+$C57*I57+$C58*I58+$C59*I59+$C60*I60+$C61*I61+$C46*I46+$C47*I47+$C48*I48+$C49*I49+$C50*I50+$C51*I51+$C52*I52)/1000</f>
        <v>3188.6911905058673</v>
      </c>
      <c r="J45" s="336">
        <f>($C53*J53+$C54*J54+$C55*J55+$C56*J56+$C57*J57+$C58*J58+$C59*J59+$C60*J60+$C61*J61+$C62*J62+$C46*J46+$C47*J47+$C48*J48+$C49*J49+$C50*J50+$C51*J51+$C52*J52)/1000</f>
        <v>169.90473757647146</v>
      </c>
      <c r="K45" s="340">
        <f>($C53*K53+$C54*K54+$C55*K55+$C56*K56+$C57*K57+$C58*K58+$C59*K59+$C60*K60+$C61*K61+$C62*K62+$C46*K46+$C47*K47+$C48*K48+$C49*K49+$C50*K50+$C51*K51+$C52*K52)/1000</f>
        <v>0.36960000000000004</v>
      </c>
      <c r="L45" s="542">
        <f>($C53*L53+$C54*L54+$C55*L55+$C56*L56+$C57*L57+$C58*L58+$C59*L59+$C60*L60+$C61*L61+$C62*L62+$C46*L46+$C47*L47+$C48*L48+$C49*L49+$C50*L50+$C51*L51+$C52*L52)/1000</f>
        <v>8.8351626988304641</v>
      </c>
      <c r="M45" s="542">
        <f>($C53*M53+$C54*M54+$C55*M55+$C56*M56+$C57*M57+$C58*M58+$C59*M59+$C60*M60+$C61*M61+$C62*M62+$C46*M46+$C47*M47+$C48*M48+$C49*M49+$C50*M50+$C51*M51+$C52*M52)/1000</f>
        <v>1.6557156684331971</v>
      </c>
      <c r="N45" s="542">
        <f t="shared" ref="N45:T45" si="10">($C53*N53+$C54*N54+$C55*N55+$C56*N56+$C57*N57+$C58*N58+$C59*N59+$C60*N60+$C61*N61+$C62*N62+$C46*N46+$C47*N47+$C48*N48+$C49*N49+$C50*N50+$C51*N51+$C52*N52)/1000</f>
        <v>259.11738632133142</v>
      </c>
      <c r="O45" s="542">
        <f t="shared" si="10"/>
        <v>123.37293382213777</v>
      </c>
      <c r="P45" s="542">
        <f t="shared" si="10"/>
        <v>16.762806001990668</v>
      </c>
      <c r="Q45" s="542">
        <f t="shared" si="10"/>
        <v>155.70603671314731</v>
      </c>
      <c r="R45" s="542">
        <f t="shared" si="10"/>
        <v>32.945864549941163</v>
      </c>
      <c r="S45" s="542">
        <f t="shared" si="10"/>
        <v>55.470340024745759</v>
      </c>
      <c r="T45" s="542">
        <f t="shared" si="10"/>
        <v>1.705266672153855</v>
      </c>
      <c r="U45" s="542">
        <f>($C53*U53+$C54*U54+$C55*U55+$C56*U56+$C57*U57+$C58*U58+$C59*U59+$C60*U60+$C61*U61+$C62*U62+$C46*U46+$C47*U47+$C48*U48+$C49*U49+$C50*U50+$C51*U51+$C52*U52)/1000</f>
        <v>30.744153516834579</v>
      </c>
      <c r="V45" s="351">
        <f t="shared" ref="V45:W45" si="11">($C53*V53+$C54*V54+$C55*V55+$C56*V56+$C57*V57+$C58*V58+$C59*V59+$C60*V60+$C61*V61+$C62*V62+$C46*V46+$C47*V47+$C48*V48+$C49*V49+$C50*V50+$C51*V51+$C52*V52)/1000</f>
        <v>27.44147911772292</v>
      </c>
      <c r="W45" s="351">
        <f t="shared" si="11"/>
        <v>0.90659093517828482</v>
      </c>
      <c r="X45" s="352">
        <f>(+$C46*X46+$C47*X47+$C48*X48+$C49*X49+$C50*X50+$C51*X51+$C52*X52+$C53*X53+$C54*X54+$C55*X55+$C56*X56+$C57*X57+$C58*X58+$C59*X59+$C60*X60+$C61*X61+$C62*X62)/1000</f>
        <v>0.50505097186893444</v>
      </c>
      <c r="Y45" s="544">
        <f>($C53*Y53+$C54*Y54+$C55*Y55+$C56*Y56+$C57*Y57+$C58*Y58+$C59*Y59+$C60*Y60+$C61*Y61+$C62*Y62+$C46*Y46+$C47*Y47+$C48*Y48+$C49*Y49+$C50*Y50+$C51*Y51+$C52*Y52)</f>
        <v>185.27980314651512</v>
      </c>
      <c r="Z45" s="351">
        <f t="shared" ref="Z45:AA45" si="12">(+$C46*Z46+$C47*Z47+$C48*Z48+$C49*Z49+$C50*Z50+$C51*Z51+$C52*Z52+$C53*Z53+$C54*Z54+$C55*Z55+$C56*Z56+$C57*Z57+$C58*Z58+$C59*Z59+$C60*Z60+$C61*Z61+$C62*Z62)</f>
        <v>0.17721449858419699</v>
      </c>
      <c r="AA45" s="369">
        <f t="shared" si="12"/>
        <v>0.29024198269532325</v>
      </c>
    </row>
    <row r="46" spans="1:27" ht="18" customHeight="1">
      <c r="A46" s="20"/>
      <c r="B46" s="2" t="s">
        <v>58</v>
      </c>
      <c r="C46" s="29">
        <v>0</v>
      </c>
      <c r="D46" s="300">
        <v>34.756709945019118</v>
      </c>
      <c r="E46" s="300">
        <v>40</v>
      </c>
      <c r="F46" s="119">
        <v>15</v>
      </c>
      <c r="G46" s="327">
        <v>1.5</v>
      </c>
      <c r="H46" s="119">
        <v>10</v>
      </c>
      <c r="I46" s="310">
        <v>92.227254202533359</v>
      </c>
      <c r="J46" s="327">
        <v>1.5</v>
      </c>
      <c r="K46" s="120">
        <v>0.5</v>
      </c>
      <c r="L46" s="330">
        <v>8.3728016965254177</v>
      </c>
      <c r="M46" s="330">
        <v>0.14819118046947641</v>
      </c>
      <c r="N46" s="330">
        <v>10.595669403567562</v>
      </c>
      <c r="O46" s="330">
        <v>2.8156324289200514</v>
      </c>
      <c r="P46" s="330">
        <v>0.85209928769948917</v>
      </c>
      <c r="Q46" s="330">
        <v>6.6315553260090674</v>
      </c>
      <c r="R46" s="330">
        <v>4.6309743896711373</v>
      </c>
      <c r="S46" s="330">
        <v>4.5939265945537686</v>
      </c>
      <c r="T46" s="330">
        <v>9.8122244420744664</v>
      </c>
      <c r="U46" s="330">
        <v>25</v>
      </c>
      <c r="V46" s="269">
        <v>11.038961038961039</v>
      </c>
      <c r="W46" s="269">
        <v>0.24285714285714285</v>
      </c>
      <c r="X46" s="353">
        <v>3.7613527027952121E-2</v>
      </c>
      <c r="Y46" s="359">
        <v>2.4443526674384963E-3</v>
      </c>
      <c r="Z46" s="464">
        <v>3.3000000000000002E-9</v>
      </c>
      <c r="AA46" s="468">
        <v>5.0953791280532467E-7</v>
      </c>
    </row>
    <row r="47" spans="1:27" ht="18" customHeight="1">
      <c r="A47" s="20"/>
      <c r="B47" s="2" t="s">
        <v>60</v>
      </c>
      <c r="C47" s="29">
        <v>0</v>
      </c>
      <c r="D47" s="300">
        <v>30.529542519273541</v>
      </c>
      <c r="E47" s="300">
        <v>40</v>
      </c>
      <c r="F47" s="119">
        <v>15</v>
      </c>
      <c r="G47" s="327">
        <v>1.5</v>
      </c>
      <c r="H47" s="119">
        <v>10</v>
      </c>
      <c r="I47" s="310">
        <v>101.00074873906529</v>
      </c>
      <c r="J47" s="327">
        <v>1.5</v>
      </c>
      <c r="K47" s="120">
        <v>0.5</v>
      </c>
      <c r="L47" s="330">
        <v>8.3728016965254177</v>
      </c>
      <c r="M47" s="330">
        <v>0.14819118046947641</v>
      </c>
      <c r="N47" s="330">
        <v>10.595669403567562</v>
      </c>
      <c r="O47" s="330">
        <v>2.8156324289200514</v>
      </c>
      <c r="P47" s="330">
        <v>0.85209928769948917</v>
      </c>
      <c r="Q47" s="330">
        <v>6.6315553260090674</v>
      </c>
      <c r="R47" s="330">
        <v>4.6309743896711373</v>
      </c>
      <c r="S47" s="330">
        <v>4.5939265945537686</v>
      </c>
      <c r="T47" s="330">
        <v>9.8122244420744664</v>
      </c>
      <c r="U47" s="330">
        <v>25</v>
      </c>
      <c r="V47" s="269">
        <v>11.038961038961039</v>
      </c>
      <c r="W47" s="269">
        <v>0.24285714285714285</v>
      </c>
      <c r="X47" s="353">
        <v>3.7613527027952121E-2</v>
      </c>
      <c r="Y47" s="359">
        <v>2.4443526674384963E-3</v>
      </c>
      <c r="Z47" s="283">
        <v>3.3000000000000002E-9</v>
      </c>
      <c r="AA47" s="366">
        <v>5.0953791280532467E-7</v>
      </c>
    </row>
    <row r="48" spans="1:27" ht="18" customHeight="1">
      <c r="A48" s="20"/>
      <c r="B48" s="2" t="s">
        <v>25</v>
      </c>
      <c r="C48" s="29">
        <v>0</v>
      </c>
      <c r="D48" s="300">
        <v>382.15343460399356</v>
      </c>
      <c r="E48" s="300">
        <v>40</v>
      </c>
      <c r="F48" s="119">
        <v>15</v>
      </c>
      <c r="G48" s="327">
        <v>1.5</v>
      </c>
      <c r="H48" s="119">
        <v>100</v>
      </c>
      <c r="I48" s="310">
        <v>101</v>
      </c>
      <c r="J48" s="327">
        <v>1.5</v>
      </c>
      <c r="K48" s="120">
        <v>0.86</v>
      </c>
      <c r="L48" s="330">
        <v>8.3728016965254177</v>
      </c>
      <c r="M48" s="330">
        <v>0.14819118046947641</v>
      </c>
      <c r="N48" s="330">
        <v>10.595669403567562</v>
      </c>
      <c r="O48" s="330">
        <v>2.8156324289200514</v>
      </c>
      <c r="P48" s="330">
        <v>0.85209928769948917</v>
      </c>
      <c r="Q48" s="330">
        <v>6.6315553260090674</v>
      </c>
      <c r="R48" s="330">
        <v>4.6309743896711373</v>
      </c>
      <c r="S48" s="330">
        <v>4.5939265945537686</v>
      </c>
      <c r="T48" s="330">
        <v>9.8122244420744664</v>
      </c>
      <c r="U48" s="330">
        <v>30</v>
      </c>
      <c r="V48" s="269">
        <v>12.151898734177214</v>
      </c>
      <c r="W48" s="269">
        <v>0.26734177215189869</v>
      </c>
      <c r="X48" s="353">
        <v>9.5538358650998384E-2</v>
      </c>
      <c r="Y48" s="359">
        <v>6.208655775293781E-3</v>
      </c>
      <c r="Z48" s="283"/>
      <c r="AA48" s="366"/>
    </row>
    <row r="49" spans="1:27" ht="18" customHeight="1">
      <c r="A49" s="20"/>
      <c r="B49" s="2" t="s">
        <v>39</v>
      </c>
      <c r="C49" s="29">
        <v>52850.955354401383</v>
      </c>
      <c r="D49" s="321">
        <v>0.21713263329772356</v>
      </c>
      <c r="E49" s="300">
        <v>10.088561527618966</v>
      </c>
      <c r="F49" s="119">
        <v>2.5</v>
      </c>
      <c r="G49" s="327">
        <v>1</v>
      </c>
      <c r="H49" s="119">
        <v>13</v>
      </c>
      <c r="I49" s="310">
        <v>59.088958691145862</v>
      </c>
      <c r="J49" s="327">
        <v>0.3</v>
      </c>
      <c r="K49" s="122">
        <v>0</v>
      </c>
      <c r="L49" s="330">
        <v>0.16</v>
      </c>
      <c r="M49" s="330">
        <v>0.03</v>
      </c>
      <c r="N49" s="330">
        <v>4.8587045577587276</v>
      </c>
      <c r="O49" s="330">
        <v>2.29</v>
      </c>
      <c r="P49" s="330">
        <v>0.31</v>
      </c>
      <c r="Q49" s="330">
        <v>2.68</v>
      </c>
      <c r="R49" s="330">
        <v>0.6</v>
      </c>
      <c r="S49" s="330">
        <v>1.04</v>
      </c>
      <c r="T49" s="330">
        <v>0</v>
      </c>
      <c r="U49" s="330">
        <v>0.2</v>
      </c>
      <c r="V49" s="269">
        <v>0.2</v>
      </c>
      <c r="W49" s="269">
        <v>5.000000000000001E-3</v>
      </c>
      <c r="X49" s="353">
        <v>0</v>
      </c>
      <c r="Y49" s="278">
        <v>0</v>
      </c>
      <c r="Z49" s="283"/>
      <c r="AA49" s="366"/>
    </row>
    <row r="50" spans="1:27" ht="18" customHeight="1">
      <c r="A50" s="20"/>
      <c r="B50" s="2" t="s">
        <v>59</v>
      </c>
      <c r="C50" s="29">
        <v>0</v>
      </c>
      <c r="D50" s="300">
        <v>64.552945034458347</v>
      </c>
      <c r="E50" s="300">
        <v>40</v>
      </c>
      <c r="F50" s="119">
        <v>5</v>
      </c>
      <c r="G50" s="327">
        <v>1.5</v>
      </c>
      <c r="H50" s="119">
        <v>100</v>
      </c>
      <c r="I50" s="310">
        <v>105.30530572883049</v>
      </c>
      <c r="J50" s="327">
        <v>1.5</v>
      </c>
      <c r="K50" s="122">
        <v>0</v>
      </c>
      <c r="L50" s="330">
        <v>8.3728016965254177</v>
      </c>
      <c r="M50" s="330">
        <v>0.14819118046947641</v>
      </c>
      <c r="N50" s="330">
        <v>10.595669403567562</v>
      </c>
      <c r="O50" s="330">
        <v>2.8156324289200514</v>
      </c>
      <c r="P50" s="330">
        <v>0.85209928769948917</v>
      </c>
      <c r="Q50" s="330">
        <v>6.6315553260090674</v>
      </c>
      <c r="R50" s="330">
        <v>4.6309743896711373</v>
      </c>
      <c r="S50" s="330">
        <v>4.5939265945537686</v>
      </c>
      <c r="T50" s="330">
        <v>9.8122244420744664</v>
      </c>
      <c r="U50" s="330">
        <v>25</v>
      </c>
      <c r="V50" s="269">
        <v>11.038961038961039</v>
      </c>
      <c r="W50" s="269">
        <v>0.24285714285714285</v>
      </c>
      <c r="X50" s="353">
        <v>3.4120842375356564E-2</v>
      </c>
      <c r="Y50" s="359">
        <v>2.4443526674384963E-3</v>
      </c>
      <c r="Z50" s="283"/>
      <c r="AA50" s="366"/>
    </row>
    <row r="51" spans="1:27" ht="18" customHeight="1">
      <c r="A51" s="20"/>
      <c r="B51" s="2" t="s">
        <v>52</v>
      </c>
      <c r="C51" s="30">
        <v>0</v>
      </c>
      <c r="D51" s="300">
        <v>13.487768280140946</v>
      </c>
      <c r="E51" s="300">
        <v>40</v>
      </c>
      <c r="F51" s="119">
        <v>2.5</v>
      </c>
      <c r="G51" s="327">
        <v>1</v>
      </c>
      <c r="H51" s="119">
        <v>13</v>
      </c>
      <c r="I51" s="310">
        <v>44.856660114731618</v>
      </c>
      <c r="J51" s="327">
        <v>1.5</v>
      </c>
      <c r="K51" s="122">
        <v>0</v>
      </c>
      <c r="L51" s="330">
        <v>0.16</v>
      </c>
      <c r="M51" s="330">
        <v>0.03</v>
      </c>
      <c r="N51" s="330">
        <v>4.8587045577587276</v>
      </c>
      <c r="O51" s="330">
        <v>2.29</v>
      </c>
      <c r="P51" s="330">
        <v>0.31</v>
      </c>
      <c r="Q51" s="330">
        <v>2.68</v>
      </c>
      <c r="R51" s="330">
        <v>0.6</v>
      </c>
      <c r="S51" s="330">
        <v>1.04</v>
      </c>
      <c r="T51" s="330">
        <v>0</v>
      </c>
      <c r="U51" s="330">
        <v>2.101172636249389E-2</v>
      </c>
      <c r="V51" s="269">
        <v>2.101172636249389E-2</v>
      </c>
      <c r="W51" s="269">
        <v>5.2529315906234731E-4</v>
      </c>
      <c r="X51" s="353">
        <v>0</v>
      </c>
      <c r="Y51" s="278">
        <v>0</v>
      </c>
      <c r="Z51" s="283"/>
      <c r="AA51" s="366"/>
    </row>
    <row r="52" spans="1:27" ht="18" customHeight="1">
      <c r="A52" s="20"/>
      <c r="B52" s="2" t="s">
        <v>48</v>
      </c>
      <c r="C52" s="30">
        <v>0</v>
      </c>
      <c r="D52" s="321">
        <v>0.11942294831374796</v>
      </c>
      <c r="E52" s="300">
        <v>40</v>
      </c>
      <c r="F52" s="119">
        <v>2.5</v>
      </c>
      <c r="G52" s="327">
        <v>1</v>
      </c>
      <c r="H52" s="119">
        <v>13</v>
      </c>
      <c r="I52" s="310">
        <v>246.71669904112483</v>
      </c>
      <c r="J52" s="327">
        <v>1.5</v>
      </c>
      <c r="K52" s="122">
        <v>0</v>
      </c>
      <c r="L52" s="330">
        <v>0.16</v>
      </c>
      <c r="M52" s="330">
        <v>0.03</v>
      </c>
      <c r="N52" s="330">
        <v>4.8587045577587276</v>
      </c>
      <c r="O52" s="330">
        <v>2.29</v>
      </c>
      <c r="P52" s="330">
        <v>0.31</v>
      </c>
      <c r="Q52" s="330">
        <v>2.68</v>
      </c>
      <c r="R52" s="330">
        <v>0.6</v>
      </c>
      <c r="S52" s="330">
        <v>1.04</v>
      </c>
      <c r="T52" s="330">
        <v>0</v>
      </c>
      <c r="U52" s="330">
        <v>2.101172636249389E-2</v>
      </c>
      <c r="V52" s="269">
        <v>2.101172636249389E-2</v>
      </c>
      <c r="W52" s="269">
        <v>5.2529315906234731E-4</v>
      </c>
      <c r="X52" s="353">
        <v>0</v>
      </c>
      <c r="Y52" s="278">
        <v>0</v>
      </c>
      <c r="Z52" s="283"/>
      <c r="AA52" s="366"/>
    </row>
    <row r="53" spans="1:27" ht="18" customHeight="1">
      <c r="A53" s="20"/>
      <c r="B53" s="2" t="s">
        <v>53</v>
      </c>
      <c r="C53" s="29">
        <v>431.87738277279982</v>
      </c>
      <c r="D53" s="321">
        <v>0.21713263329772359</v>
      </c>
      <c r="E53" s="300">
        <v>20</v>
      </c>
      <c r="F53" s="119">
        <v>2</v>
      </c>
      <c r="G53" s="327">
        <v>1</v>
      </c>
      <c r="H53" s="119">
        <v>10</v>
      </c>
      <c r="I53" s="310">
        <v>65.591620000000006</v>
      </c>
      <c r="J53" s="327">
        <v>2</v>
      </c>
      <c r="K53" s="122">
        <v>0</v>
      </c>
      <c r="L53" s="330">
        <v>0</v>
      </c>
      <c r="M53" s="330">
        <v>0</v>
      </c>
      <c r="N53" s="330">
        <v>0</v>
      </c>
      <c r="O53" s="330">
        <v>0</v>
      </c>
      <c r="P53" s="330">
        <v>0</v>
      </c>
      <c r="Q53" s="330">
        <v>0</v>
      </c>
      <c r="R53" s="330">
        <v>0</v>
      </c>
      <c r="S53" s="330">
        <v>0</v>
      </c>
      <c r="T53" s="330">
        <v>0</v>
      </c>
      <c r="U53" s="330">
        <v>0.2</v>
      </c>
      <c r="V53" s="269">
        <v>0.2</v>
      </c>
      <c r="W53" s="269">
        <v>5.000000000000001E-3</v>
      </c>
      <c r="X53" s="353">
        <v>2.1713263329772359E-2</v>
      </c>
      <c r="Y53" s="278">
        <v>0</v>
      </c>
      <c r="Z53" s="283"/>
      <c r="AA53" s="366"/>
    </row>
    <row r="54" spans="1:27" ht="18" customHeight="1">
      <c r="A54" s="20"/>
      <c r="B54" s="2" t="s">
        <v>54</v>
      </c>
      <c r="C54" s="29">
        <v>0</v>
      </c>
      <c r="D54" s="321">
        <v>0.39124379724182257</v>
      </c>
      <c r="E54" s="300">
        <v>20</v>
      </c>
      <c r="F54" s="119">
        <v>2.5</v>
      </c>
      <c r="G54" s="327">
        <v>1</v>
      </c>
      <c r="H54" s="119">
        <v>13</v>
      </c>
      <c r="I54" s="310">
        <v>56.069992929332656</v>
      </c>
      <c r="J54" s="327">
        <v>2</v>
      </c>
      <c r="K54" s="122">
        <v>0</v>
      </c>
      <c r="L54" s="330">
        <v>0</v>
      </c>
      <c r="M54" s="330">
        <v>0</v>
      </c>
      <c r="N54" s="330">
        <v>0</v>
      </c>
      <c r="O54" s="330">
        <v>0</v>
      </c>
      <c r="P54" s="330">
        <v>0</v>
      </c>
      <c r="Q54" s="330">
        <v>0</v>
      </c>
      <c r="R54" s="330">
        <v>0</v>
      </c>
      <c r="S54" s="330">
        <v>0</v>
      </c>
      <c r="T54" s="330">
        <v>0</v>
      </c>
      <c r="U54" s="330">
        <v>5</v>
      </c>
      <c r="V54" s="269">
        <v>5</v>
      </c>
      <c r="W54" s="269">
        <v>0.125</v>
      </c>
      <c r="X54" s="353">
        <v>0</v>
      </c>
      <c r="Y54" s="278">
        <v>0</v>
      </c>
      <c r="Z54" s="283"/>
      <c r="AA54" s="366"/>
    </row>
    <row r="55" spans="1:27" ht="18" customHeight="1">
      <c r="A55" s="20"/>
      <c r="B55" s="2" t="s">
        <v>33</v>
      </c>
      <c r="C55" s="29">
        <v>0</v>
      </c>
      <c r="D55" s="300">
        <v>68.897854796393062</v>
      </c>
      <c r="E55" s="300">
        <v>40</v>
      </c>
      <c r="F55" s="119">
        <v>3</v>
      </c>
      <c r="G55" s="327">
        <v>7</v>
      </c>
      <c r="H55" s="119">
        <v>60</v>
      </c>
      <c r="I55" s="310">
        <v>71.900000000000006</v>
      </c>
      <c r="J55" s="327">
        <v>2</v>
      </c>
      <c r="K55" s="122">
        <v>0</v>
      </c>
      <c r="L55" s="330">
        <v>0.77384120744887253</v>
      </c>
      <c r="M55" s="330">
        <v>0.14330392730534675</v>
      </c>
      <c r="N55" s="330">
        <v>4.7576903865375133</v>
      </c>
      <c r="O55" s="330">
        <v>4.7863511719985814</v>
      </c>
      <c r="P55" s="330">
        <v>0.77384120744887253</v>
      </c>
      <c r="Q55" s="330">
        <v>28.71810703199149</v>
      </c>
      <c r="R55" s="330">
        <v>2.5221491205741033</v>
      </c>
      <c r="S55" s="330">
        <v>1.0317882765984967</v>
      </c>
      <c r="T55" s="330">
        <v>3.4817186097302617</v>
      </c>
      <c r="U55" s="330">
        <v>10</v>
      </c>
      <c r="V55" s="269">
        <v>2.5</v>
      </c>
      <c r="W55" s="269">
        <v>0.83750000000000002</v>
      </c>
      <c r="X55" s="353">
        <v>2.2965951598797683E-2</v>
      </c>
      <c r="Y55" s="359">
        <v>3.6338697129754738E-4</v>
      </c>
      <c r="Z55" s="283"/>
      <c r="AA55" s="366"/>
    </row>
    <row r="56" spans="1:27" ht="18" customHeight="1">
      <c r="A56" s="20"/>
      <c r="B56" s="2" t="s">
        <v>55</v>
      </c>
      <c r="C56" s="29">
        <v>0</v>
      </c>
      <c r="D56" s="300">
        <v>22.747228250237711</v>
      </c>
      <c r="E56" s="300">
        <v>40</v>
      </c>
      <c r="F56" s="119">
        <v>3</v>
      </c>
      <c r="G56" s="327">
        <v>7</v>
      </c>
      <c r="H56" s="119">
        <v>60</v>
      </c>
      <c r="I56" s="310">
        <v>73.338305545600491</v>
      </c>
      <c r="J56" s="327">
        <v>2</v>
      </c>
      <c r="K56" s="122">
        <v>0</v>
      </c>
      <c r="L56" s="330">
        <v>0.77384120744887253</v>
      </c>
      <c r="M56" s="330">
        <v>0.14330392730534675</v>
      </c>
      <c r="N56" s="330">
        <v>4.7576903865375133</v>
      </c>
      <c r="O56" s="330">
        <v>4.7863511719985814</v>
      </c>
      <c r="P56" s="330">
        <v>0.77384120744887253</v>
      </c>
      <c r="Q56" s="330">
        <v>28.71810703199149</v>
      </c>
      <c r="R56" s="330">
        <v>2.5221491205741033</v>
      </c>
      <c r="S56" s="330">
        <v>1.0317882765984967</v>
      </c>
      <c r="T56" s="330">
        <v>3.4817186097302617</v>
      </c>
      <c r="U56" s="330">
        <v>5</v>
      </c>
      <c r="V56" s="269">
        <v>1.25</v>
      </c>
      <c r="W56" s="269">
        <v>0.41875000000000001</v>
      </c>
      <c r="X56" s="353">
        <v>2.2965951598797683E-2</v>
      </c>
      <c r="Y56" s="359">
        <v>3.6338697129754738E-4</v>
      </c>
      <c r="Z56" s="283"/>
      <c r="AA56" s="366"/>
    </row>
    <row r="57" spans="1:27" ht="18" customHeight="1">
      <c r="A57" s="20"/>
      <c r="B57" s="2" t="s">
        <v>56</v>
      </c>
      <c r="C57" s="29">
        <v>0</v>
      </c>
      <c r="D57" s="300">
        <v>69.566766008008528</v>
      </c>
      <c r="E57" s="300">
        <v>40</v>
      </c>
      <c r="F57" s="119">
        <v>3</v>
      </c>
      <c r="G57" s="327">
        <v>7</v>
      </c>
      <c r="H57" s="119">
        <v>60</v>
      </c>
      <c r="I57" s="310">
        <v>71.900000000000006</v>
      </c>
      <c r="J57" s="327">
        <v>2</v>
      </c>
      <c r="K57" s="122">
        <v>0</v>
      </c>
      <c r="L57" s="330">
        <v>0.77384120744887253</v>
      </c>
      <c r="M57" s="330">
        <v>0.14330392730534675</v>
      </c>
      <c r="N57" s="330">
        <v>4.7576903865375133</v>
      </c>
      <c r="O57" s="330">
        <v>4.7863511719985814</v>
      </c>
      <c r="P57" s="330">
        <v>0.77384120744887253</v>
      </c>
      <c r="Q57" s="330">
        <v>28.71810703199149</v>
      </c>
      <c r="R57" s="330">
        <v>2.5221491205741033</v>
      </c>
      <c r="S57" s="330">
        <v>1.0317882765984967</v>
      </c>
      <c r="T57" s="330">
        <v>3.4817186097302617</v>
      </c>
      <c r="U57" s="330">
        <v>5</v>
      </c>
      <c r="V57" s="269">
        <v>1.25</v>
      </c>
      <c r="W57" s="269">
        <v>0.41875000000000001</v>
      </c>
      <c r="X57" s="353">
        <v>2.3188922002669508E-2</v>
      </c>
      <c r="Y57" s="359">
        <v>3.6338697129754738E-4</v>
      </c>
      <c r="Z57" s="283"/>
      <c r="AA57" s="366"/>
    </row>
    <row r="58" spans="1:27" ht="18" customHeight="1">
      <c r="A58" s="20"/>
      <c r="B58" s="2" t="s">
        <v>44</v>
      </c>
      <c r="C58" s="29">
        <v>0</v>
      </c>
      <c r="D58" s="300">
        <v>0.39124379724182257</v>
      </c>
      <c r="E58" s="300">
        <v>20</v>
      </c>
      <c r="F58" s="119">
        <v>3</v>
      </c>
      <c r="G58" s="327">
        <v>3</v>
      </c>
      <c r="H58" s="119">
        <v>15</v>
      </c>
      <c r="I58" s="310">
        <v>89.110733352873567</v>
      </c>
      <c r="J58" s="327">
        <v>2</v>
      </c>
      <c r="K58" s="122">
        <v>0</v>
      </c>
      <c r="L58" s="330">
        <v>0.77384120744887253</v>
      </c>
      <c r="M58" s="330">
        <v>0.14330392730534675</v>
      </c>
      <c r="N58" s="330">
        <v>4.7576903865375133</v>
      </c>
      <c r="O58" s="330">
        <v>4.7863511719985814</v>
      </c>
      <c r="P58" s="330">
        <v>0.77384120744887253</v>
      </c>
      <c r="Q58" s="330">
        <v>28.71810703199149</v>
      </c>
      <c r="R58" s="330">
        <v>2.5221491205741033</v>
      </c>
      <c r="S58" s="330">
        <v>1.0317882765984967</v>
      </c>
      <c r="T58" s="330">
        <v>3.4817186097302617</v>
      </c>
      <c r="U58" s="330">
        <v>5</v>
      </c>
      <c r="V58" s="269">
        <v>1.25</v>
      </c>
      <c r="W58" s="269">
        <v>0.41875000000000001</v>
      </c>
      <c r="X58" s="353">
        <v>2.3416264375244699E-2</v>
      </c>
      <c r="Y58" s="359">
        <v>3.6338697129754738E-4</v>
      </c>
      <c r="Z58" s="283"/>
      <c r="AA58" s="366"/>
    </row>
    <row r="59" spans="1:27" ht="18" customHeight="1">
      <c r="A59" s="20"/>
      <c r="B59" s="2" t="s">
        <v>41</v>
      </c>
      <c r="C59" s="29">
        <v>85.627692158559967</v>
      </c>
      <c r="D59" s="300">
        <v>39.994909135400064</v>
      </c>
      <c r="E59" s="300">
        <v>23</v>
      </c>
      <c r="F59" s="119">
        <v>3</v>
      </c>
      <c r="G59" s="327">
        <v>3</v>
      </c>
      <c r="H59" s="119">
        <v>10</v>
      </c>
      <c r="I59" s="310">
        <v>76.475036910814254</v>
      </c>
      <c r="J59" s="327">
        <v>2</v>
      </c>
      <c r="K59" s="122">
        <v>0</v>
      </c>
      <c r="L59" s="330">
        <v>0.77384120744887253</v>
      </c>
      <c r="M59" s="330">
        <v>0.14330392730534675</v>
      </c>
      <c r="N59" s="330">
        <v>4.7576903865375133</v>
      </c>
      <c r="O59" s="330">
        <v>4.7863511719985814</v>
      </c>
      <c r="P59" s="330">
        <v>0.77384120744887253</v>
      </c>
      <c r="Q59" s="330">
        <v>28.71810703199149</v>
      </c>
      <c r="R59" s="330">
        <v>2.5221491205741033</v>
      </c>
      <c r="S59" s="330">
        <v>1.0317882765984967</v>
      </c>
      <c r="T59" s="330">
        <v>3.4817186097302617</v>
      </c>
      <c r="U59" s="330">
        <v>10</v>
      </c>
      <c r="V59" s="269">
        <v>7.6587301587301591</v>
      </c>
      <c r="W59" s="269">
        <v>0.42888888888888893</v>
      </c>
      <c r="X59" s="353">
        <v>2.4372030268111831E-2</v>
      </c>
      <c r="Y59" s="359">
        <v>3.6338697129754738E-4</v>
      </c>
      <c r="Z59" s="284">
        <v>0</v>
      </c>
      <c r="AA59" s="366"/>
    </row>
    <row r="60" spans="1:27" ht="18" customHeight="1">
      <c r="A60" s="20"/>
      <c r="B60" s="2" t="s">
        <v>42</v>
      </c>
      <c r="C60" s="29">
        <v>404.14958834543995</v>
      </c>
      <c r="D60" s="300">
        <v>39.994909135400064</v>
      </c>
      <c r="E60" s="300">
        <v>23</v>
      </c>
      <c r="F60" s="119">
        <v>3</v>
      </c>
      <c r="G60" s="327">
        <v>3</v>
      </c>
      <c r="H60" s="119">
        <v>10</v>
      </c>
      <c r="I60" s="310">
        <v>76.475036910814254</v>
      </c>
      <c r="J60" s="327">
        <v>2</v>
      </c>
      <c r="K60" s="122">
        <v>0</v>
      </c>
      <c r="L60" s="330">
        <v>0.77384120744887253</v>
      </c>
      <c r="M60" s="330">
        <v>0.14330392730534675</v>
      </c>
      <c r="N60" s="330">
        <v>4.7576903865375133</v>
      </c>
      <c r="O60" s="330">
        <v>4.7863511719985814</v>
      </c>
      <c r="P60" s="330">
        <v>0.77384120744887253</v>
      </c>
      <c r="Q60" s="330">
        <v>28.71810703199149</v>
      </c>
      <c r="R60" s="330">
        <v>2.5221491205741033</v>
      </c>
      <c r="S60" s="330">
        <v>1.0317882765984967</v>
      </c>
      <c r="T60" s="330">
        <v>3.4817186097302617</v>
      </c>
      <c r="U60" s="330">
        <v>10</v>
      </c>
      <c r="V60" s="269">
        <v>7.6587301587301591</v>
      </c>
      <c r="W60" s="269">
        <v>0.42888888888888893</v>
      </c>
      <c r="X60" s="353">
        <v>2.4372030268111831E-2</v>
      </c>
      <c r="Y60" s="359">
        <v>3.6338697129754738E-4</v>
      </c>
      <c r="Z60" s="284">
        <v>0</v>
      </c>
      <c r="AA60" s="366"/>
    </row>
    <row r="61" spans="1:27" ht="18" customHeight="1">
      <c r="A61" s="20"/>
      <c r="B61" s="2" t="s">
        <v>34</v>
      </c>
      <c r="C61" s="29">
        <v>0</v>
      </c>
      <c r="D61" s="300">
        <v>86.329842154516598</v>
      </c>
      <c r="E61" s="300">
        <v>23</v>
      </c>
      <c r="F61" s="119">
        <v>1.5</v>
      </c>
      <c r="G61" s="327">
        <v>1.5</v>
      </c>
      <c r="H61" s="119">
        <v>9</v>
      </c>
      <c r="I61" s="310">
        <v>93.879562798083015</v>
      </c>
      <c r="J61" s="327">
        <v>2</v>
      </c>
      <c r="K61" s="122">
        <v>0</v>
      </c>
      <c r="L61" s="330">
        <v>0.77384120744887253</v>
      </c>
      <c r="M61" s="330">
        <v>0.14330392730534675</v>
      </c>
      <c r="N61" s="330">
        <v>4.7576903865375133</v>
      </c>
      <c r="O61" s="330">
        <v>4.7863511719985814</v>
      </c>
      <c r="P61" s="330">
        <v>0.77384120744887253</v>
      </c>
      <c r="Q61" s="330">
        <v>28.71810703199149</v>
      </c>
      <c r="R61" s="330">
        <v>2.5221491205741033</v>
      </c>
      <c r="S61" s="330">
        <v>1.0317882765984967</v>
      </c>
      <c r="T61" s="330">
        <v>3.4817186097302617</v>
      </c>
      <c r="U61" s="330">
        <v>10</v>
      </c>
      <c r="V61" s="269">
        <v>4.4155844155844157</v>
      </c>
      <c r="W61" s="269">
        <v>0.14571428571428571</v>
      </c>
      <c r="X61" s="353">
        <v>2.8776614051505531E-2</v>
      </c>
      <c r="Y61" s="359">
        <v>3.6338697129754738E-4</v>
      </c>
      <c r="Z61" s="283"/>
      <c r="AA61" s="366"/>
    </row>
    <row r="62" spans="1:27" ht="18" customHeight="1">
      <c r="A62" s="21"/>
      <c r="B62" s="2" t="s">
        <v>187</v>
      </c>
      <c r="C62" s="29">
        <v>50632.713881199139</v>
      </c>
      <c r="D62" s="321">
        <v>0.11309788874649562</v>
      </c>
      <c r="E62" s="300">
        <v>20</v>
      </c>
      <c r="F62" s="119">
        <v>15</v>
      </c>
      <c r="G62" s="326">
        <v>152.25178808134029</v>
      </c>
      <c r="H62" s="119">
        <v>10</v>
      </c>
      <c r="I62" s="310">
        <v>52.110890092592719</v>
      </c>
      <c r="J62" s="326">
        <v>3.0060830237289413</v>
      </c>
      <c r="K62" s="122">
        <v>7.2996284747288516E-3</v>
      </c>
      <c r="L62" s="327"/>
      <c r="M62" s="327"/>
      <c r="N62" s="327"/>
      <c r="O62" s="327"/>
      <c r="P62" s="327"/>
      <c r="Q62" s="327"/>
      <c r="R62" s="327"/>
      <c r="S62" s="327"/>
      <c r="T62" s="327"/>
      <c r="U62" s="330">
        <v>0.3</v>
      </c>
      <c r="V62" s="269">
        <v>0.25741935483870965</v>
      </c>
      <c r="W62" s="269">
        <v>8.4948387096774186E-3</v>
      </c>
      <c r="X62" s="272">
        <v>9.5538358650998391E-3</v>
      </c>
      <c r="Y62" s="465">
        <v>3.6557752937804535E-3</v>
      </c>
      <c r="Z62" s="466">
        <v>3.4999999999999999E-6</v>
      </c>
      <c r="AA62" s="467">
        <v>5.7323015190599033E-6</v>
      </c>
    </row>
    <row r="63" spans="1:27" s="35" customFormat="1" ht="15.5">
      <c r="A63" s="46"/>
      <c r="B63" s="469" t="s">
        <v>65</v>
      </c>
      <c r="C63" s="470"/>
      <c r="D63" s="471">
        <f>D3/$C3*1000</f>
        <v>1.5611954634415199</v>
      </c>
      <c r="E63" s="453">
        <f>E3/$C3*1000</f>
        <v>19.069912554303574</v>
      </c>
      <c r="F63" s="454">
        <f t="shared" ref="F63:AA63" si="13">F3/$C3*1000</f>
        <v>5.8148064342468331</v>
      </c>
      <c r="G63" s="453">
        <f t="shared" si="13"/>
        <v>28.809809708665931</v>
      </c>
      <c r="H63" s="454">
        <f t="shared" si="13"/>
        <v>16.899192584454212</v>
      </c>
      <c r="I63" s="472">
        <f>I3/$C3</f>
        <v>75.350907583804187</v>
      </c>
      <c r="J63" s="453">
        <f t="shared" si="13"/>
        <v>1.3488149934237201</v>
      </c>
      <c r="K63" s="456">
        <f t="shared" si="13"/>
        <v>1.3012229384268632E-3</v>
      </c>
      <c r="L63" s="471">
        <f t="shared" si="13"/>
        <v>0.32836216327262091</v>
      </c>
      <c r="M63" s="453">
        <f t="shared" si="13"/>
        <v>6.1159493021805997E-2</v>
      </c>
      <c r="N63" s="453">
        <f t="shared" si="13"/>
        <v>5.6983244369564314</v>
      </c>
      <c r="O63" s="453">
        <f t="shared" si="13"/>
        <v>3.2657468519930481</v>
      </c>
      <c r="P63" s="453">
        <f t="shared" si="13"/>
        <v>0.47079459165748827</v>
      </c>
      <c r="Q63" s="453">
        <f t="shared" si="13"/>
        <v>9.0924633923807381</v>
      </c>
      <c r="R63" s="453">
        <f t="shared" si="13"/>
        <v>1.1447746428085224</v>
      </c>
      <c r="S63" s="453">
        <f t="shared" si="13"/>
        <v>1.222777156351208</v>
      </c>
      <c r="T63" s="453">
        <f t="shared" si="13"/>
        <v>0.79382484379486107</v>
      </c>
      <c r="U63" s="453">
        <f t="shared" si="13"/>
        <v>2.5695916194885107</v>
      </c>
      <c r="V63" s="473">
        <f t="shared" si="13"/>
        <v>2.0592105585149287</v>
      </c>
      <c r="W63" s="473">
        <f t="shared" si="13"/>
        <v>0.10124414084118613</v>
      </c>
      <c r="X63" s="474">
        <f t="shared" si="13"/>
        <v>7.5537589250741282E-3</v>
      </c>
      <c r="Y63" s="474">
        <f t="shared" si="13"/>
        <v>0.73452557886338632</v>
      </c>
      <c r="Z63" s="473">
        <f t="shared" si="13"/>
        <v>6.239057645551191E-4</v>
      </c>
      <c r="AA63" s="475">
        <f t="shared" si="13"/>
        <v>1.0218331319741538E-3</v>
      </c>
    </row>
    <row r="66" spans="2:2">
      <c r="B66" s="296" t="s">
        <v>192</v>
      </c>
    </row>
    <row r="67" spans="2:2">
      <c r="B67" s="243" t="s">
        <v>193</v>
      </c>
    </row>
    <row r="68" spans="2:2">
      <c r="B68" s="246" t="s">
        <v>194</v>
      </c>
    </row>
  </sheetData>
  <mergeCells count="4">
    <mergeCell ref="D1:K1"/>
    <mergeCell ref="Y1:AA1"/>
    <mergeCell ref="L1:T1"/>
    <mergeCell ref="U1:W1"/>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D53"/>
  <sheetViews>
    <sheetView topLeftCell="J11" zoomScale="90" zoomScaleNormal="90" workbookViewId="0">
      <selection activeCell="X44" sqref="X44:AC45"/>
    </sheetView>
  </sheetViews>
  <sheetFormatPr defaultColWidth="9.08984375" defaultRowHeight="14.5"/>
  <cols>
    <col min="3" max="3" width="33.08984375" customWidth="1"/>
    <col min="4" max="4" width="14.453125" customWidth="1"/>
    <col min="5" max="5" width="12" customWidth="1"/>
    <col min="6" max="7" width="9.453125" bestFit="1" customWidth="1"/>
    <col min="8" max="26" width="13.6328125" customWidth="1"/>
    <col min="27" max="30" width="12.54296875" customWidth="1"/>
  </cols>
  <sheetData>
    <row r="1" spans="1:30" ht="15.5">
      <c r="A1" s="128"/>
      <c r="B1" s="128"/>
      <c r="C1" s="128"/>
      <c r="D1" s="197" t="s">
        <v>178</v>
      </c>
      <c r="E1" s="198" t="s">
        <v>179</v>
      </c>
      <c r="F1" s="586" t="s">
        <v>180</v>
      </c>
      <c r="G1" s="587"/>
      <c r="H1" s="587"/>
      <c r="I1" s="587"/>
      <c r="J1" s="587"/>
      <c r="K1" s="587"/>
      <c r="L1" s="587"/>
      <c r="M1" s="588"/>
      <c r="N1" s="589" t="s">
        <v>182</v>
      </c>
      <c r="O1" s="590"/>
      <c r="P1" s="590"/>
      <c r="Q1" s="590"/>
      <c r="R1" s="590"/>
      <c r="S1" s="590"/>
      <c r="T1" s="590"/>
      <c r="U1" s="590"/>
      <c r="V1" s="590"/>
      <c r="W1" s="590"/>
      <c r="X1" s="590"/>
      <c r="Y1" s="590"/>
      <c r="Z1" s="590"/>
      <c r="AA1" s="590"/>
      <c r="AB1" s="590"/>
      <c r="AC1" s="590"/>
      <c r="AD1" s="4"/>
    </row>
    <row r="2" spans="1:30">
      <c r="A2" s="199" t="s">
        <v>110</v>
      </c>
      <c r="B2" s="200" t="s">
        <v>111</v>
      </c>
      <c r="C2" s="201"/>
      <c r="D2" s="202"/>
      <c r="E2" s="199"/>
      <c r="F2" s="223" t="s">
        <v>1</v>
      </c>
      <c r="G2" s="203" t="s">
        <v>2</v>
      </c>
      <c r="H2" s="203" t="s">
        <v>3</v>
      </c>
      <c r="I2" s="203" t="s">
        <v>4</v>
      </c>
      <c r="J2" s="203" t="s">
        <v>5</v>
      </c>
      <c r="K2" s="203" t="s">
        <v>6</v>
      </c>
      <c r="L2" s="203" t="s">
        <v>7</v>
      </c>
      <c r="M2" s="204" t="s">
        <v>8</v>
      </c>
      <c r="N2" s="6" t="s">
        <v>18</v>
      </c>
      <c r="O2" s="6" t="s">
        <v>106</v>
      </c>
      <c r="P2" s="6" t="s">
        <v>184</v>
      </c>
      <c r="Q2" s="203" t="s">
        <v>20</v>
      </c>
      <c r="R2" s="203" t="s">
        <v>183</v>
      </c>
      <c r="S2" s="203" t="s">
        <v>21</v>
      </c>
      <c r="T2" s="203" t="s">
        <v>22</v>
      </c>
      <c r="U2" s="203" t="s">
        <v>9</v>
      </c>
      <c r="V2" s="203" t="s">
        <v>10</v>
      </c>
      <c r="W2" s="203" t="s">
        <v>11</v>
      </c>
      <c r="X2" s="203" t="s">
        <v>12</v>
      </c>
      <c r="Y2" s="203" t="s">
        <v>13</v>
      </c>
      <c r="Z2" s="203" t="s">
        <v>14</v>
      </c>
      <c r="AA2" s="203" t="s">
        <v>15</v>
      </c>
      <c r="AB2" s="203" t="s">
        <v>16</v>
      </c>
      <c r="AC2" s="203" t="s">
        <v>17</v>
      </c>
      <c r="AD2" s="4"/>
    </row>
    <row r="3" spans="1:30" ht="15.5">
      <c r="A3" s="370" t="s">
        <v>112</v>
      </c>
      <c r="B3" s="371"/>
      <c r="C3" s="372" t="s">
        <v>113</v>
      </c>
      <c r="D3" s="189">
        <v>2016926</v>
      </c>
      <c r="E3" s="206" t="s">
        <v>181</v>
      </c>
      <c r="F3" s="127"/>
      <c r="G3" s="128"/>
      <c r="H3" s="128"/>
      <c r="I3" s="128"/>
      <c r="J3" s="128"/>
      <c r="K3" s="128"/>
      <c r="L3" s="128"/>
      <c r="M3" s="207"/>
      <c r="N3" s="217"/>
      <c r="O3" s="201"/>
      <c r="P3" s="201"/>
      <c r="Q3" s="201"/>
      <c r="R3" s="201"/>
      <c r="S3" s="201"/>
      <c r="T3" s="201"/>
      <c r="U3" s="201"/>
      <c r="V3" s="201"/>
      <c r="W3" s="201"/>
      <c r="X3" s="201"/>
      <c r="Y3" s="201"/>
      <c r="Z3" s="201"/>
      <c r="AA3" s="201"/>
      <c r="AB3" s="201"/>
      <c r="AC3" s="201"/>
      <c r="AD3" s="4"/>
    </row>
    <row r="4" spans="1:30" ht="15.5">
      <c r="A4" s="370"/>
      <c r="B4" s="371"/>
      <c r="C4" s="373" t="s">
        <v>114</v>
      </c>
      <c r="D4" s="190">
        <v>0</v>
      </c>
      <c r="E4" s="205"/>
      <c r="F4" s="417">
        <v>0.3</v>
      </c>
      <c r="G4" s="418">
        <v>0.1</v>
      </c>
      <c r="H4" s="476">
        <v>2.5935704210366852E-4</v>
      </c>
      <c r="I4" s="476">
        <v>2.5935704210366852E-4</v>
      </c>
      <c r="J4" s="437">
        <v>0.18889660503529182</v>
      </c>
      <c r="K4" s="418"/>
      <c r="L4" s="437">
        <v>1.3071702531535314E-3</v>
      </c>
      <c r="M4" s="11"/>
      <c r="N4" s="417">
        <v>15.9</v>
      </c>
      <c r="O4" s="425">
        <v>9.9375</v>
      </c>
      <c r="P4" s="425">
        <v>0.23850000000000002</v>
      </c>
      <c r="Q4" s="395"/>
      <c r="R4" s="395"/>
      <c r="S4" s="395"/>
      <c r="T4" s="395"/>
      <c r="U4" s="429">
        <v>0.1406</v>
      </c>
      <c r="V4" s="418">
        <v>7.9292304025178949E-4</v>
      </c>
      <c r="W4" s="429">
        <v>0.21</v>
      </c>
      <c r="X4" s="429">
        <v>1.06</v>
      </c>
      <c r="Y4" s="429">
        <v>2.6199999999999998E-2</v>
      </c>
      <c r="Z4" s="429">
        <v>0.01</v>
      </c>
      <c r="AA4" s="418">
        <v>0.1</v>
      </c>
      <c r="AB4" s="429">
        <v>4.2999999999999997E-2</v>
      </c>
      <c r="AC4" s="525">
        <v>9.0299999999999994</v>
      </c>
      <c r="AD4" s="4"/>
    </row>
    <row r="5" spans="1:30" ht="15.5">
      <c r="A5" s="370"/>
      <c r="B5" s="371"/>
      <c r="C5" s="373" t="s">
        <v>115</v>
      </c>
      <c r="D5" s="190">
        <v>2016926</v>
      </c>
      <c r="E5" s="205"/>
      <c r="F5" s="417">
        <v>0.2126552982112383</v>
      </c>
      <c r="G5" s="418">
        <v>0.1369608999041115</v>
      </c>
      <c r="H5" s="476">
        <v>2.5935704210366852E-4</v>
      </c>
      <c r="I5" s="476">
        <v>2.5935704210366852E-4</v>
      </c>
      <c r="J5" s="437">
        <v>0.18889660503529182</v>
      </c>
      <c r="K5" s="418">
        <v>682.45004030886059</v>
      </c>
      <c r="L5" s="437">
        <v>1.3071702531535314E-3</v>
      </c>
      <c r="M5" s="11"/>
      <c r="N5" s="417">
        <v>1.2071657490011243</v>
      </c>
      <c r="O5" s="425">
        <v>0.75447859312570265</v>
      </c>
      <c r="P5" s="425">
        <v>1.8107486235016863E-2</v>
      </c>
      <c r="Q5" s="395"/>
      <c r="R5" s="395"/>
      <c r="S5" s="395"/>
      <c r="T5" s="395"/>
      <c r="U5" s="418">
        <v>5.8819395222313242E-3</v>
      </c>
      <c r="V5" s="418">
        <v>7.9292304025178949E-4</v>
      </c>
      <c r="W5" s="429">
        <v>0.21</v>
      </c>
      <c r="X5" s="418">
        <v>1.0398030221281742E-2</v>
      </c>
      <c r="Y5" s="418">
        <v>1.2540159121587349E-3</v>
      </c>
      <c r="Z5" s="418">
        <v>4.569362005523896E-3</v>
      </c>
      <c r="AA5" s="418">
        <v>7.0149590639940274E-3</v>
      </c>
      <c r="AB5" s="418">
        <v>8.2798016923143758E-3</v>
      </c>
      <c r="AC5" s="418">
        <v>0.10122738795186985</v>
      </c>
      <c r="AD5" s="4"/>
    </row>
    <row r="6" spans="1:30" ht="15.5">
      <c r="A6" s="386" t="s">
        <v>116</v>
      </c>
      <c r="B6" s="387"/>
      <c r="C6" s="390" t="s">
        <v>117</v>
      </c>
      <c r="D6" s="189">
        <v>212273.75313174512</v>
      </c>
      <c r="E6" s="206" t="s">
        <v>181</v>
      </c>
      <c r="F6" s="435">
        <v>0.115</v>
      </c>
      <c r="G6" s="436">
        <v>8.7999999999999995E-2</v>
      </c>
      <c r="H6" s="436">
        <v>8.9999999999999993E-3</v>
      </c>
      <c r="I6" s="436">
        <v>8.9999999999999993E-3</v>
      </c>
      <c r="J6" s="436">
        <v>1.2999999999999999E-2</v>
      </c>
      <c r="K6" s="437">
        <v>48.05</v>
      </c>
      <c r="L6" s="436">
        <v>4.0000000000000001E-3</v>
      </c>
      <c r="M6" s="11"/>
      <c r="N6" s="438">
        <v>3.3</v>
      </c>
      <c r="O6" s="425">
        <v>0.98999999999999988</v>
      </c>
      <c r="P6" s="395"/>
      <c r="Q6" s="395"/>
      <c r="R6" s="395"/>
      <c r="S6" s="395"/>
      <c r="T6" s="395"/>
      <c r="U6" s="413"/>
      <c r="V6" s="413"/>
      <c r="W6" s="413"/>
      <c r="X6" s="413"/>
      <c r="Y6" s="413"/>
      <c r="Z6" s="413"/>
      <c r="AA6" s="413"/>
      <c r="AB6" s="413"/>
      <c r="AC6" s="401"/>
      <c r="AD6" s="4"/>
    </row>
    <row r="7" spans="1:30" ht="15.5">
      <c r="A7" s="208" t="s">
        <v>118</v>
      </c>
      <c r="B7" s="209"/>
      <c r="C7" s="226" t="s">
        <v>119</v>
      </c>
      <c r="D7" s="191"/>
      <c r="E7" s="208"/>
      <c r="F7" s="396"/>
      <c r="G7" s="397"/>
      <c r="H7" s="397"/>
      <c r="I7" s="397"/>
      <c r="J7" s="397"/>
      <c r="K7" s="439"/>
      <c r="L7" s="397"/>
      <c r="M7" s="397"/>
      <c r="N7" s="402"/>
      <c r="O7" s="403"/>
      <c r="P7" s="403"/>
      <c r="Q7" s="403"/>
      <c r="R7" s="403"/>
      <c r="S7" s="403"/>
      <c r="T7" s="403"/>
      <c r="U7" s="403"/>
      <c r="V7" s="403"/>
      <c r="W7" s="403"/>
      <c r="X7" s="403"/>
      <c r="Y7" s="403"/>
      <c r="Z7" s="403"/>
      <c r="AA7" s="403"/>
      <c r="AB7" s="403"/>
      <c r="AC7" s="403"/>
      <c r="AD7" s="4"/>
    </row>
    <row r="8" spans="1:30" ht="15.5">
      <c r="A8" s="210"/>
      <c r="B8" s="210"/>
      <c r="C8" s="2"/>
      <c r="D8" s="192"/>
      <c r="E8" s="211"/>
      <c r="F8" s="11"/>
      <c r="G8" s="11"/>
      <c r="H8" s="11"/>
      <c r="I8" s="11"/>
      <c r="J8" s="11"/>
      <c r="K8" s="440"/>
      <c r="L8" s="11"/>
      <c r="M8" s="42"/>
      <c r="N8" s="401"/>
      <c r="O8" s="401"/>
      <c r="P8" s="401"/>
      <c r="Q8" s="401"/>
      <c r="R8" s="401"/>
      <c r="S8" s="401"/>
      <c r="T8" s="401"/>
      <c r="U8" s="401"/>
      <c r="V8" s="401"/>
      <c r="W8" s="401"/>
      <c r="X8" s="401"/>
      <c r="Y8" s="401"/>
      <c r="Z8" s="401"/>
      <c r="AA8" s="401"/>
      <c r="AB8" s="401"/>
      <c r="AC8" s="401"/>
      <c r="AD8" s="4"/>
    </row>
    <row r="9" spans="1:30" ht="15.5">
      <c r="A9" s="199" t="s">
        <v>120</v>
      </c>
      <c r="B9" s="200" t="s">
        <v>121</v>
      </c>
      <c r="C9" s="227"/>
      <c r="D9" s="193"/>
      <c r="E9" s="199"/>
      <c r="F9" s="398"/>
      <c r="G9" s="399"/>
      <c r="H9" s="399"/>
      <c r="I9" s="399"/>
      <c r="J9" s="399"/>
      <c r="K9" s="441"/>
      <c r="L9" s="399"/>
      <c r="M9" s="399"/>
      <c r="N9" s="442"/>
      <c r="O9" s="404"/>
      <c r="P9" s="404"/>
      <c r="Q9" s="404"/>
      <c r="R9" s="404"/>
      <c r="S9" s="404"/>
      <c r="T9" s="404"/>
      <c r="U9" s="404"/>
      <c r="V9" s="404"/>
      <c r="W9" s="404"/>
      <c r="X9" s="404"/>
      <c r="Y9" s="404"/>
      <c r="Z9" s="404"/>
      <c r="AA9" s="404"/>
      <c r="AB9" s="404"/>
      <c r="AC9" s="404"/>
      <c r="AD9" s="4"/>
    </row>
    <row r="10" spans="1:30" ht="15.5">
      <c r="A10" s="370" t="s">
        <v>122</v>
      </c>
      <c r="B10" s="371"/>
      <c r="C10" s="372" t="s">
        <v>123</v>
      </c>
      <c r="D10" s="194">
        <v>2801280</v>
      </c>
      <c r="E10" s="206" t="s">
        <v>181</v>
      </c>
      <c r="F10" s="400"/>
      <c r="G10" s="210"/>
      <c r="H10" s="210"/>
      <c r="I10" s="210"/>
      <c r="J10" s="210"/>
      <c r="K10" s="3"/>
      <c r="L10" s="210"/>
      <c r="M10" s="210"/>
      <c r="N10" s="405"/>
      <c r="O10" s="406"/>
      <c r="P10" s="406"/>
      <c r="Q10" s="406"/>
      <c r="R10" s="406"/>
      <c r="S10" s="406"/>
      <c r="T10" s="406"/>
      <c r="U10" s="406"/>
      <c r="V10" s="406"/>
      <c r="W10" s="406"/>
      <c r="X10" s="406"/>
      <c r="Y10" s="406"/>
      <c r="Z10" s="406"/>
      <c r="AA10" s="406"/>
      <c r="AB10" s="406"/>
      <c r="AC10" s="406"/>
      <c r="AD10" s="4"/>
    </row>
    <row r="11" spans="1:30" ht="15.5">
      <c r="A11" s="370"/>
      <c r="B11" s="371"/>
      <c r="C11" s="373" t="s">
        <v>114</v>
      </c>
      <c r="D11" s="195"/>
      <c r="E11" s="205"/>
      <c r="F11" s="418"/>
      <c r="G11" s="418"/>
      <c r="H11" s="429">
        <v>0.09</v>
      </c>
      <c r="I11" s="429">
        <v>0.29199999999999998</v>
      </c>
      <c r="J11" s="418"/>
      <c r="K11" s="418"/>
      <c r="L11" s="413"/>
      <c r="M11" s="418">
        <v>1.9908755997258398E-2</v>
      </c>
      <c r="N11" s="417"/>
      <c r="O11" s="425">
        <v>0</v>
      </c>
      <c r="P11" s="425">
        <v>0</v>
      </c>
      <c r="Q11" s="418">
        <v>2.5000000000000001E-2</v>
      </c>
      <c r="R11" s="526"/>
      <c r="S11" s="526">
        <v>1.3927918622836737E-3</v>
      </c>
      <c r="T11" s="527">
        <v>3.2290953551933998E-5</v>
      </c>
      <c r="U11" s="429">
        <v>0.04</v>
      </c>
      <c r="V11" s="418"/>
      <c r="W11" s="429">
        <v>0.03</v>
      </c>
      <c r="X11" s="429">
        <v>0.6</v>
      </c>
      <c r="Y11" s="429">
        <v>0.02</v>
      </c>
      <c r="Z11" s="429">
        <v>2.1999999999999999E-2</v>
      </c>
      <c r="AA11" s="418">
        <v>3.7</v>
      </c>
      <c r="AB11" s="429">
        <v>0.02</v>
      </c>
      <c r="AC11" s="429">
        <v>1</v>
      </c>
      <c r="AD11" s="4"/>
    </row>
    <row r="12" spans="1:30" ht="15.5">
      <c r="A12" s="370"/>
      <c r="B12" s="371"/>
      <c r="C12" s="373" t="s">
        <v>115</v>
      </c>
      <c r="D12" s="195">
        <v>2801280</v>
      </c>
      <c r="E12" s="205"/>
      <c r="F12" s="417">
        <v>0.48422863833676039</v>
      </c>
      <c r="G12" s="418">
        <v>0.68324123257939229</v>
      </c>
      <c r="H12" s="429">
        <v>0.09</v>
      </c>
      <c r="I12" s="429">
        <v>0.29199991614449589</v>
      </c>
      <c r="J12" s="418">
        <v>14.990704249485949</v>
      </c>
      <c r="K12" s="418">
        <v>169.03817605816408</v>
      </c>
      <c r="L12" s="413"/>
      <c r="M12" s="418">
        <v>1.9908755997258398E-2</v>
      </c>
      <c r="N12" s="417">
        <v>13.247573459504659</v>
      </c>
      <c r="O12" s="425">
        <v>10.598058767603728</v>
      </c>
      <c r="P12" s="425">
        <v>1.8016699904926336E-2</v>
      </c>
      <c r="Q12" s="418">
        <v>2.5000000000000001E-2</v>
      </c>
      <c r="R12" s="526">
        <v>6.425633995887594E-5</v>
      </c>
      <c r="S12" s="526">
        <v>1.3927918622836737E-3</v>
      </c>
      <c r="T12" s="527">
        <v>3.2290953551933998E-5</v>
      </c>
      <c r="U12" s="418">
        <v>1.020794175802929E-2</v>
      </c>
      <c r="V12" s="418">
        <v>1.6646650711009004E-3</v>
      </c>
      <c r="W12" s="429">
        <v>0.03</v>
      </c>
      <c r="X12" s="418">
        <v>5.1320363845881629E-2</v>
      </c>
      <c r="Y12" s="418">
        <v>3.8496502907535567E-3</v>
      </c>
      <c r="Z12" s="418">
        <v>2.1836088367227835E-2</v>
      </c>
      <c r="AA12" s="418">
        <v>0.32316671584301165</v>
      </c>
      <c r="AB12" s="418">
        <v>2.4559464010055501E-2</v>
      </c>
      <c r="AC12" s="418">
        <v>0.21415101541761189</v>
      </c>
      <c r="AD12" s="4"/>
    </row>
    <row r="13" spans="1:30" ht="15.5">
      <c r="A13" s="370" t="s">
        <v>124</v>
      </c>
      <c r="B13" s="371"/>
      <c r="C13" s="372" t="s">
        <v>125</v>
      </c>
      <c r="D13" s="194">
        <v>22969107.133685797</v>
      </c>
      <c r="E13" s="206" t="s">
        <v>181</v>
      </c>
      <c r="F13" s="400"/>
      <c r="G13" s="210"/>
      <c r="H13" s="210"/>
      <c r="I13" s="210"/>
      <c r="J13" s="210"/>
      <c r="K13" s="3"/>
      <c r="L13" s="210"/>
      <c r="M13" s="210"/>
      <c r="N13" s="405"/>
      <c r="O13" s="406"/>
      <c r="P13" s="406"/>
      <c r="Q13" s="406"/>
      <c r="R13" s="406"/>
      <c r="S13" s="406"/>
      <c r="T13" s="406"/>
      <c r="U13" s="406"/>
      <c r="V13" s="406"/>
      <c r="W13" s="406"/>
      <c r="X13" s="406"/>
      <c r="Y13" s="406"/>
      <c r="Z13" s="406"/>
      <c r="AA13" s="406"/>
      <c r="AB13" s="406"/>
      <c r="AC13" s="406"/>
      <c r="AD13" s="4"/>
    </row>
    <row r="14" spans="1:30" ht="15.5">
      <c r="A14" s="370"/>
      <c r="B14" s="371"/>
      <c r="C14" s="373" t="s">
        <v>114</v>
      </c>
      <c r="D14" s="195">
        <v>20993364.914685797</v>
      </c>
      <c r="E14" s="205"/>
      <c r="F14" s="417">
        <v>3.5999999999999997E-2</v>
      </c>
      <c r="G14" s="418">
        <v>0.10299999999999999</v>
      </c>
      <c r="H14" s="429">
        <v>0.01</v>
      </c>
      <c r="I14" s="429">
        <v>0.01</v>
      </c>
      <c r="J14" s="429">
        <v>0.05</v>
      </c>
      <c r="K14" s="418">
        <v>253.56748381851045</v>
      </c>
      <c r="L14" s="437">
        <v>5.4999999999999997E-3</v>
      </c>
      <c r="M14" s="413"/>
      <c r="N14" s="417">
        <v>7</v>
      </c>
      <c r="O14" s="425">
        <v>5.4444444444444446</v>
      </c>
      <c r="P14" s="425">
        <v>1.9599999999999999E-2</v>
      </c>
      <c r="Q14" s="395"/>
      <c r="R14" s="395"/>
      <c r="S14" s="395"/>
      <c r="T14" s="395"/>
      <c r="U14" s="429">
        <v>1.0629966732963814E-2</v>
      </c>
      <c r="V14" s="418">
        <v>1.6959889074963989E-2</v>
      </c>
      <c r="W14" s="429">
        <v>9.0351544105794504E-2</v>
      </c>
      <c r="X14" s="429">
        <v>4.7838023422735049E-2</v>
      </c>
      <c r="Y14" s="429">
        <v>1.5941776975047818E-2</v>
      </c>
      <c r="Z14" s="429">
        <v>3.4548978444331344E-2</v>
      </c>
      <c r="AA14" s="429">
        <v>0.11693598031139774</v>
      </c>
      <c r="AB14" s="429"/>
      <c r="AC14" s="429">
        <v>0.11693598031139774</v>
      </c>
      <c r="AD14" s="4"/>
    </row>
    <row r="15" spans="1:30" ht="15.5">
      <c r="A15" s="370"/>
      <c r="B15" s="371"/>
      <c r="C15" s="373" t="s">
        <v>115</v>
      </c>
      <c r="D15" s="212">
        <v>1975742.219</v>
      </c>
      <c r="E15" s="205"/>
      <c r="F15" s="417">
        <v>3.9695225520033503E-2</v>
      </c>
      <c r="G15" s="418">
        <v>0.11584449598440801</v>
      </c>
      <c r="H15" s="418">
        <v>4.7977640896242641E-3</v>
      </c>
      <c r="I15" s="418">
        <v>3.8902505118249653E-3</v>
      </c>
      <c r="J15" s="418">
        <v>0.2723238820765434</v>
      </c>
      <c r="K15" s="418">
        <v>253.56748381851045</v>
      </c>
      <c r="L15" s="437">
        <v>5.4999999999999997E-3</v>
      </c>
      <c r="M15" s="395"/>
      <c r="N15" s="417">
        <v>0.42361322309788962</v>
      </c>
      <c r="O15" s="425">
        <v>0.32947695129835858</v>
      </c>
      <c r="P15" s="425">
        <v>1.1861170246740909E-3</v>
      </c>
      <c r="Q15" s="395"/>
      <c r="R15" s="395"/>
      <c r="S15" s="395"/>
      <c r="T15" s="395"/>
      <c r="U15" s="429">
        <v>1.0629966732963814E-2</v>
      </c>
      <c r="V15" s="418">
        <v>1.6959889074963989E-2</v>
      </c>
      <c r="W15" s="429">
        <v>9.0351544105794504E-2</v>
      </c>
      <c r="X15" s="429">
        <v>4.7838023422735049E-2</v>
      </c>
      <c r="Y15" s="429">
        <v>1.5941776975047818E-2</v>
      </c>
      <c r="Z15" s="429">
        <v>3.4548978444331344E-2</v>
      </c>
      <c r="AA15" s="429">
        <v>0.11693598031139774</v>
      </c>
      <c r="AB15" s="429"/>
      <c r="AC15" s="429">
        <v>0.11693598031139774</v>
      </c>
      <c r="AD15" s="4"/>
    </row>
    <row r="16" spans="1:30" ht="15.5">
      <c r="A16" s="375" t="s">
        <v>126</v>
      </c>
      <c r="B16" s="376"/>
      <c r="C16" s="377" t="s">
        <v>127</v>
      </c>
      <c r="D16" s="194">
        <v>571307.21437847463</v>
      </c>
      <c r="E16" s="206" t="s">
        <v>181</v>
      </c>
      <c r="F16" s="443">
        <v>0.125</v>
      </c>
      <c r="G16" s="430">
        <v>0.16</v>
      </c>
      <c r="H16" s="430">
        <v>0.09</v>
      </c>
      <c r="I16" s="413"/>
      <c r="J16" s="430">
        <v>9.5</v>
      </c>
      <c r="K16" s="418">
        <v>124.43629175983017</v>
      </c>
      <c r="L16" s="413"/>
      <c r="M16" s="413"/>
      <c r="N16" s="443">
        <v>600</v>
      </c>
      <c r="O16" s="427">
        <v>423.5294117647062</v>
      </c>
      <c r="P16" s="427">
        <v>42.352941176470623</v>
      </c>
      <c r="Q16" s="413"/>
      <c r="R16" s="413"/>
      <c r="S16" s="413"/>
      <c r="T16" s="413"/>
      <c r="U16" s="430">
        <v>0.3</v>
      </c>
      <c r="V16" s="430">
        <v>0.14000000000000001</v>
      </c>
      <c r="W16" s="430">
        <v>1.1000000000000001</v>
      </c>
      <c r="X16" s="430"/>
      <c r="Y16" s="430"/>
      <c r="Z16" s="430">
        <v>0.5</v>
      </c>
      <c r="AA16" s="430">
        <v>7.2</v>
      </c>
      <c r="AB16" s="430"/>
      <c r="AC16" s="430">
        <v>5</v>
      </c>
      <c r="AD16" s="4"/>
    </row>
    <row r="17" spans="1:30" ht="15.5">
      <c r="A17" s="375" t="s">
        <v>128</v>
      </c>
      <c r="B17" s="376"/>
      <c r="C17" s="377" t="s">
        <v>129</v>
      </c>
      <c r="D17" s="194">
        <v>0</v>
      </c>
      <c r="E17" s="206" t="s">
        <v>181</v>
      </c>
      <c r="F17" s="417">
        <v>5.0440712976179997E-2</v>
      </c>
      <c r="G17" s="418">
        <v>8.5142290311999991E-3</v>
      </c>
      <c r="H17" s="418">
        <v>0</v>
      </c>
      <c r="I17" s="436"/>
      <c r="J17" s="418">
        <v>0</v>
      </c>
      <c r="K17" s="422">
        <v>5</v>
      </c>
      <c r="L17" s="436"/>
      <c r="M17" s="413"/>
      <c r="N17" s="417">
        <v>2.8869075390400001</v>
      </c>
      <c r="O17" s="425">
        <v>1.44345376952</v>
      </c>
      <c r="P17" s="425"/>
      <c r="Q17" s="395"/>
      <c r="R17" s="395"/>
      <c r="S17" s="395"/>
      <c r="T17" s="395"/>
      <c r="U17" s="429">
        <v>1.75</v>
      </c>
      <c r="V17" s="418">
        <v>4.5346058887060003E-2</v>
      </c>
      <c r="W17" s="413"/>
      <c r="X17" s="430">
        <v>7</v>
      </c>
      <c r="Y17" s="430">
        <v>3</v>
      </c>
      <c r="Z17" s="413"/>
      <c r="AA17" s="418">
        <v>9.6810605786376591</v>
      </c>
      <c r="AB17" s="395"/>
      <c r="AC17" s="418">
        <v>5.2232093258441612</v>
      </c>
      <c r="AD17" s="4"/>
    </row>
    <row r="18" spans="1:30" ht="15.5">
      <c r="A18" s="375" t="s">
        <v>130</v>
      </c>
      <c r="B18" s="376"/>
      <c r="C18" s="377" t="s">
        <v>131</v>
      </c>
      <c r="D18" s="194">
        <v>0</v>
      </c>
      <c r="E18" s="206" t="s">
        <v>181</v>
      </c>
      <c r="F18" s="417">
        <v>7.1391958421684151E-2</v>
      </c>
      <c r="G18" s="395">
        <v>0.64301620619874644</v>
      </c>
      <c r="H18" s="395"/>
      <c r="I18" s="436"/>
      <c r="J18" s="418">
        <v>6.9529512971664653</v>
      </c>
      <c r="K18" s="422">
        <v>5</v>
      </c>
      <c r="L18" s="436"/>
      <c r="M18" s="422">
        <v>0.11</v>
      </c>
      <c r="N18" s="417">
        <v>20.632789690485932</v>
      </c>
      <c r="O18" s="425">
        <v>16.093575958579027</v>
      </c>
      <c r="P18" s="425"/>
      <c r="Q18" s="413"/>
      <c r="R18" s="413"/>
      <c r="S18" s="413"/>
      <c r="T18" s="413"/>
      <c r="U18" s="413"/>
      <c r="V18" s="418">
        <v>0.10598667060000572</v>
      </c>
      <c r="W18" s="413"/>
      <c r="X18" s="413"/>
      <c r="Y18" s="430">
        <v>6.1199700000000004</v>
      </c>
      <c r="Z18" s="413"/>
      <c r="AA18" s="418">
        <v>0.81910212730632104</v>
      </c>
      <c r="AB18" s="395"/>
      <c r="AC18" s="418">
        <v>3.7142742534870798</v>
      </c>
      <c r="AD18" s="4"/>
    </row>
    <row r="19" spans="1:30" ht="15.5">
      <c r="A19" s="375" t="s">
        <v>132</v>
      </c>
      <c r="B19" s="376"/>
      <c r="C19" s="377" t="s">
        <v>133</v>
      </c>
      <c r="D19" s="196">
        <v>0</v>
      </c>
      <c r="E19" s="205"/>
      <c r="F19" s="221"/>
      <c r="G19" s="11"/>
      <c r="H19" s="11"/>
      <c r="I19" s="413"/>
      <c r="J19" s="11"/>
      <c r="K19" s="11"/>
      <c r="L19" s="413"/>
      <c r="M19" s="11"/>
      <c r="N19" s="444"/>
      <c r="O19" s="407"/>
      <c r="P19" s="407"/>
      <c r="Q19" s="413"/>
      <c r="R19" s="401"/>
      <c r="S19" s="401"/>
      <c r="T19" s="401"/>
      <c r="U19" s="401"/>
      <c r="V19" s="407"/>
      <c r="W19" s="401"/>
      <c r="X19" s="401"/>
      <c r="Y19" s="401"/>
      <c r="Z19" s="401"/>
      <c r="AA19" s="401"/>
      <c r="AB19" s="401"/>
      <c r="AC19" s="401"/>
      <c r="AD19" s="4"/>
    </row>
    <row r="20" spans="1:30" ht="15.5">
      <c r="A20" s="375" t="s">
        <v>134</v>
      </c>
      <c r="B20" s="376"/>
      <c r="C20" s="377" t="s">
        <v>135</v>
      </c>
      <c r="D20" s="194">
        <v>87200</v>
      </c>
      <c r="E20" s="206" t="s">
        <v>181</v>
      </c>
      <c r="F20" s="417">
        <v>2.0501708676743018</v>
      </c>
      <c r="G20" s="418">
        <v>0.1860965795199262</v>
      </c>
      <c r="H20" s="418">
        <v>0</v>
      </c>
      <c r="I20" s="436"/>
      <c r="J20" s="418">
        <v>0</v>
      </c>
      <c r="K20" s="422">
        <v>490</v>
      </c>
      <c r="L20" s="436"/>
      <c r="M20" s="413"/>
      <c r="N20" s="417">
        <v>16.01953148447306</v>
      </c>
      <c r="O20" s="425">
        <v>8.0097657422365298</v>
      </c>
      <c r="P20" s="425"/>
      <c r="Q20" s="422">
        <v>5.4999999999999997E-3</v>
      </c>
      <c r="R20" s="422">
        <v>5.0000000000000001E-3</v>
      </c>
      <c r="S20" s="413"/>
      <c r="T20" s="413"/>
      <c r="U20" s="430">
        <v>8</v>
      </c>
      <c r="V20" s="418">
        <v>0</v>
      </c>
      <c r="W20" s="413"/>
      <c r="X20" s="413"/>
      <c r="Y20" s="413"/>
      <c r="Z20" s="413"/>
      <c r="AA20" s="418">
        <v>21.655301063766416</v>
      </c>
      <c r="AB20" s="413"/>
      <c r="AC20" s="422">
        <v>0</v>
      </c>
      <c r="AD20" s="4"/>
    </row>
    <row r="21" spans="1:30" ht="15.5">
      <c r="A21" s="375" t="s">
        <v>136</v>
      </c>
      <c r="B21" s="376"/>
      <c r="C21" s="377" t="s">
        <v>137</v>
      </c>
      <c r="D21" s="194">
        <v>62000.944287063263</v>
      </c>
      <c r="E21" s="206" t="s">
        <v>181</v>
      </c>
      <c r="F21" s="417">
        <v>9.1986732340646971E-2</v>
      </c>
      <c r="G21" s="418">
        <v>0.53067287037947242</v>
      </c>
      <c r="H21" s="430">
        <v>0</v>
      </c>
      <c r="I21" s="436"/>
      <c r="J21" s="418">
        <v>12.630319548071125</v>
      </c>
      <c r="K21" s="422">
        <v>5</v>
      </c>
      <c r="L21" s="436"/>
      <c r="M21" s="413"/>
      <c r="N21" s="417">
        <v>19.555684746768247</v>
      </c>
      <c r="O21" s="425">
        <v>14.666763560076184</v>
      </c>
      <c r="P21" s="445"/>
      <c r="Q21" s="413"/>
      <c r="R21" s="430">
        <v>6.5000000000000002E-2</v>
      </c>
      <c r="S21" s="413"/>
      <c r="T21" s="413"/>
      <c r="U21" s="430">
        <v>10</v>
      </c>
      <c r="V21" s="418">
        <v>7.3513797989884194E-2</v>
      </c>
      <c r="W21" s="395"/>
      <c r="X21" s="395"/>
      <c r="Y21" s="429">
        <v>0.02</v>
      </c>
      <c r="Z21" s="395"/>
      <c r="AA21" s="418">
        <v>0.76153803744362758</v>
      </c>
      <c r="AB21" s="395"/>
      <c r="AC21" s="418">
        <v>8.3182806046763762</v>
      </c>
      <c r="AD21" s="4"/>
    </row>
    <row r="22" spans="1:30" ht="15.5">
      <c r="A22" s="375" t="s">
        <v>138</v>
      </c>
      <c r="B22" s="376"/>
      <c r="C22" s="377" t="s">
        <v>139</v>
      </c>
      <c r="D22" s="194">
        <v>11600</v>
      </c>
      <c r="E22" s="206" t="s">
        <v>181</v>
      </c>
      <c r="F22" s="414"/>
      <c r="G22" s="430">
        <v>0.2</v>
      </c>
      <c r="H22" s="430">
        <v>2</v>
      </c>
      <c r="I22" s="436"/>
      <c r="J22" s="413"/>
      <c r="K22" s="422">
        <v>5</v>
      </c>
      <c r="L22" s="436"/>
      <c r="M22" s="413"/>
      <c r="N22" s="446">
        <v>1290.6513500000001</v>
      </c>
      <c r="O22" s="427">
        <v>967.98851250000007</v>
      </c>
      <c r="P22" s="427">
        <v>0.96798851250000006</v>
      </c>
      <c r="Q22" s="413"/>
      <c r="R22" s="430">
        <v>0.02</v>
      </c>
      <c r="S22" s="413"/>
      <c r="T22" s="413"/>
      <c r="U22" s="430">
        <v>2</v>
      </c>
      <c r="V22" s="429">
        <v>5</v>
      </c>
      <c r="W22" s="413"/>
      <c r="X22" s="422">
        <v>20</v>
      </c>
      <c r="Y22" s="413"/>
      <c r="Z22" s="430">
        <v>1</v>
      </c>
      <c r="AA22" s="422">
        <v>50</v>
      </c>
      <c r="AB22" s="413"/>
      <c r="AC22" s="422">
        <v>250</v>
      </c>
      <c r="AD22" s="4"/>
    </row>
    <row r="23" spans="1:30" ht="15.5">
      <c r="A23" s="375" t="s">
        <v>140</v>
      </c>
      <c r="B23" s="376"/>
      <c r="C23" s="377" t="s">
        <v>141</v>
      </c>
      <c r="D23" s="194">
        <v>664100</v>
      </c>
      <c r="E23" s="206" t="s">
        <v>181</v>
      </c>
      <c r="F23" s="443">
        <v>1.3</v>
      </c>
      <c r="G23" s="430">
        <v>0.4</v>
      </c>
      <c r="H23" s="430">
        <v>1.25</v>
      </c>
      <c r="I23" s="436"/>
      <c r="J23" s="413"/>
      <c r="K23" s="422">
        <v>5</v>
      </c>
      <c r="L23" s="436"/>
      <c r="M23" s="413"/>
      <c r="N23" s="446">
        <v>335.07499999999999</v>
      </c>
      <c r="O23" s="427">
        <v>258.00774999999999</v>
      </c>
      <c r="P23" s="427">
        <v>5.9341782499999995</v>
      </c>
      <c r="Q23" s="422">
        <v>0.189</v>
      </c>
      <c r="R23" s="422">
        <v>6.8000000000000005E-2</v>
      </c>
      <c r="S23" s="422">
        <v>7.4999999999999997E-3</v>
      </c>
      <c r="T23" s="422">
        <v>8.5000000000000006E-3</v>
      </c>
      <c r="U23" s="413"/>
      <c r="V23" s="413"/>
      <c r="W23" s="413"/>
      <c r="X23" s="413"/>
      <c r="Y23" s="413"/>
      <c r="Z23" s="413"/>
      <c r="AA23" s="413"/>
      <c r="AB23" s="413"/>
      <c r="AC23" s="413"/>
      <c r="AD23" s="4"/>
    </row>
    <row r="24" spans="1:30" ht="15.5">
      <c r="A24" s="386" t="s">
        <v>142</v>
      </c>
      <c r="B24" s="387"/>
      <c r="C24" s="388" t="s">
        <v>143</v>
      </c>
      <c r="D24" s="214"/>
      <c r="E24" s="215"/>
      <c r="M24" s="1"/>
      <c r="N24" s="414"/>
      <c r="O24" s="428"/>
      <c r="P24" s="428"/>
      <c r="Q24" s="413"/>
      <c r="R24" s="413"/>
      <c r="S24" s="413"/>
      <c r="T24" s="413"/>
      <c r="U24" s="413"/>
      <c r="V24" s="413"/>
      <c r="W24" s="413"/>
      <c r="X24" s="413"/>
      <c r="Y24" s="413"/>
      <c r="Z24" s="413"/>
      <c r="AA24" s="413"/>
      <c r="AB24" s="413"/>
      <c r="AC24" s="413"/>
      <c r="AD24" s="4"/>
    </row>
    <row r="25" spans="1:30" ht="15.5">
      <c r="A25" s="386"/>
      <c r="B25" s="387"/>
      <c r="C25" s="389" t="s">
        <v>144</v>
      </c>
      <c r="D25" s="194">
        <v>13083750.361</v>
      </c>
      <c r="E25" s="206" t="s">
        <v>181</v>
      </c>
      <c r="K25" s="418">
        <v>297.84100000000001</v>
      </c>
      <c r="M25" s="1"/>
      <c r="N25" s="414"/>
      <c r="O25" s="428"/>
      <c r="P25" s="428"/>
      <c r="Q25" s="413"/>
      <c r="R25" s="413"/>
      <c r="S25" s="413"/>
      <c r="T25" s="413"/>
      <c r="U25" s="413"/>
      <c r="V25" s="413"/>
      <c r="W25" s="413"/>
      <c r="X25" s="413"/>
      <c r="Y25" s="413"/>
      <c r="Z25" s="413"/>
      <c r="AA25" s="413"/>
      <c r="AB25" s="413"/>
      <c r="AC25" s="413"/>
      <c r="AD25" s="4"/>
    </row>
    <row r="26" spans="1:30" ht="15.5">
      <c r="A26" s="386"/>
      <c r="B26" s="387"/>
      <c r="C26" s="389" t="s">
        <v>145</v>
      </c>
      <c r="D26" s="194">
        <v>19361115</v>
      </c>
      <c r="E26" s="206" t="s">
        <v>181</v>
      </c>
      <c r="F26" s="417">
        <v>0.318</v>
      </c>
      <c r="G26" s="418">
        <v>0.69099999999999995</v>
      </c>
      <c r="H26" s="436">
        <v>2.3E-2</v>
      </c>
      <c r="I26" s="436">
        <v>2.3E-2</v>
      </c>
      <c r="J26" s="418">
        <v>0.876</v>
      </c>
      <c r="K26" s="418"/>
      <c r="L26" s="436">
        <v>5.2999999999999999E-2</v>
      </c>
      <c r="M26" s="419">
        <v>4.1000000000000002E-2</v>
      </c>
      <c r="N26" s="417">
        <v>2.6316938051874246</v>
      </c>
      <c r="O26" s="427">
        <v>1.4620521139930149</v>
      </c>
      <c r="P26" s="427">
        <v>4.3861563419790445E-2</v>
      </c>
      <c r="Q26" s="395"/>
      <c r="R26" s="538">
        <v>5.0000000000000002E-5</v>
      </c>
      <c r="S26" s="413"/>
      <c r="T26" s="429">
        <v>1.1E-5</v>
      </c>
      <c r="U26" s="429">
        <v>1.2E-2</v>
      </c>
      <c r="V26" s="429">
        <v>8.0000000000000002E-3</v>
      </c>
      <c r="W26" s="429">
        <v>0.02</v>
      </c>
      <c r="X26" s="395"/>
      <c r="Y26" s="418">
        <v>0.03</v>
      </c>
      <c r="Z26" s="429">
        <v>0.111</v>
      </c>
      <c r="AA26" s="429">
        <v>6.0000000000000001E-3</v>
      </c>
      <c r="AB26" s="429">
        <v>2E-3</v>
      </c>
      <c r="AC26" s="429">
        <v>0.29299999999999998</v>
      </c>
      <c r="AD26" s="4"/>
    </row>
    <row r="27" spans="1:30" ht="15.5">
      <c r="A27" s="386" t="s">
        <v>146</v>
      </c>
      <c r="B27" s="387"/>
      <c r="C27" s="390" t="s">
        <v>147</v>
      </c>
      <c r="D27" s="194">
        <v>2249695</v>
      </c>
      <c r="E27" s="206" t="s">
        <v>181</v>
      </c>
      <c r="F27" s="400"/>
      <c r="G27" s="210"/>
      <c r="H27" s="210"/>
      <c r="I27" s="210"/>
      <c r="J27" s="210"/>
      <c r="K27" s="210"/>
      <c r="L27" s="210"/>
      <c r="M27" s="210"/>
      <c r="N27" s="405"/>
      <c r="O27" s="426"/>
      <c r="P27" s="426"/>
      <c r="Q27" s="406"/>
      <c r="R27" s="406"/>
      <c r="S27" s="413"/>
      <c r="T27" s="406"/>
      <c r="U27" s="406"/>
      <c r="V27" s="406"/>
      <c r="W27" s="406"/>
      <c r="X27" s="406"/>
      <c r="Y27" s="406"/>
      <c r="Z27" s="406"/>
      <c r="AA27" s="406"/>
      <c r="AB27" s="406"/>
      <c r="AC27" s="406"/>
      <c r="AD27" s="4"/>
    </row>
    <row r="28" spans="1:30" ht="15.5">
      <c r="A28" s="386"/>
      <c r="B28" s="387"/>
      <c r="C28" s="389" t="s">
        <v>114</v>
      </c>
      <c r="D28" s="195">
        <v>2028832</v>
      </c>
      <c r="E28" s="205"/>
      <c r="F28" s="417">
        <v>2.9168177296199419E-2</v>
      </c>
      <c r="G28" s="418">
        <v>1.0445473229835827</v>
      </c>
      <c r="H28" s="437">
        <v>4.0000000000000001E-3</v>
      </c>
      <c r="I28" s="437">
        <v>4.0000000000000001E-3</v>
      </c>
      <c r="J28" s="437">
        <v>1.2999999999999999E-2</v>
      </c>
      <c r="K28" s="418">
        <v>100.69865613458258</v>
      </c>
      <c r="L28" s="437">
        <v>5.0000000000000001E-3</v>
      </c>
      <c r="M28" s="413"/>
      <c r="N28" s="417">
        <v>3</v>
      </c>
      <c r="O28" s="425">
        <v>0.60000000000000009</v>
      </c>
      <c r="P28" s="425">
        <v>2.7600000000000003E-3</v>
      </c>
      <c r="Q28" s="395"/>
      <c r="R28" s="395"/>
      <c r="S28" s="395"/>
      <c r="T28" s="395"/>
      <c r="U28" s="395"/>
      <c r="V28" s="395"/>
      <c r="W28" s="395"/>
      <c r="X28" s="395"/>
      <c r="Y28" s="437">
        <v>1.0053080263792826E-3</v>
      </c>
      <c r="Z28" s="395"/>
      <c r="AA28" s="395"/>
      <c r="AB28" s="395"/>
      <c r="AC28" s="413"/>
      <c r="AD28" s="4"/>
    </row>
    <row r="29" spans="1:30" ht="15.5">
      <c r="A29" s="386"/>
      <c r="B29" s="387"/>
      <c r="C29" s="389" t="s">
        <v>115</v>
      </c>
      <c r="D29" s="195">
        <v>220863</v>
      </c>
      <c r="E29" s="205"/>
      <c r="F29" s="417">
        <v>1.3167925705177073E-2</v>
      </c>
      <c r="G29" s="418">
        <v>7.6563220662845086E-2</v>
      </c>
      <c r="H29" s="437">
        <v>4.0000000000000001E-3</v>
      </c>
      <c r="I29" s="437">
        <v>4.0000000000000001E-3</v>
      </c>
      <c r="J29" s="437">
        <v>1.2999999999999999E-2</v>
      </c>
      <c r="K29" s="418">
        <v>138.66634010051212</v>
      </c>
      <c r="L29" s="395"/>
      <c r="M29" s="11"/>
      <c r="N29" s="417">
        <v>3</v>
      </c>
      <c r="O29" s="425">
        <v>0.60000000000000009</v>
      </c>
      <c r="P29" s="425">
        <v>2.7600000000000003E-3</v>
      </c>
      <c r="Q29" s="395"/>
      <c r="R29" s="395"/>
      <c r="S29" s="395"/>
      <c r="T29" s="395"/>
      <c r="U29" s="395"/>
      <c r="V29" s="395"/>
      <c r="W29" s="395"/>
      <c r="X29" s="395"/>
      <c r="Y29" s="437">
        <v>1.0053080263792826E-3</v>
      </c>
      <c r="Z29" s="395"/>
      <c r="AA29" s="395"/>
      <c r="AB29" s="395"/>
      <c r="AC29" s="401"/>
      <c r="AD29" s="4"/>
    </row>
    <row r="30" spans="1:30" ht="15.5">
      <c r="A30" s="386" t="s">
        <v>148</v>
      </c>
      <c r="B30" s="387"/>
      <c r="C30" s="390" t="s">
        <v>149</v>
      </c>
      <c r="D30" s="194">
        <v>34000000</v>
      </c>
      <c r="E30" s="206" t="s">
        <v>181</v>
      </c>
      <c r="F30" s="448">
        <v>2.3700000000000001E-3</v>
      </c>
      <c r="G30" s="422">
        <v>1.069E-2</v>
      </c>
      <c r="H30" s="449">
        <v>4.1000000000000003E-3</v>
      </c>
      <c r="I30" s="413"/>
      <c r="J30" s="422">
        <v>1.67E-3</v>
      </c>
      <c r="K30" s="422">
        <v>10</v>
      </c>
      <c r="L30" s="413"/>
      <c r="M30" s="413"/>
      <c r="N30" s="448">
        <v>6.5</v>
      </c>
      <c r="O30" s="428">
        <v>6.5</v>
      </c>
      <c r="P30" s="413"/>
      <c r="Q30" s="539">
        <v>4.2000000000000002E-4</v>
      </c>
      <c r="R30" s="413"/>
      <c r="S30" s="413"/>
      <c r="T30" s="413"/>
      <c r="U30" s="413"/>
      <c r="V30" s="413"/>
      <c r="W30" s="413"/>
      <c r="X30" s="413"/>
      <c r="Y30" s="413"/>
      <c r="Z30" s="413"/>
      <c r="AA30" s="413"/>
      <c r="AB30" s="413"/>
      <c r="AC30" s="413"/>
      <c r="AD30" s="4"/>
    </row>
    <row r="31" spans="1:30" ht="15.5">
      <c r="A31" s="386" t="s">
        <v>150</v>
      </c>
      <c r="B31" s="387"/>
      <c r="C31" s="390" t="s">
        <v>151</v>
      </c>
      <c r="D31" s="194">
        <v>982188</v>
      </c>
      <c r="E31" s="206" t="s">
        <v>181</v>
      </c>
      <c r="F31" s="448">
        <v>0.99236956584646241</v>
      </c>
      <c r="G31" s="422">
        <v>1.8115860810649687</v>
      </c>
      <c r="H31" s="434">
        <v>4.3950000000000003E-2</v>
      </c>
      <c r="I31" s="434">
        <v>3.628E-2</v>
      </c>
      <c r="J31" s="434">
        <v>0.1</v>
      </c>
      <c r="K31" s="422">
        <v>611.50501559185648</v>
      </c>
      <c r="L31" s="434">
        <v>3.2960000000000003E-2</v>
      </c>
      <c r="M31" s="413"/>
      <c r="N31" s="433">
        <v>420</v>
      </c>
      <c r="O31" s="427">
        <v>349.99999999999989</v>
      </c>
      <c r="P31" s="427">
        <v>21.699999999999992</v>
      </c>
      <c r="Q31" s="413"/>
      <c r="R31" s="413"/>
      <c r="S31" s="413"/>
      <c r="T31" s="413"/>
      <c r="U31" s="434">
        <v>0.12</v>
      </c>
      <c r="V31" s="413"/>
      <c r="W31" s="434">
        <v>1</v>
      </c>
      <c r="X31" s="434">
        <v>0.6</v>
      </c>
      <c r="Y31" s="413"/>
      <c r="Z31" s="434">
        <v>0.24</v>
      </c>
      <c r="AA31" s="434">
        <v>0.33</v>
      </c>
      <c r="AB31" s="422">
        <v>0.3</v>
      </c>
      <c r="AC31" s="422">
        <v>2</v>
      </c>
      <c r="AD31" s="4"/>
    </row>
    <row r="32" spans="1:30" ht="15.5">
      <c r="A32" s="386" t="s">
        <v>152</v>
      </c>
      <c r="B32" s="387"/>
      <c r="C32" s="390" t="s">
        <v>153</v>
      </c>
      <c r="D32" s="194">
        <v>4367279</v>
      </c>
      <c r="E32" s="206" t="s">
        <v>181</v>
      </c>
      <c r="F32" s="448">
        <v>0.97039199681273258</v>
      </c>
      <c r="G32" s="422">
        <v>1.2611020431475055</v>
      </c>
      <c r="H32" s="434">
        <v>4.6679999999999999E-2</v>
      </c>
      <c r="I32" s="434">
        <v>3.5610000000000003E-2</v>
      </c>
      <c r="J32" s="434">
        <v>0.1</v>
      </c>
      <c r="K32" s="422">
        <v>685.56271490261463</v>
      </c>
      <c r="L32" s="434">
        <v>3.9210000000000002E-2</v>
      </c>
      <c r="M32" s="413"/>
      <c r="N32" s="433">
        <v>510</v>
      </c>
      <c r="O32" s="427">
        <v>448.8</v>
      </c>
      <c r="P32" s="427">
        <v>27.825600000000001</v>
      </c>
      <c r="Q32" s="413"/>
      <c r="R32" s="413"/>
      <c r="S32" s="413"/>
      <c r="T32" s="413"/>
      <c r="U32" s="434">
        <v>0.12</v>
      </c>
      <c r="V32" s="434">
        <v>0.09</v>
      </c>
      <c r="W32" s="434">
        <v>0.38</v>
      </c>
      <c r="X32" s="434">
        <v>0.6</v>
      </c>
      <c r="Y32" s="413"/>
      <c r="Z32" s="434">
        <v>0.46</v>
      </c>
      <c r="AA32" s="434">
        <v>4.55</v>
      </c>
      <c r="AB32" s="422">
        <v>0.3</v>
      </c>
      <c r="AC32" s="422">
        <v>2</v>
      </c>
      <c r="AD32" s="4"/>
    </row>
    <row r="33" spans="1:30" ht="15.5">
      <c r="A33" s="386" t="s">
        <v>154</v>
      </c>
      <c r="B33" s="387"/>
      <c r="C33" s="390" t="s">
        <v>155</v>
      </c>
      <c r="D33" s="194">
        <v>74140</v>
      </c>
      <c r="E33" s="206" t="s">
        <v>181</v>
      </c>
      <c r="F33" s="448">
        <v>2.5</v>
      </c>
      <c r="G33" s="422">
        <v>0.96612646841914807</v>
      </c>
      <c r="H33" s="434">
        <v>4.8490000000000005E-2</v>
      </c>
      <c r="I33" s="434">
        <v>4.8490000000000005E-2</v>
      </c>
      <c r="J33" s="434">
        <v>8.0500000000000002E-2</v>
      </c>
      <c r="K33" s="422">
        <v>803.33646254943926</v>
      </c>
      <c r="L33" s="434">
        <v>2.8799999999999999E-2</v>
      </c>
      <c r="M33" s="422">
        <v>0.34768726967896879</v>
      </c>
      <c r="N33" s="433">
        <v>140</v>
      </c>
      <c r="O33" s="427">
        <v>123.3898305084746</v>
      </c>
      <c r="P33" s="427">
        <v>2.4677966101694921</v>
      </c>
      <c r="Q33" s="413"/>
      <c r="R33" s="413"/>
      <c r="S33" s="413"/>
      <c r="T33" s="413"/>
      <c r="U33" s="413"/>
      <c r="V33" s="413"/>
      <c r="W33" s="413"/>
      <c r="X33" s="413"/>
      <c r="Y33" s="413"/>
      <c r="Z33" s="413"/>
      <c r="AA33" s="413"/>
      <c r="AB33" s="422"/>
      <c r="AC33" s="422"/>
      <c r="AD33" s="4"/>
    </row>
    <row r="34" spans="1:30" ht="15.5">
      <c r="A34" s="386" t="s">
        <v>156</v>
      </c>
      <c r="B34" s="387"/>
      <c r="C34" s="390" t="s">
        <v>157</v>
      </c>
      <c r="D34" s="194">
        <v>412903.13313889032</v>
      </c>
      <c r="E34" s="206" t="s">
        <v>181</v>
      </c>
      <c r="F34" s="448"/>
      <c r="G34" s="422">
        <v>3.0171877282866801</v>
      </c>
      <c r="H34" s="434">
        <v>0.1</v>
      </c>
      <c r="I34" s="434">
        <v>0.1</v>
      </c>
      <c r="J34" s="434">
        <v>0.26</v>
      </c>
      <c r="K34" s="422">
        <v>908.33333333333405</v>
      </c>
      <c r="L34" s="434">
        <v>0.06</v>
      </c>
      <c r="M34" s="413"/>
      <c r="N34" s="433">
        <v>20</v>
      </c>
      <c r="O34" s="427">
        <v>17.777777777777779</v>
      </c>
      <c r="P34" s="427">
        <v>1.1022222222222222</v>
      </c>
      <c r="Q34" s="413"/>
      <c r="R34" s="413"/>
      <c r="S34" s="413"/>
      <c r="T34" s="413"/>
      <c r="U34" s="434">
        <v>0.12</v>
      </c>
      <c r="V34" s="413"/>
      <c r="W34" s="434">
        <v>2.4</v>
      </c>
      <c r="X34" s="434">
        <v>0.6</v>
      </c>
      <c r="Y34" s="413"/>
      <c r="Z34" s="434">
        <v>1.9</v>
      </c>
      <c r="AA34" s="434">
        <v>10</v>
      </c>
      <c r="AB34" s="422">
        <v>0.3</v>
      </c>
      <c r="AC34" s="422">
        <v>2</v>
      </c>
      <c r="AD34" s="4"/>
    </row>
    <row r="35" spans="1:30" ht="15.5">
      <c r="A35" s="386" t="s">
        <v>158</v>
      </c>
      <c r="B35" s="387"/>
      <c r="C35" s="390" t="s">
        <v>159</v>
      </c>
      <c r="D35" s="196">
        <v>0</v>
      </c>
      <c r="E35" s="205"/>
      <c r="F35" s="433">
        <v>1.5</v>
      </c>
      <c r="G35" s="413"/>
      <c r="H35" s="413"/>
      <c r="I35" s="413"/>
      <c r="J35" s="434">
        <v>3.2</v>
      </c>
      <c r="K35" s="422">
        <v>115</v>
      </c>
      <c r="L35" s="413"/>
      <c r="M35" s="434">
        <v>1.8</v>
      </c>
      <c r="N35" s="433">
        <v>560</v>
      </c>
      <c r="O35" s="427">
        <v>493.55932203389841</v>
      </c>
      <c r="P35" s="427">
        <v>9.8711864406779686</v>
      </c>
      <c r="Q35" s="401"/>
      <c r="R35" s="401"/>
      <c r="S35" s="401"/>
      <c r="T35" s="401"/>
      <c r="U35" s="401"/>
      <c r="V35" s="401"/>
      <c r="W35" s="401"/>
      <c r="X35" s="401"/>
      <c r="Y35" s="401"/>
      <c r="Z35" s="401"/>
      <c r="AA35" s="401"/>
      <c r="AB35" s="401"/>
      <c r="AC35" s="401"/>
      <c r="AD35" s="4"/>
    </row>
    <row r="36" spans="1:30" ht="15.5">
      <c r="A36" s="386" t="s">
        <v>160</v>
      </c>
      <c r="B36" s="387"/>
      <c r="C36" s="390" t="s">
        <v>161</v>
      </c>
      <c r="D36" s="194">
        <v>4066800</v>
      </c>
      <c r="E36" s="206" t="s">
        <v>181</v>
      </c>
      <c r="F36" s="435">
        <v>0.78500000000000003</v>
      </c>
      <c r="G36" s="422">
        <v>0.25</v>
      </c>
      <c r="H36" s="436">
        <v>7.0000000000000001E-3</v>
      </c>
      <c r="I36" s="449">
        <v>8.0000000000000002E-3</v>
      </c>
      <c r="J36" s="436">
        <v>3.9600000000000003E-2</v>
      </c>
      <c r="K36" s="422">
        <v>130</v>
      </c>
      <c r="L36" s="436">
        <v>8.0000000000000002E-3</v>
      </c>
      <c r="M36" s="413"/>
      <c r="N36" s="446">
        <v>56.55</v>
      </c>
      <c r="O36" s="427">
        <v>49.840677966101701</v>
      </c>
      <c r="P36" s="427">
        <v>0.99681355932203408</v>
      </c>
      <c r="Q36" s="413"/>
      <c r="R36" s="413"/>
      <c r="S36" s="413"/>
      <c r="T36" s="413"/>
      <c r="U36" s="413">
        <v>88.995555555555555</v>
      </c>
      <c r="V36" s="413"/>
      <c r="W36" s="413"/>
      <c r="X36" s="413"/>
      <c r="Y36" s="413"/>
      <c r="Z36" s="413"/>
      <c r="AA36" s="413"/>
      <c r="AB36" s="413"/>
      <c r="AC36" s="413"/>
      <c r="AD36" s="4"/>
    </row>
    <row r="37" spans="1:30" ht="15.5">
      <c r="A37" s="386" t="s">
        <v>162</v>
      </c>
      <c r="B37" s="387"/>
      <c r="C37" s="390" t="s">
        <v>163</v>
      </c>
      <c r="D37" s="194">
        <v>6470960.4925000006</v>
      </c>
      <c r="E37" s="206" t="s">
        <v>181</v>
      </c>
      <c r="F37" s="448">
        <v>0.56877112860892398</v>
      </c>
      <c r="G37" s="422">
        <v>0.17360367454068246</v>
      </c>
      <c r="H37" s="436">
        <v>1.4E-2</v>
      </c>
      <c r="I37" s="436">
        <v>1.4E-2</v>
      </c>
      <c r="J37" s="436">
        <v>0.13</v>
      </c>
      <c r="K37" s="418">
        <v>208.21830751991055</v>
      </c>
      <c r="L37" s="436">
        <v>8.9999999999999993E-3</v>
      </c>
      <c r="M37" s="413"/>
      <c r="N37" s="448">
        <v>220</v>
      </c>
      <c r="O37" s="427">
        <v>193.8983050847458</v>
      </c>
      <c r="P37" s="427">
        <v>3.8779661016949163</v>
      </c>
      <c r="Q37" s="413"/>
      <c r="R37" s="413"/>
      <c r="S37" s="413"/>
      <c r="T37" s="413"/>
      <c r="U37" s="413">
        <v>3.87</v>
      </c>
      <c r="V37" s="413"/>
      <c r="W37" s="413"/>
      <c r="X37" s="413"/>
      <c r="Y37" s="413"/>
      <c r="Z37" s="413"/>
      <c r="AA37" s="422">
        <v>5.7142857142857141E-2</v>
      </c>
      <c r="AB37" s="413"/>
      <c r="AC37" s="413"/>
      <c r="AD37" s="4"/>
    </row>
    <row r="38" spans="1:30" ht="15.5">
      <c r="A38" s="392" t="s">
        <v>164</v>
      </c>
      <c r="B38" s="393"/>
      <c r="C38" s="394" t="s">
        <v>165</v>
      </c>
      <c r="D38" s="194">
        <v>7959690</v>
      </c>
      <c r="E38" s="206" t="s">
        <v>181</v>
      </c>
      <c r="F38" s="417">
        <v>3.6200770604294984E-3</v>
      </c>
      <c r="G38" s="431">
        <v>0.46</v>
      </c>
      <c r="H38" s="478">
        <v>5.0000000000000004E-6</v>
      </c>
      <c r="I38" s="436">
        <v>1.4347235199512073E-2</v>
      </c>
      <c r="J38" s="477">
        <v>5.0000000000000002E-5</v>
      </c>
      <c r="K38" s="422">
        <v>476.69686287951981</v>
      </c>
      <c r="L38" s="436">
        <v>8.3157878095637492E-3</v>
      </c>
      <c r="M38" s="422">
        <v>3.2500000000000001E-2</v>
      </c>
      <c r="N38" s="432">
        <v>49</v>
      </c>
      <c r="O38" s="427">
        <v>36.75</v>
      </c>
      <c r="P38" s="427">
        <v>0.9554999999999999</v>
      </c>
      <c r="Q38" s="413"/>
      <c r="R38" s="413"/>
      <c r="S38" s="413"/>
      <c r="T38" s="413"/>
      <c r="U38" s="413">
        <v>0.16585365853658537</v>
      </c>
      <c r="V38" s="413"/>
      <c r="W38" s="413"/>
      <c r="X38" s="413"/>
      <c r="Y38" s="413"/>
      <c r="Z38" s="413"/>
      <c r="AA38" s="413"/>
      <c r="AB38" s="413"/>
      <c r="AC38" s="413"/>
      <c r="AD38" s="4"/>
    </row>
    <row r="39" spans="1:30" ht="15.5">
      <c r="A39" s="375" t="s">
        <v>166</v>
      </c>
      <c r="B39" s="376"/>
      <c r="C39" s="377" t="s">
        <v>167</v>
      </c>
      <c r="D39" s="194">
        <v>0</v>
      </c>
      <c r="E39" s="206" t="s">
        <v>181</v>
      </c>
      <c r="F39" s="448">
        <v>3.6125985919650057</v>
      </c>
      <c r="G39" s="422">
        <v>2.7721127895758788</v>
      </c>
      <c r="H39" s="430">
        <v>0.01</v>
      </c>
      <c r="I39" s="422">
        <v>0.24639072813755536</v>
      </c>
      <c r="J39" s="422">
        <v>0.79149506605795117</v>
      </c>
      <c r="K39" s="422">
        <v>1167.3939265965369</v>
      </c>
      <c r="L39" s="422">
        <v>0.23617181671083318</v>
      </c>
      <c r="M39" s="413"/>
      <c r="N39" s="448">
        <v>50.775750186200355</v>
      </c>
      <c r="O39" s="428">
        <v>22.849087583790158</v>
      </c>
      <c r="P39" s="428"/>
      <c r="Q39" s="413"/>
      <c r="R39" s="413"/>
      <c r="S39" s="413"/>
      <c r="T39" s="413"/>
      <c r="U39" s="413"/>
      <c r="V39" s="413"/>
      <c r="W39" s="413"/>
      <c r="X39" s="413"/>
      <c r="Y39" s="413"/>
      <c r="Z39" s="413"/>
      <c r="AA39" s="413"/>
      <c r="AB39" s="413"/>
      <c r="AC39" s="413"/>
      <c r="AD39" s="4"/>
    </row>
    <row r="40" spans="1:30" ht="15.5">
      <c r="A40" s="375" t="s">
        <v>168</v>
      </c>
      <c r="B40" s="376"/>
      <c r="C40" s="377" t="s">
        <v>169</v>
      </c>
      <c r="D40" s="213">
        <v>0</v>
      </c>
      <c r="E40" s="206" t="s">
        <v>181</v>
      </c>
      <c r="F40" s="221"/>
      <c r="G40" s="11"/>
      <c r="H40" s="11"/>
      <c r="I40" s="11"/>
      <c r="J40" s="11"/>
      <c r="K40" s="11"/>
      <c r="L40" s="11"/>
      <c r="M40" s="11"/>
      <c r="N40" s="408"/>
      <c r="O40" s="401"/>
      <c r="P40" s="401"/>
      <c r="Q40" s="401"/>
      <c r="R40" s="401"/>
      <c r="S40" s="401"/>
      <c r="T40" s="401"/>
      <c r="U40" s="401"/>
      <c r="V40" s="401"/>
      <c r="W40" s="401"/>
      <c r="X40" s="401"/>
      <c r="Y40" s="401"/>
      <c r="Z40" s="401"/>
      <c r="AA40" s="401"/>
      <c r="AB40" s="401"/>
      <c r="AC40" s="401"/>
      <c r="AD40" s="4"/>
    </row>
    <row r="41" spans="1:30" ht="15.5">
      <c r="A41" s="375" t="s">
        <v>170</v>
      </c>
      <c r="B41" s="376"/>
      <c r="C41" s="377" t="s">
        <v>171</v>
      </c>
      <c r="D41" s="213">
        <v>0</v>
      </c>
      <c r="E41" s="205"/>
      <c r="F41" s="221"/>
      <c r="G41" s="11"/>
      <c r="H41" s="11"/>
      <c r="I41" s="11"/>
      <c r="J41" s="11"/>
      <c r="K41" s="11"/>
      <c r="L41" s="11"/>
      <c r="M41" s="11"/>
      <c r="N41" s="408"/>
      <c r="O41" s="401"/>
      <c r="P41" s="401"/>
      <c r="Q41" s="401"/>
      <c r="R41" s="401"/>
      <c r="S41" s="401"/>
      <c r="T41" s="401"/>
      <c r="U41" s="401"/>
      <c r="V41" s="401"/>
      <c r="W41" s="401"/>
      <c r="X41" s="401"/>
      <c r="Y41" s="401"/>
      <c r="Z41" s="401"/>
      <c r="AA41" s="401"/>
      <c r="AB41" s="401"/>
      <c r="AC41" s="401"/>
      <c r="AD41" s="4"/>
    </row>
    <row r="42" spans="1:30" ht="15.5">
      <c r="A42" s="375" t="s">
        <v>172</v>
      </c>
      <c r="B42" s="376"/>
      <c r="C42" s="377" t="s">
        <v>173</v>
      </c>
      <c r="D42" s="192"/>
      <c r="E42" s="205"/>
      <c r="F42" s="221"/>
      <c r="G42" s="11"/>
      <c r="H42" s="11"/>
      <c r="I42" s="11"/>
      <c r="J42" s="11"/>
      <c r="K42" s="11"/>
      <c r="L42" s="11"/>
      <c r="M42" s="11"/>
      <c r="N42" s="408"/>
      <c r="O42" s="401"/>
      <c r="P42" s="401"/>
      <c r="Q42" s="401"/>
      <c r="R42" s="401"/>
      <c r="S42" s="401"/>
      <c r="T42" s="401"/>
      <c r="U42" s="401"/>
      <c r="V42" s="401"/>
      <c r="W42" s="401"/>
      <c r="X42" s="401"/>
      <c r="Y42" s="401"/>
      <c r="Z42" s="401"/>
      <c r="AA42" s="401"/>
      <c r="AB42" s="401"/>
      <c r="AC42" s="401"/>
      <c r="AD42" s="4"/>
    </row>
    <row r="43" spans="1:30" ht="15.5">
      <c r="A43" s="378" t="s">
        <v>174</v>
      </c>
      <c r="B43" s="376"/>
      <c r="C43" s="379" t="s">
        <v>175</v>
      </c>
      <c r="D43" s="194">
        <v>1148610</v>
      </c>
      <c r="E43" s="208"/>
      <c r="F43" s="396"/>
      <c r="G43" s="397"/>
      <c r="H43" s="397"/>
      <c r="I43" s="585">
        <v>1.5159098868799644E-2</v>
      </c>
      <c r="J43" s="439"/>
      <c r="K43" s="439"/>
      <c r="L43" s="585">
        <v>1.5464286768224516E-2</v>
      </c>
      <c r="M43" s="397"/>
      <c r="N43" s="402"/>
      <c r="O43" s="403"/>
      <c r="P43" s="403"/>
      <c r="Q43" s="403"/>
      <c r="R43" s="403"/>
      <c r="S43" s="403"/>
      <c r="T43" s="403"/>
      <c r="U43" s="403"/>
      <c r="V43" s="403"/>
      <c r="W43" s="403"/>
      <c r="X43" s="403"/>
      <c r="Y43" s="403"/>
      <c r="Z43" s="403"/>
      <c r="AA43" s="403"/>
      <c r="AB43" s="403"/>
      <c r="AC43" s="403"/>
      <c r="AD43" s="4"/>
    </row>
    <row r="44" spans="1:30" ht="15.5">
      <c r="A44" s="380"/>
      <c r="B44" s="381"/>
      <c r="C44" s="382" t="s">
        <v>176</v>
      </c>
      <c r="D44" s="218">
        <v>602800</v>
      </c>
      <c r="E44" s="216" t="s">
        <v>181</v>
      </c>
      <c r="F44" s="398"/>
      <c r="G44" s="450">
        <v>0.2</v>
      </c>
      <c r="H44" s="450">
        <v>2</v>
      </c>
      <c r="I44" s="399"/>
      <c r="J44" s="399"/>
      <c r="K44" s="423">
        <v>5</v>
      </c>
      <c r="L44" s="399"/>
      <c r="M44" s="415"/>
      <c r="N44" s="409"/>
      <c r="O44" s="410"/>
      <c r="P44" s="410"/>
      <c r="Q44" s="410"/>
      <c r="R44" s="410"/>
      <c r="S44" s="410"/>
      <c r="T44" s="410"/>
      <c r="U44" s="410"/>
      <c r="V44" s="410"/>
      <c r="W44" s="410"/>
      <c r="X44" s="420">
        <v>0.5555555555555558</v>
      </c>
      <c r="Y44" s="410"/>
      <c r="Z44" s="410"/>
      <c r="AA44" s="410"/>
      <c r="AB44" s="410"/>
      <c r="AC44" s="420">
        <v>5.7358196199445911E-2</v>
      </c>
      <c r="AD44" s="4"/>
    </row>
    <row r="45" spans="1:30" ht="15.5">
      <c r="A45" s="380"/>
      <c r="B45" s="383"/>
      <c r="C45" s="384" t="s">
        <v>177</v>
      </c>
      <c r="D45" s="219">
        <v>545810</v>
      </c>
      <c r="E45" s="51" t="s">
        <v>181</v>
      </c>
      <c r="F45" s="396"/>
      <c r="G45" s="451">
        <v>0.2</v>
      </c>
      <c r="H45" s="451">
        <v>2</v>
      </c>
      <c r="I45" s="397"/>
      <c r="J45" s="397"/>
      <c r="K45" s="424">
        <v>5</v>
      </c>
      <c r="L45" s="397"/>
      <c r="M45" s="416"/>
      <c r="N45" s="411"/>
      <c r="O45" s="412"/>
      <c r="P45" s="412"/>
      <c r="Q45" s="412"/>
      <c r="R45" s="412"/>
      <c r="S45" s="412"/>
      <c r="T45" s="412"/>
      <c r="U45" s="412"/>
      <c r="V45" s="412"/>
      <c r="W45" s="412"/>
      <c r="X45" s="421">
        <v>0.55000196429272985</v>
      </c>
      <c r="Y45" s="412"/>
      <c r="Z45" s="412"/>
      <c r="AA45" s="412"/>
      <c r="AB45" s="412"/>
      <c r="AC45" s="421">
        <v>5.3078437943270549</v>
      </c>
      <c r="AD45" s="4"/>
    </row>
    <row r="48" spans="1:30">
      <c r="C48" s="374" t="s">
        <v>196</v>
      </c>
      <c r="F48" s="296" t="s">
        <v>203</v>
      </c>
      <c r="G48" s="296"/>
      <c r="H48" s="296"/>
      <c r="I48" s="296"/>
      <c r="J48" s="296"/>
      <c r="K48" s="296"/>
      <c r="L48" s="296"/>
      <c r="M48" s="296"/>
      <c r="N48" s="296"/>
      <c r="O48" s="296"/>
      <c r="P48" s="296"/>
    </row>
    <row r="49" spans="3:8">
      <c r="C49" s="385" t="s">
        <v>197</v>
      </c>
      <c r="F49" s="523" t="s">
        <v>202</v>
      </c>
      <c r="G49" s="523"/>
      <c r="H49" s="523"/>
    </row>
    <row r="50" spans="3:8">
      <c r="C50" s="243" t="s">
        <v>199</v>
      </c>
      <c r="F50" s="243" t="s">
        <v>193</v>
      </c>
      <c r="G50" s="243"/>
    </row>
    <row r="51" spans="3:8">
      <c r="C51" s="391" t="s">
        <v>198</v>
      </c>
      <c r="F51" s="246" t="s">
        <v>200</v>
      </c>
      <c r="G51" s="246"/>
    </row>
    <row r="52" spans="3:8">
      <c r="F52" s="391" t="s">
        <v>201</v>
      </c>
      <c r="G52" s="391"/>
    </row>
    <row r="53" spans="3:8">
      <c r="F53" s="447" t="s">
        <v>204</v>
      </c>
      <c r="G53" s="447"/>
    </row>
  </sheetData>
  <mergeCells count="2">
    <mergeCell ref="F1:M1"/>
    <mergeCell ref="N1:AC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FE combustione</vt:lpstr>
      <vt:lpstr>public power</vt:lpstr>
      <vt:lpstr>refineries</vt:lpstr>
      <vt:lpstr>iron and steel</vt:lpstr>
      <vt:lpstr>non industrial</vt:lpstr>
      <vt:lpstr>combustion in industry</vt:lpstr>
      <vt:lpstr>comb industry (2)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De Lauretis</dc:creator>
  <cp:lastModifiedBy>Cordella Marco</cp:lastModifiedBy>
  <dcterms:created xsi:type="dcterms:W3CDTF">2012-04-29T16:06:56Z</dcterms:created>
  <dcterms:modified xsi:type="dcterms:W3CDTF">2026-06-10T09:54:19Z</dcterms:modified>
</cp:coreProperties>
</file>