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isprambiente-my.sharepoint.com/personal/marco_cordella_isprambiente_it/Documents/ISPRA/VAL ATM/Riccardo/National Inventory Report/sito emissioni/caricamenti/2025/"/>
    </mc:Choice>
  </mc:AlternateContent>
  <xr:revisionPtr revIDLastSave="4" documentId="13_ncr:1_{D812A5D9-7503-49A2-BC5E-74551BE78E53}" xr6:coauthVersionLast="47" xr6:coauthVersionMax="47" xr10:uidLastSave="{4FC4FE49-9CAB-489B-929C-19D528F87C4A}"/>
  <bookViews>
    <workbookView xWindow="-28920" yWindow="-120" windowWidth="29040" windowHeight="15840" tabRatio="640" xr2:uid="{00000000-000D-0000-FFFF-FFFF00000000}"/>
  </bookViews>
  <sheets>
    <sheet name="FE combustione" sheetId="7" r:id="rId1"/>
    <sheet name="public power" sheetId="1" r:id="rId2"/>
    <sheet name="refineries" sheetId="2" r:id="rId3"/>
    <sheet name="iron and steel" sheetId="3" r:id="rId4"/>
    <sheet name="non industrial" sheetId="5" r:id="rId5"/>
    <sheet name="combustion in industry" sheetId="4" r:id="rId6"/>
    <sheet name="comb industry (2) "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D27" i="4"/>
  <c r="D28" i="4"/>
  <c r="D29" i="4"/>
  <c r="D30" i="4"/>
  <c r="D31" i="4"/>
  <c r="D32" i="4"/>
  <c r="D33" i="4"/>
  <c r="D34" i="4"/>
  <c r="D35" i="4"/>
  <c r="D36" i="4"/>
  <c r="D37" i="4"/>
  <c r="D5" i="4" l="1"/>
  <c r="Y12" i="3" l="1"/>
  <c r="C3" i="1" l="1"/>
  <c r="D40" i="4" l="1"/>
  <c r="D41" i="4"/>
  <c r="D39" i="4"/>
  <c r="D43" i="4" s="1"/>
  <c r="D38" i="4"/>
  <c r="U13" i="1"/>
  <c r="V13" i="1"/>
  <c r="W13" i="1"/>
  <c r="I13" i="1"/>
  <c r="K13" i="1"/>
  <c r="H13" i="1"/>
  <c r="F13" i="1"/>
  <c r="J13" i="1"/>
  <c r="G13" i="1"/>
  <c r="E13" i="1"/>
  <c r="D13" i="1"/>
  <c r="F3" i="5" l="1"/>
  <c r="D59" i="4" l="1"/>
  <c r="D60" i="4"/>
  <c r="D61" i="4"/>
  <c r="D58" i="4"/>
  <c r="D56" i="4"/>
  <c r="D57" i="4"/>
  <c r="D53" i="4"/>
  <c r="D54" i="4"/>
  <c r="D55" i="4"/>
  <c r="D49" i="4"/>
  <c r="D50" i="4"/>
  <c r="D51" i="4"/>
  <c r="D52" i="4"/>
  <c r="D48" i="4"/>
  <c r="D47" i="4"/>
  <c r="D46" i="4"/>
  <c r="U14" i="2"/>
  <c r="V14" i="2"/>
  <c r="W14" i="2"/>
  <c r="X14" i="2"/>
  <c r="Y14" i="2"/>
  <c r="Z14" i="2"/>
  <c r="AA14" i="2"/>
  <c r="E25" i="4" l="1"/>
  <c r="D45" i="4"/>
  <c r="J14" i="2" l="1"/>
  <c r="K14" i="2"/>
  <c r="I14" i="2"/>
  <c r="K5" i="2" l="1"/>
  <c r="K12" i="3"/>
  <c r="J12" i="3" l="1"/>
  <c r="C3" i="4" l="1"/>
  <c r="X4" i="3"/>
  <c r="Y4" i="3"/>
  <c r="Z4" i="3"/>
  <c r="AA4" i="3"/>
  <c r="C3" i="2"/>
  <c r="Y13" i="1" l="1"/>
  <c r="X13" i="1"/>
  <c r="Z13" i="1"/>
  <c r="AA13" i="1"/>
  <c r="Z25" i="4"/>
  <c r="Y25" i="4"/>
  <c r="Y5" i="4"/>
  <c r="Y45" i="4"/>
  <c r="V45" i="4"/>
  <c r="W45" i="4"/>
  <c r="AA25" i="4"/>
  <c r="W25" i="4"/>
  <c r="X25" i="4"/>
  <c r="V25" i="4"/>
  <c r="U25" i="4"/>
  <c r="T25" i="4"/>
  <c r="S25" i="4"/>
  <c r="R25" i="4"/>
  <c r="Q25" i="4"/>
  <c r="P25" i="4"/>
  <c r="O25" i="4"/>
  <c r="N25" i="4"/>
  <c r="M25" i="4"/>
  <c r="L25" i="4"/>
  <c r="K25" i="4"/>
  <c r="J25" i="4"/>
  <c r="I25" i="4"/>
  <c r="F25" i="4"/>
  <c r="G25" i="4"/>
  <c r="H25" i="4"/>
  <c r="D25" i="4"/>
  <c r="V5" i="4"/>
  <c r="W5" i="4"/>
  <c r="V63" i="4" l="1"/>
  <c r="W63" i="4"/>
  <c r="V12" i="3"/>
  <c r="W12" i="3"/>
  <c r="V4" i="3" l="1"/>
  <c r="V3" i="3" s="1"/>
  <c r="W4" i="3"/>
  <c r="W3" i="3" s="1"/>
  <c r="T14" i="2" l="1"/>
  <c r="L14" i="2"/>
  <c r="D14" i="2"/>
  <c r="S14" i="2"/>
  <c r="R14" i="2"/>
  <c r="Q14" i="2"/>
  <c r="P14" i="2"/>
  <c r="O14" i="2"/>
  <c r="N14" i="2"/>
  <c r="M14" i="2"/>
  <c r="F14" i="2"/>
  <c r="G14" i="2"/>
  <c r="H14" i="2"/>
  <c r="E14" i="2"/>
  <c r="W5" i="2"/>
  <c r="V5" i="2"/>
  <c r="W3" i="2" l="1"/>
  <c r="W24" i="2" s="1"/>
  <c r="V3" i="2"/>
  <c r="V24" i="2" s="1"/>
  <c r="I45" i="4" l="1"/>
  <c r="I12" i="3"/>
  <c r="G4" i="3"/>
  <c r="I4" i="3"/>
  <c r="K4" i="3"/>
  <c r="K3" i="3" s="1"/>
  <c r="M4" i="3"/>
  <c r="O4" i="3"/>
  <c r="Q4" i="3"/>
  <c r="S4" i="3"/>
  <c r="D4" i="3"/>
  <c r="U4" i="3"/>
  <c r="E4" i="3"/>
  <c r="D12" i="3"/>
  <c r="E12" i="3"/>
  <c r="F12" i="3"/>
  <c r="G12" i="3"/>
  <c r="H12" i="3"/>
  <c r="U12" i="3"/>
  <c r="Z45" i="4"/>
  <c r="AA45" i="4"/>
  <c r="X45" i="4"/>
  <c r="U45" i="4"/>
  <c r="N45" i="4"/>
  <c r="O45" i="4"/>
  <c r="P45" i="4"/>
  <c r="Q45" i="4"/>
  <c r="R45" i="4"/>
  <c r="S45" i="4"/>
  <c r="T45" i="4"/>
  <c r="M45" i="4"/>
  <c r="L45" i="4"/>
  <c r="K45" i="4"/>
  <c r="J45" i="4"/>
  <c r="H45" i="4"/>
  <c r="F45" i="4"/>
  <c r="G45" i="4"/>
  <c r="E45" i="4"/>
  <c r="K5" i="4"/>
  <c r="J5" i="4"/>
  <c r="H5" i="4"/>
  <c r="G5" i="4"/>
  <c r="F5" i="4"/>
  <c r="AA5" i="4"/>
  <c r="Z5" i="4"/>
  <c r="AA5" i="2"/>
  <c r="D5" i="2"/>
  <c r="K3" i="2"/>
  <c r="K24" i="2" s="1"/>
  <c r="I3" i="3" l="1"/>
  <c r="H63" i="4"/>
  <c r="Z63" i="4"/>
  <c r="J63" i="4"/>
  <c r="K63" i="4"/>
  <c r="F63" i="4"/>
  <c r="G63" i="4"/>
  <c r="D63" i="4"/>
  <c r="I5" i="4"/>
  <c r="I63" i="4" s="1"/>
  <c r="AA3" i="2"/>
  <c r="AA24" i="2" s="1"/>
  <c r="D3" i="2"/>
  <c r="D24" i="2" s="1"/>
  <c r="E5" i="2"/>
  <c r="Z5" i="2"/>
  <c r="H5" i="2"/>
  <c r="H3" i="2" s="1"/>
  <c r="H24" i="2" s="1"/>
  <c r="U3" i="3"/>
  <c r="S3" i="3"/>
  <c r="O3" i="3"/>
  <c r="G3" i="3"/>
  <c r="E3" i="3"/>
  <c r="D3" i="3"/>
  <c r="Q3" i="3"/>
  <c r="M3" i="3"/>
  <c r="C3" i="3"/>
  <c r="K18" i="3" s="1"/>
  <c r="T4" i="3"/>
  <c r="T3" i="3" s="1"/>
  <c r="R4" i="3"/>
  <c r="R3" i="3" s="1"/>
  <c r="P4" i="3"/>
  <c r="P3" i="3" s="1"/>
  <c r="N4" i="3"/>
  <c r="N3" i="3" s="1"/>
  <c r="L4" i="3"/>
  <c r="L3" i="3" s="1"/>
  <c r="J4" i="3"/>
  <c r="J3" i="3" s="1"/>
  <c r="H4" i="3"/>
  <c r="H3" i="3" s="1"/>
  <c r="F4" i="3"/>
  <c r="F3" i="3" s="1"/>
  <c r="U5" i="4"/>
  <c r="U63" i="4" s="1"/>
  <c r="M5" i="4"/>
  <c r="M63" i="4" s="1"/>
  <c r="O5" i="4"/>
  <c r="O63" i="4" s="1"/>
  <c r="Q5" i="4"/>
  <c r="Q63" i="4" s="1"/>
  <c r="S5" i="4"/>
  <c r="S63" i="4" s="1"/>
  <c r="AA63" i="4"/>
  <c r="L5" i="4"/>
  <c r="L63" i="4" s="1"/>
  <c r="N5" i="4"/>
  <c r="N63" i="4" s="1"/>
  <c r="P5" i="4"/>
  <c r="P63" i="4" s="1"/>
  <c r="R5" i="4"/>
  <c r="R63" i="4" s="1"/>
  <c r="T5" i="4"/>
  <c r="T63" i="4" s="1"/>
  <c r="I5" i="2"/>
  <c r="F5" i="2"/>
  <c r="J5" i="2"/>
  <c r="J3" i="2" s="1"/>
  <c r="J24" i="2" s="1"/>
  <c r="G5" i="2"/>
  <c r="U5" i="2"/>
  <c r="X5" i="2"/>
  <c r="F18" i="3" l="1"/>
  <c r="N18" i="3"/>
  <c r="J18" i="3"/>
  <c r="W18" i="3"/>
  <c r="V18" i="3"/>
  <c r="R18" i="3"/>
  <c r="I3" i="2"/>
  <c r="I24" i="2" s="1"/>
  <c r="Z3" i="2"/>
  <c r="Z24" i="2" s="1"/>
  <c r="F3" i="2"/>
  <c r="F24" i="2" s="1"/>
  <c r="U18" i="3"/>
  <c r="H18" i="3"/>
  <c r="L18" i="3"/>
  <c r="P18" i="3"/>
  <c r="T18" i="3"/>
  <c r="E3" i="2"/>
  <c r="E24" i="2" s="1"/>
  <c r="I18" i="3"/>
  <c r="Q18" i="3"/>
  <c r="D18" i="3"/>
  <c r="O18" i="3"/>
  <c r="E18" i="3"/>
  <c r="M18" i="3"/>
  <c r="G18" i="3"/>
  <c r="S18" i="3"/>
  <c r="Y63" i="4"/>
  <c r="G3" i="2"/>
  <c r="G24" i="2" s="1"/>
  <c r="X5" i="4"/>
  <c r="X63" i="4" s="1"/>
  <c r="E5" i="4"/>
  <c r="E63" i="4" s="1"/>
  <c r="X3" i="2"/>
  <c r="X24" i="2" s="1"/>
  <c r="U3" i="2"/>
  <c r="U24" i="2" s="1"/>
  <c r="Y5" i="2"/>
  <c r="Q13" i="1"/>
  <c r="S13" i="1"/>
  <c r="M13" i="1"/>
  <c r="O13" i="1"/>
  <c r="L13" i="1"/>
  <c r="R13" i="1"/>
  <c r="T13" i="1"/>
  <c r="N13" i="1"/>
  <c r="P13" i="1"/>
  <c r="O5" i="2" l="1"/>
  <c r="N5" i="2"/>
  <c r="L5" i="2"/>
  <c r="T5" i="2"/>
  <c r="R5" i="2"/>
  <c r="P5" i="2"/>
  <c r="Y3" i="2"/>
  <c r="Y24" i="2" s="1"/>
  <c r="N3" i="2" l="1"/>
  <c r="N24" i="2" s="1"/>
  <c r="T3" i="2"/>
  <c r="T24" i="2" s="1"/>
  <c r="L3" i="2"/>
  <c r="L24" i="2" s="1"/>
  <c r="O3" i="2"/>
  <c r="O24" i="2" s="1"/>
  <c r="M5" i="2"/>
  <c r="S5" i="2"/>
  <c r="Q5" i="2"/>
  <c r="P3" i="2"/>
  <c r="P24" i="2" s="1"/>
  <c r="R3" i="2"/>
  <c r="R24" i="2" s="1"/>
  <c r="S3" i="2" l="1"/>
  <c r="S24" i="2" s="1"/>
  <c r="M3" i="2"/>
  <c r="M24" i="2" s="1"/>
  <c r="Q3" i="2"/>
  <c r="Q24" i="2" s="1"/>
  <c r="Y3" i="3" l="1"/>
  <c r="Y18" i="3" s="1"/>
  <c r="AA3" i="3"/>
  <c r="AA18" i="3" s="1"/>
  <c r="X3" i="3"/>
  <c r="X18" i="3" s="1"/>
  <c r="Z3" i="3"/>
  <c r="Z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De Lauretis</author>
  </authors>
  <commentList>
    <comment ref="D2" authorId="0" shapeId="0" xr:uid="{00000000-0006-0000-0000-000001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E2" authorId="0" shapeId="0" xr:uid="{00000000-0006-0000-0000-000002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G2" authorId="0" shapeId="0" xr:uid="{00000000-0006-0000-0000-000003000000}">
      <text>
        <r>
          <rPr>
            <b/>
            <sz val="9"/>
            <color indexed="81"/>
            <rFont val="Tahoma"/>
            <charset val="1"/>
          </rPr>
          <t>Riccardo De Lauretis:</t>
        </r>
        <r>
          <rPr>
            <sz val="9"/>
            <color indexed="81"/>
            <rFont val="Tahoma"/>
            <charset val="1"/>
          </rPr>
          <t xml:space="preserve">
Based on IPCC 2006 Guidelines
</t>
        </r>
      </text>
    </comment>
    <comment ref="I2" authorId="0" shapeId="0" xr:uid="{00000000-0006-0000-0000-000004000000}">
      <text>
        <r>
          <rPr>
            <b/>
            <sz val="9"/>
            <color indexed="81"/>
            <rFont val="Tahoma"/>
            <charset val="1"/>
          </rPr>
          <t>Riccardo De Lauretis:</t>
        </r>
        <r>
          <rPr>
            <sz val="9"/>
            <color indexed="81"/>
            <rFont val="Tahoma"/>
            <charset val="1"/>
          </rPr>
          <t xml:space="preserve">
Annual country specific EFs</t>
        </r>
      </text>
    </comment>
    <comment ref="J2" authorId="0" shapeId="0" xr:uid="{00000000-0006-0000-0000-000005000000}">
      <text>
        <r>
          <rPr>
            <b/>
            <sz val="9"/>
            <color indexed="81"/>
            <rFont val="Tahoma"/>
            <charset val="1"/>
          </rPr>
          <t>Riccardo De Lauretis:</t>
        </r>
        <r>
          <rPr>
            <sz val="9"/>
            <color indexed="81"/>
            <rFont val="Tahoma"/>
            <charset val="1"/>
          </rPr>
          <t xml:space="preserve">
Based on IPCC 2006 Guidelines</t>
        </r>
      </text>
    </comment>
    <comment ref="L2" authorId="0" shapeId="0" xr:uid="{00000000-0006-0000-0000-000006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M2" authorId="0" shapeId="0" xr:uid="{00000000-0006-0000-0000-000007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N2" authorId="0" shapeId="0" xr:uid="{00000000-0006-0000-0000-000008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O2" authorId="0" shapeId="0" xr:uid="{00000000-0006-0000-0000-000009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P2" authorId="0" shapeId="0" xr:uid="{00000000-0006-0000-0000-00000A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Q2" authorId="0" shapeId="0" xr:uid="{00000000-0006-0000-0000-00000B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R2" authorId="0" shapeId="0" xr:uid="{00000000-0006-0000-0000-00000C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S2" authorId="0" shapeId="0" xr:uid="{00000000-0006-0000-0000-00000D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T2" authorId="0" shapeId="0" xr:uid="{00000000-0006-0000-0000-00000E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U2" authorId="0" shapeId="0" xr:uid="{00000000-0006-0000-0000-00000F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V2" authorId="0" shapeId="0" xr:uid="{00000000-0006-0000-0000-000010000000}">
      <text>
        <r>
          <rPr>
            <b/>
            <sz val="9"/>
            <color indexed="81"/>
            <rFont val="Tahoma"/>
            <charset val="1"/>
          </rPr>
          <t>Riccardo De Lauretis:</t>
        </r>
        <r>
          <rPr>
            <sz val="9"/>
            <color indexed="81"/>
            <rFont val="Tahoma"/>
            <charset val="1"/>
          </rPr>
          <t xml:space="preserve">
Percentage PM2.5/Pm10 per fuel as reported in the EMEP/EEA 
Guidebook 2019</t>
        </r>
      </text>
    </comment>
    <comment ref="W2" authorId="0" shapeId="0" xr:uid="{00000000-0006-0000-0000-000011000000}">
      <text>
        <r>
          <rPr>
            <b/>
            <sz val="9"/>
            <color indexed="81"/>
            <rFont val="Tahoma"/>
            <charset val="1"/>
          </rPr>
          <t>Riccardo De Lauretis:</t>
        </r>
        <r>
          <rPr>
            <sz val="9"/>
            <color indexed="81"/>
            <rFont val="Tahoma"/>
            <charset val="1"/>
          </rPr>
          <t xml:space="preserve">
Percentage of PM2.5 as in the EMEP/EEA Guidebook 2019</t>
        </r>
      </text>
    </comment>
    <comment ref="X2" authorId="0" shapeId="0" xr:uid="{00000000-0006-0000-0000-000012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Y2" authorId="0" shapeId="0" xr:uid="{00000000-0006-0000-0000-000013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Z2" authorId="0" shapeId="0" xr:uid="{00000000-0006-0000-0000-000014000000}">
      <text>
        <r>
          <rPr>
            <b/>
            <sz val="9"/>
            <color indexed="81"/>
            <rFont val="Tahoma"/>
            <charset val="1"/>
          </rPr>
          <t>Riccardo De Lauretis:</t>
        </r>
        <r>
          <rPr>
            <sz val="9"/>
            <color indexed="81"/>
            <rFont val="Tahoma"/>
            <charset val="1"/>
          </rPr>
          <t xml:space="preserve">
EF from 2019 EMEP/EEA Guidebook</t>
        </r>
      </text>
    </comment>
    <comment ref="AA2" authorId="0" shapeId="0" xr:uid="{00000000-0006-0000-0000-000015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G12" authorId="0" shapeId="0" xr:uid="{00000000-0006-0000-0000-000016000000}">
      <text>
        <r>
          <rPr>
            <b/>
            <sz val="9"/>
            <color indexed="81"/>
            <rFont val="Tahoma"/>
            <charset val="1"/>
          </rPr>
          <t>Riccardo De Lauretis:</t>
        </r>
        <r>
          <rPr>
            <sz val="9"/>
            <color indexed="81"/>
            <rFont val="Tahoma"/>
            <charset val="1"/>
          </rPr>
          <t xml:space="preserve">
Average value resulting from different biofuels
</t>
        </r>
      </text>
    </comment>
    <comment ref="I12" authorId="0" shapeId="0" xr:uid="{00000000-0006-0000-0000-000017000000}">
      <text>
        <r>
          <rPr>
            <b/>
            <sz val="9"/>
            <color indexed="81"/>
            <rFont val="Tahoma"/>
            <charset val="1"/>
          </rPr>
          <t>Riccardo De Lauretis:</t>
        </r>
        <r>
          <rPr>
            <sz val="9"/>
            <color indexed="81"/>
            <rFont val="Tahoma"/>
            <charset val="1"/>
          </rPr>
          <t xml:space="preserve">
Average value resulting from different biofuels
</t>
        </r>
      </text>
    </comment>
    <comment ref="J12" authorId="0" shapeId="0" xr:uid="{00000000-0006-0000-0000-000018000000}">
      <text>
        <r>
          <rPr>
            <b/>
            <sz val="9"/>
            <color indexed="81"/>
            <rFont val="Tahoma"/>
            <charset val="1"/>
          </rPr>
          <t>Riccardo De Lauretis:</t>
        </r>
        <r>
          <rPr>
            <sz val="9"/>
            <color indexed="81"/>
            <rFont val="Tahoma"/>
            <charset val="1"/>
          </rPr>
          <t xml:space="preserve">
Average value resulting from different biofuels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Riccardo De Lauretis</author>
    <author>De Lauretis</author>
  </authors>
  <commentList>
    <comment ref="D2" authorId="0" shapeId="0" xr:uid="{00000000-0006-0000-0100-000001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E2" authorId="0" shapeId="0" xr:uid="{00000000-0006-0000-0100-000002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G2" authorId="0" shapeId="0" xr:uid="{00000000-0006-0000-0100-000003000000}">
      <text>
        <r>
          <rPr>
            <b/>
            <sz val="9"/>
            <color indexed="81"/>
            <rFont val="Tahoma"/>
            <charset val="1"/>
          </rPr>
          <t>Riccardo De Lauretis:</t>
        </r>
        <r>
          <rPr>
            <sz val="9"/>
            <color indexed="81"/>
            <rFont val="Tahoma"/>
            <charset val="1"/>
          </rPr>
          <t xml:space="preserve">
Based on IPCC 2006 Guidelines
</t>
        </r>
      </text>
    </comment>
    <comment ref="I2" authorId="0" shapeId="0" xr:uid="{00000000-0006-0000-0100-000004000000}">
      <text>
        <r>
          <rPr>
            <b/>
            <sz val="9"/>
            <color indexed="81"/>
            <rFont val="Tahoma"/>
            <charset val="1"/>
          </rPr>
          <t>Riccardo De Lauretis:</t>
        </r>
        <r>
          <rPr>
            <sz val="9"/>
            <color indexed="81"/>
            <rFont val="Tahoma"/>
            <charset val="1"/>
          </rPr>
          <t xml:space="preserve">
Annual country specific EFs</t>
        </r>
      </text>
    </comment>
    <comment ref="J2" authorId="0" shapeId="0" xr:uid="{00000000-0006-0000-0100-000005000000}">
      <text>
        <r>
          <rPr>
            <b/>
            <sz val="9"/>
            <color indexed="81"/>
            <rFont val="Tahoma"/>
            <family val="2"/>
          </rPr>
          <t>Riccardo De Lauretis:</t>
        </r>
        <r>
          <rPr>
            <sz val="9"/>
            <color indexed="81"/>
            <rFont val="Tahoma"/>
            <family val="2"/>
          </rPr>
          <t xml:space="preserve">
EF for fuels are based on IPCC 2006 Guidelines
</t>
        </r>
      </text>
    </comment>
    <comment ref="L2" authorId="0" shapeId="0" xr:uid="{00000000-0006-0000-0100-000006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M2" authorId="0" shapeId="0" xr:uid="{00000000-0006-0000-0100-000007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N2" authorId="0" shapeId="0" xr:uid="{00000000-0006-0000-0100-000008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O2" authorId="0" shapeId="0" xr:uid="{00000000-0006-0000-0100-000009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P2" authorId="0" shapeId="0" xr:uid="{00000000-0006-0000-0100-00000A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Q2" authorId="0" shapeId="0" xr:uid="{00000000-0006-0000-0100-00000B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R2" authorId="0" shapeId="0" xr:uid="{00000000-0006-0000-0100-00000C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S2" authorId="0" shapeId="0" xr:uid="{00000000-0006-0000-0100-00000D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T2" authorId="0" shapeId="0" xr:uid="{00000000-0006-0000-0100-00000E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U2" authorId="0" shapeId="0" xr:uid="{00000000-0006-0000-0100-00000F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V2" authorId="0" shapeId="0" xr:uid="{00000000-0006-0000-0100-000010000000}">
      <text>
        <r>
          <rPr>
            <b/>
            <sz val="9"/>
            <color indexed="81"/>
            <rFont val="Tahoma"/>
            <charset val="1"/>
          </rPr>
          <t>Riccardo De Lauretis:</t>
        </r>
        <r>
          <rPr>
            <sz val="9"/>
            <color indexed="81"/>
            <rFont val="Tahoma"/>
            <charset val="1"/>
          </rPr>
          <t xml:space="preserve">
Percentage PM2.5/Pm10 per fuel as reported in the EMEP/EEA 
Guidebook 2019</t>
        </r>
      </text>
    </comment>
    <comment ref="W2" authorId="0" shapeId="0" xr:uid="{00000000-0006-0000-0100-000011000000}">
      <text>
        <r>
          <rPr>
            <b/>
            <sz val="9"/>
            <color indexed="81"/>
            <rFont val="Tahoma"/>
            <charset val="1"/>
          </rPr>
          <t>Riccardo De Lauretis:</t>
        </r>
        <r>
          <rPr>
            <sz val="9"/>
            <color indexed="81"/>
            <rFont val="Tahoma"/>
            <charset val="1"/>
          </rPr>
          <t xml:space="preserve">
Percentage of PM2.5 as in the EMEP/EEA Guidebook 2019</t>
        </r>
      </text>
    </comment>
    <comment ref="X2" authorId="0" shapeId="0" xr:uid="{00000000-0006-0000-0100-000012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Y2" authorId="0" shapeId="0" xr:uid="{00000000-0006-0000-0100-000013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Z2" authorId="0" shapeId="0" xr:uid="{00000000-0006-0000-0100-000014000000}">
      <text>
        <r>
          <rPr>
            <b/>
            <sz val="9"/>
            <color indexed="81"/>
            <rFont val="Tahoma"/>
            <charset val="1"/>
          </rPr>
          <t>Riccardo De Lauretis:</t>
        </r>
        <r>
          <rPr>
            <sz val="9"/>
            <color indexed="81"/>
            <rFont val="Tahoma"/>
            <charset val="1"/>
          </rPr>
          <t xml:space="preserve">
EF from 2019 EMEP/EEA Guidebook</t>
        </r>
      </text>
    </comment>
    <comment ref="AA2" authorId="0" shapeId="0" xr:uid="{00000000-0006-0000-0100-000015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B4" authorId="1" shapeId="0" xr:uid="{00000000-0006-0000-0100-000016000000}">
      <text>
        <r>
          <rPr>
            <b/>
            <sz val="8"/>
            <color indexed="81"/>
            <rFont val="Tahoma"/>
            <family val="2"/>
          </rPr>
          <t>De Lauretis:</t>
        </r>
        <r>
          <rPr>
            <sz val="8"/>
            <color indexed="81"/>
            <rFont val="Tahoma"/>
            <family val="2"/>
          </rPr>
          <t xml:space="preserve">
per SOX e NOX emissioni da direttiva LCP che non include fino al 2004 i turbogas.  Pe r l 2005 e 2006 al dato LCP  che include i turbogas sono state sommate le emisioni di IPLOM e IES Mantova che non hanno comunicato le emissioni a LCP. Per il 2007 al dato LCP è sommato IPLOM che non ha dichiarato le emissioni a LCP
</t>
        </r>
      </text>
    </comment>
    <comment ref="B13" authorId="1" shapeId="0" xr:uid="{00000000-0006-0000-0100-000017000000}">
      <text>
        <r>
          <rPr>
            <b/>
            <sz val="8"/>
            <color indexed="81"/>
            <rFont val="Tahoma"/>
            <family val="2"/>
          </rPr>
          <t>De Lauretis:</t>
        </r>
        <r>
          <rPr>
            <sz val="8"/>
            <color indexed="81"/>
            <rFont val="Tahoma"/>
            <family val="2"/>
          </rPr>
          <t xml:space="preserve">
cicli combinati turbogas di API Falconara, ENIPOWER Livorno e Taranto, SARAS Cagliari e ISAB e ERG impianti sud. Fonte INES e Rendiconti ambientali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Delauretis</author>
    <author>Riccardo De Lauretis</author>
    <author>De Lauretis Riccardo</author>
  </authors>
  <commentList>
    <comment ref="B1" authorId="0" shapeId="0" xr:uid="{00000000-0006-0000-0200-000001000000}">
      <text>
        <r>
          <rPr>
            <b/>
            <sz val="8"/>
            <color indexed="81"/>
            <rFont val="Tahoma"/>
            <family val="2"/>
          </rPr>
          <t>Delauretis:</t>
        </r>
        <r>
          <rPr>
            <sz val="8"/>
            <color indexed="81"/>
            <rFont val="Tahoma"/>
            <family val="2"/>
          </rPr>
          <t xml:space="preserve">
dal 2002 emissioni INES con eccezione di CO2 dati da ET quando indicato
dal 1990 al 1994 dati puntuali per Taranto e Piombino Inventario CORINAIR.
Dal 1995 in poi dati per Taranto e Piombino da LCP
Per Piombino e Taranto anche dati dal rendiconto ambintale EDISON
per gli anni dal 1997 al 2002</t>
        </r>
      </text>
    </comment>
    <comment ref="D2" authorId="1" shapeId="0" xr:uid="{00000000-0006-0000-0200-000002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E2" authorId="1" shapeId="0" xr:uid="{00000000-0006-0000-0200-000003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G2" authorId="1" shapeId="0" xr:uid="{00000000-0006-0000-0200-000004000000}">
      <text>
        <r>
          <rPr>
            <b/>
            <sz val="9"/>
            <color indexed="81"/>
            <rFont val="Tahoma"/>
            <family val="2"/>
          </rPr>
          <t>Riccardo De Lauretis:</t>
        </r>
        <r>
          <rPr>
            <sz val="9"/>
            <color indexed="81"/>
            <rFont val="Tahoma"/>
            <family val="2"/>
          </rPr>
          <t xml:space="preserve">
EF for fuels are based on IPCC 2006 Guidelines
</t>
        </r>
      </text>
    </comment>
    <comment ref="I2" authorId="1" shapeId="0" xr:uid="{00000000-0006-0000-0200-000005000000}">
      <text>
        <r>
          <rPr>
            <b/>
            <sz val="9"/>
            <color indexed="81"/>
            <rFont val="Tahoma"/>
            <charset val="1"/>
          </rPr>
          <t>Riccardo De Lauretis:</t>
        </r>
        <r>
          <rPr>
            <sz val="9"/>
            <color indexed="81"/>
            <rFont val="Tahoma"/>
            <charset val="1"/>
          </rPr>
          <t xml:space="preserve">
Annual country specific EFs</t>
        </r>
      </text>
    </comment>
    <comment ref="J2" authorId="1" shapeId="0" xr:uid="{00000000-0006-0000-0200-000006000000}">
      <text>
        <r>
          <rPr>
            <b/>
            <sz val="9"/>
            <color indexed="81"/>
            <rFont val="Tahoma"/>
            <family val="2"/>
          </rPr>
          <t>Riccardo De Lauretis:</t>
        </r>
        <r>
          <rPr>
            <sz val="9"/>
            <color indexed="81"/>
            <rFont val="Tahoma"/>
            <family val="2"/>
          </rPr>
          <t xml:space="preserve">
EF for fuels are based on IPCC 2006 Guidelines
</t>
        </r>
      </text>
    </comment>
    <comment ref="L2" authorId="1" shapeId="0" xr:uid="{00000000-0006-0000-0200-000007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M2" authorId="1" shapeId="0" xr:uid="{00000000-0006-0000-0200-000008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N2" authorId="1" shapeId="0" xr:uid="{00000000-0006-0000-0200-000009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O2" authorId="1" shapeId="0" xr:uid="{00000000-0006-0000-0200-00000A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P2" authorId="1" shapeId="0" xr:uid="{00000000-0006-0000-0200-00000B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Q2" authorId="1" shapeId="0" xr:uid="{00000000-0006-0000-0200-00000C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R2" authorId="1" shapeId="0" xr:uid="{00000000-0006-0000-0200-00000D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S2" authorId="1" shapeId="0" xr:uid="{00000000-0006-0000-0200-00000E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T2" authorId="1" shapeId="0" xr:uid="{00000000-0006-0000-0200-00000F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U2" authorId="1" shapeId="0" xr:uid="{00000000-0006-0000-0200-000010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V2" authorId="1" shapeId="0" xr:uid="{00000000-0006-0000-0200-000011000000}">
      <text>
        <r>
          <rPr>
            <b/>
            <sz val="9"/>
            <color indexed="81"/>
            <rFont val="Tahoma"/>
            <charset val="1"/>
          </rPr>
          <t>Riccardo De Lauretis:</t>
        </r>
        <r>
          <rPr>
            <sz val="9"/>
            <color indexed="81"/>
            <rFont val="Tahoma"/>
            <charset val="1"/>
          </rPr>
          <t xml:space="preserve">
Percentage PM2.5/Pm10 per fuel as reported in the EMEP/EEA 
Guidebook 2019</t>
        </r>
      </text>
    </comment>
    <comment ref="W2" authorId="1" shapeId="0" xr:uid="{00000000-0006-0000-0200-000012000000}">
      <text>
        <r>
          <rPr>
            <b/>
            <sz val="9"/>
            <color indexed="81"/>
            <rFont val="Tahoma"/>
            <charset val="1"/>
          </rPr>
          <t>Riccardo De Lauretis:</t>
        </r>
        <r>
          <rPr>
            <sz val="9"/>
            <color indexed="81"/>
            <rFont val="Tahoma"/>
            <charset val="1"/>
          </rPr>
          <t xml:space="preserve">
Percentage of PM2.5 as in the EMEP/EEA Guidebook 2019</t>
        </r>
      </text>
    </comment>
    <comment ref="X2" authorId="1" shapeId="0" xr:uid="{00000000-0006-0000-0200-000013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Y2" authorId="1" shapeId="0" xr:uid="{00000000-0006-0000-0200-000014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Z2" authorId="1" shapeId="0" xr:uid="{00000000-0006-0000-0200-000015000000}">
      <text>
        <r>
          <rPr>
            <b/>
            <sz val="9"/>
            <color indexed="81"/>
            <rFont val="Tahoma"/>
            <charset val="1"/>
          </rPr>
          <t>Riccardo De Lauretis:</t>
        </r>
        <r>
          <rPr>
            <sz val="9"/>
            <color indexed="81"/>
            <rFont val="Tahoma"/>
            <charset val="1"/>
          </rPr>
          <t xml:space="preserve">
EF from 2019 EMEP/EEA Guidebook</t>
        </r>
      </text>
    </comment>
    <comment ref="AA2" authorId="1" shapeId="0" xr:uid="{00000000-0006-0000-0200-000016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C11" authorId="2" shapeId="0" xr:uid="{00000000-0006-0000-0200-000017000000}">
      <text>
        <r>
          <rPr>
            <b/>
            <sz val="9"/>
            <color indexed="81"/>
            <rFont val="Tahoma"/>
            <family val="2"/>
          </rPr>
          <t>De Lauretis Riccardo:</t>
        </r>
        <r>
          <rPr>
            <sz val="9"/>
            <color indexed="81"/>
            <rFont val="Tahoma"/>
            <family val="2"/>
          </rPr>
          <t xml:space="preserve">
carbon coke in trasformazione
</t>
        </r>
      </text>
    </comment>
    <comment ref="B12" authorId="0" shapeId="0" xr:uid="{00000000-0006-0000-0200-000018000000}">
      <text>
        <r>
          <rPr>
            <b/>
            <sz val="8"/>
            <color indexed="81"/>
            <rFont val="Tahoma"/>
            <family val="2"/>
          </rPr>
          <t>Delauretis:</t>
        </r>
        <r>
          <rPr>
            <sz val="8"/>
            <color indexed="81"/>
            <rFont val="Tahoma"/>
            <family val="2"/>
          </rPr>
          <t xml:space="preserve">
dal 2002 fattori di emissione SOX, NOX, VOC, CO da INES  (vedi file INES siderurgica.
Dato di attività: produzione coke sul BEN
</t>
        </r>
      </text>
    </comment>
    <comment ref="D13" authorId="1" shapeId="0" xr:uid="{00000000-0006-0000-0200-000019000000}">
      <text>
        <r>
          <rPr>
            <b/>
            <sz val="9"/>
            <color indexed="81"/>
            <rFont val="Tahoma"/>
            <charset val="1"/>
          </rPr>
          <t>Riccardo De Lauretis:</t>
        </r>
        <r>
          <rPr>
            <sz val="9"/>
            <color indexed="81"/>
            <rFont val="Tahoma"/>
            <charset val="1"/>
          </rPr>
          <t xml:space="preserve">
country specific at plant level from PRTR and LCP data
</t>
        </r>
      </text>
    </comment>
    <comment ref="E13" authorId="1" shapeId="0" xr:uid="{00000000-0006-0000-0200-00001A000000}">
      <text>
        <r>
          <rPr>
            <b/>
            <sz val="9"/>
            <color indexed="81"/>
            <rFont val="Tahoma"/>
            <charset val="1"/>
          </rPr>
          <t>Riccardo De Lauretis:</t>
        </r>
        <r>
          <rPr>
            <sz val="9"/>
            <color indexed="81"/>
            <rFont val="Tahoma"/>
            <charset val="1"/>
          </rPr>
          <t xml:space="preserve">
country specific at plant level from PRTR and LCP data
</t>
        </r>
      </text>
    </comment>
    <comment ref="F13" authorId="1" shapeId="0" xr:uid="{00000000-0006-0000-0200-00001B000000}">
      <text>
        <r>
          <rPr>
            <b/>
            <sz val="9"/>
            <color indexed="81"/>
            <rFont val="Tahoma"/>
            <charset val="1"/>
          </rPr>
          <t>Riccardo De Lauretis:</t>
        </r>
        <r>
          <rPr>
            <sz val="9"/>
            <color indexed="81"/>
            <rFont val="Tahoma"/>
            <charset val="1"/>
          </rPr>
          <t xml:space="preserve">
country specific at plant level from PRTR and LCP data
</t>
        </r>
      </text>
    </comment>
    <comment ref="G13" authorId="1" shapeId="0" xr:uid="{00000000-0006-0000-0200-00001C000000}">
      <text>
        <r>
          <rPr>
            <b/>
            <sz val="9"/>
            <color indexed="81"/>
            <rFont val="Tahoma"/>
            <charset val="1"/>
          </rPr>
          <t>Riccardo De Lauretis:</t>
        </r>
        <r>
          <rPr>
            <sz val="9"/>
            <color indexed="81"/>
            <rFont val="Tahoma"/>
            <charset val="1"/>
          </rPr>
          <t xml:space="preserve">
country specific at plant level from PRTR and LCP data
</t>
        </r>
      </text>
    </comment>
    <comment ref="H13" authorId="1" shapeId="0" xr:uid="{00000000-0006-0000-0200-00001D000000}">
      <text>
        <r>
          <rPr>
            <b/>
            <sz val="9"/>
            <color indexed="81"/>
            <rFont val="Tahoma"/>
            <charset val="1"/>
          </rPr>
          <t>Riccardo De Lauretis:</t>
        </r>
        <r>
          <rPr>
            <sz val="9"/>
            <color indexed="81"/>
            <rFont val="Tahoma"/>
            <charset val="1"/>
          </rPr>
          <t xml:space="preserve">
country specific at plant level from PRTR and LCP data
</t>
        </r>
      </text>
    </comment>
    <comment ref="I13" authorId="1" shapeId="0" xr:uid="{00000000-0006-0000-0200-00001E000000}">
      <text>
        <r>
          <rPr>
            <b/>
            <sz val="9"/>
            <color indexed="81"/>
            <rFont val="Tahoma"/>
            <charset val="1"/>
          </rPr>
          <t>Riccardo De Lauretis:</t>
        </r>
        <r>
          <rPr>
            <sz val="9"/>
            <color indexed="81"/>
            <rFont val="Tahoma"/>
            <charset val="1"/>
          </rPr>
          <t xml:space="preserve">
country specific at plant level from PRTR and LCP data
</t>
        </r>
      </text>
    </comment>
    <comment ref="K13" authorId="1" shapeId="0" xr:uid="{00000000-0006-0000-0200-00001F000000}">
      <text>
        <r>
          <rPr>
            <b/>
            <sz val="9"/>
            <color indexed="81"/>
            <rFont val="Tahoma"/>
            <charset val="1"/>
          </rPr>
          <t>Riccardo De Lauretis:</t>
        </r>
        <r>
          <rPr>
            <sz val="9"/>
            <color indexed="81"/>
            <rFont val="Tahoma"/>
            <charset val="1"/>
          </rPr>
          <t xml:space="preserve">
country specific at plant level from PRTR and LCP data
</t>
        </r>
      </text>
    </comment>
    <comment ref="U13" authorId="1" shapeId="0" xr:uid="{00000000-0006-0000-0200-000020000000}">
      <text>
        <r>
          <rPr>
            <b/>
            <sz val="9"/>
            <color indexed="81"/>
            <rFont val="Tahoma"/>
            <charset val="1"/>
          </rPr>
          <t>Riccardo De Lauretis:</t>
        </r>
        <r>
          <rPr>
            <sz val="9"/>
            <color indexed="81"/>
            <rFont val="Tahoma"/>
            <charset val="1"/>
          </rPr>
          <t xml:space="preserve">
country specific at plant level from PRTR and LCP data
</t>
        </r>
      </text>
    </comment>
    <comment ref="V13" authorId="1" shapeId="0" xr:uid="{00000000-0006-0000-0200-000021000000}">
      <text>
        <r>
          <rPr>
            <b/>
            <sz val="9"/>
            <color indexed="81"/>
            <rFont val="Tahoma"/>
            <charset val="1"/>
          </rPr>
          <t>Riccardo De Lauretis:</t>
        </r>
        <r>
          <rPr>
            <sz val="9"/>
            <color indexed="81"/>
            <rFont val="Tahoma"/>
            <charset val="1"/>
          </rPr>
          <t xml:space="preserve">
Percentage PM2.5/Pm10 per fuel as reported in the EMEP/EEA 
Guidebook 2019</t>
        </r>
      </text>
    </comment>
    <comment ref="W13" authorId="1" shapeId="0" xr:uid="{00000000-0006-0000-0200-000022000000}">
      <text>
        <r>
          <rPr>
            <b/>
            <sz val="9"/>
            <color indexed="81"/>
            <rFont val="Tahoma"/>
            <charset val="1"/>
          </rPr>
          <t>Riccardo De Lauretis:</t>
        </r>
        <r>
          <rPr>
            <sz val="9"/>
            <color indexed="81"/>
            <rFont val="Tahoma"/>
            <charset val="1"/>
          </rPr>
          <t xml:space="preserve">
Percentage of PM2.5 as in the EMEP/EEA Guidebook 2019</t>
        </r>
      </text>
    </comment>
    <comment ref="Y13" authorId="1" shapeId="0" xr:uid="{00000000-0006-0000-0200-000023000000}">
      <text>
        <r>
          <rPr>
            <b/>
            <sz val="9"/>
            <color indexed="81"/>
            <rFont val="Tahoma"/>
            <charset val="1"/>
          </rPr>
          <t>Riccardo De Lauretis:</t>
        </r>
        <r>
          <rPr>
            <sz val="9"/>
            <color indexed="81"/>
            <rFont val="Tahoma"/>
            <charset val="1"/>
          </rPr>
          <t xml:space="preserve">
country specific at plant level from PRTR and LCP data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Riccardo De Lauretis</author>
    <author>Taurino Ernesto</author>
  </authors>
  <commentList>
    <comment ref="D2" authorId="0" shapeId="0" xr:uid="{00000000-0006-0000-0400-000001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E2" authorId="0" shapeId="0" xr:uid="{00000000-0006-0000-0400-000002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G2" authorId="0" shapeId="0" xr:uid="{00000000-0006-0000-0400-000003000000}">
      <text>
        <r>
          <rPr>
            <b/>
            <sz val="9"/>
            <color indexed="81"/>
            <rFont val="Tahoma"/>
            <charset val="1"/>
          </rPr>
          <t>Riccardo De Lauretis:</t>
        </r>
        <r>
          <rPr>
            <sz val="9"/>
            <color indexed="81"/>
            <rFont val="Tahoma"/>
            <charset val="1"/>
          </rPr>
          <t xml:space="preserve">
Based on IPCC 2006 Guidelines
</t>
        </r>
      </text>
    </comment>
    <comment ref="I2" authorId="0" shapeId="0" xr:uid="{00000000-0006-0000-0400-000004000000}">
      <text>
        <r>
          <rPr>
            <b/>
            <sz val="9"/>
            <color indexed="81"/>
            <rFont val="Tahoma"/>
            <charset val="1"/>
          </rPr>
          <t>Riccardo De Lauretis:</t>
        </r>
        <r>
          <rPr>
            <sz val="9"/>
            <color indexed="81"/>
            <rFont val="Tahoma"/>
            <charset val="1"/>
          </rPr>
          <t xml:space="preserve">
Annual country specific EFs</t>
        </r>
      </text>
    </comment>
    <comment ref="J2" authorId="0" shapeId="0" xr:uid="{00000000-0006-0000-0400-000005000000}">
      <text>
        <r>
          <rPr>
            <b/>
            <sz val="9"/>
            <color indexed="81"/>
            <rFont val="Tahoma"/>
            <charset val="1"/>
          </rPr>
          <t>Riccardo De Lauretis:</t>
        </r>
        <r>
          <rPr>
            <sz val="9"/>
            <color indexed="81"/>
            <rFont val="Tahoma"/>
            <charset val="1"/>
          </rPr>
          <t xml:space="preserve">
Based on IPCC 2006 Guidelines</t>
        </r>
      </text>
    </comment>
    <comment ref="L2" authorId="0" shapeId="0" xr:uid="{00000000-0006-0000-0400-000006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M2" authorId="0" shapeId="0" xr:uid="{00000000-0006-0000-0400-000007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N2" authorId="0" shapeId="0" xr:uid="{00000000-0006-0000-0400-000008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O2" authorId="0" shapeId="0" xr:uid="{00000000-0006-0000-0400-000009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P2" authorId="0" shapeId="0" xr:uid="{00000000-0006-0000-0400-00000A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Q2" authorId="0" shapeId="0" xr:uid="{00000000-0006-0000-0400-00000B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R2" authorId="0" shapeId="0" xr:uid="{00000000-0006-0000-0400-00000C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S2" authorId="0" shapeId="0" xr:uid="{00000000-0006-0000-0400-00000D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T2" authorId="0" shapeId="0" xr:uid="{00000000-0006-0000-0400-00000E000000}">
      <text>
        <r>
          <rPr>
            <b/>
            <sz val="9"/>
            <color indexed="81"/>
            <rFont val="Tahoma"/>
            <charset val="1"/>
          </rPr>
          <t>Riccardo De Lauretis:</t>
        </r>
        <r>
          <rPr>
            <sz val="9"/>
            <color indexed="81"/>
            <rFont val="Tahoma"/>
            <charset val="1"/>
          </rPr>
          <t xml:space="preserve">
EF from measurements on the italian energy production plants by  ENEL in 2001, which include BAT that should be applied according to national legislation by 1999
</t>
        </r>
      </text>
    </comment>
    <comment ref="U2" authorId="0" shapeId="0" xr:uid="{00000000-0006-0000-0400-00000F000000}">
      <text>
        <r>
          <rPr>
            <b/>
            <sz val="9"/>
            <color indexed="81"/>
            <rFont val="Tahoma"/>
            <charset val="1"/>
          </rPr>
          <t>Riccardo De Lauretis:</t>
        </r>
        <r>
          <rPr>
            <sz val="9"/>
            <color indexed="81"/>
            <rFont val="Tahoma"/>
            <charset val="1"/>
          </rPr>
          <t xml:space="preserve">
Implied emission factor from the emission data at plant level submitted in the framework of LCP and EPRTR
</t>
        </r>
      </text>
    </comment>
    <comment ref="V2" authorId="0" shapeId="0" xr:uid="{00000000-0006-0000-0400-000010000000}">
      <text>
        <r>
          <rPr>
            <b/>
            <sz val="9"/>
            <color indexed="81"/>
            <rFont val="Tahoma"/>
            <charset val="1"/>
          </rPr>
          <t>Riccardo De Lauretis:</t>
        </r>
        <r>
          <rPr>
            <sz val="9"/>
            <color indexed="81"/>
            <rFont val="Tahoma"/>
            <charset val="1"/>
          </rPr>
          <t xml:space="preserve">
Percentage PM2.5/Pm10 per fuel as reported in the EMEP/EEA 
Guidebook 2019</t>
        </r>
      </text>
    </comment>
    <comment ref="W2" authorId="0" shapeId="0" xr:uid="{00000000-0006-0000-0400-000011000000}">
      <text>
        <r>
          <rPr>
            <b/>
            <sz val="9"/>
            <color indexed="81"/>
            <rFont val="Tahoma"/>
            <charset val="1"/>
          </rPr>
          <t>Riccardo De Lauretis:</t>
        </r>
        <r>
          <rPr>
            <sz val="9"/>
            <color indexed="81"/>
            <rFont val="Tahoma"/>
            <charset val="1"/>
          </rPr>
          <t xml:space="preserve">
Percentage of PM2.5 as in the EMEP/EEA Guidebook 2019</t>
        </r>
      </text>
    </comment>
    <comment ref="X2" authorId="0" shapeId="0" xr:uid="{00000000-0006-0000-0400-000012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Y2" authorId="0" shapeId="0" xr:uid="{00000000-0006-0000-0400-000013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Z2" authorId="0" shapeId="0" xr:uid="{00000000-0006-0000-0400-000014000000}">
      <text>
        <r>
          <rPr>
            <b/>
            <sz val="9"/>
            <color indexed="81"/>
            <rFont val="Tahoma"/>
            <charset val="1"/>
          </rPr>
          <t>Riccardo De Lauretis:</t>
        </r>
        <r>
          <rPr>
            <sz val="9"/>
            <color indexed="81"/>
            <rFont val="Tahoma"/>
            <charset val="1"/>
          </rPr>
          <t xml:space="preserve">
EF from 2019 EMEP/EEA Guidebook</t>
        </r>
      </text>
    </comment>
    <comment ref="AA2" authorId="0" shapeId="0" xr:uid="{00000000-0006-0000-0400-000015000000}">
      <text>
        <r>
          <rPr>
            <b/>
            <sz val="9"/>
            <color indexed="81"/>
            <rFont val="Tahoma"/>
            <charset val="1"/>
          </rPr>
          <t>Riccardo De Lauretis:</t>
        </r>
        <r>
          <rPr>
            <sz val="9"/>
            <color indexed="81"/>
            <rFont val="Tahoma"/>
            <charset val="1"/>
          </rPr>
          <t xml:space="preserve">
Efs are for fuel from a study of TNO at European level (Berdowski et al, 1997) where  EF specific for Italy were indicated as compared with those to be applied by other European countries</t>
        </r>
      </text>
    </comment>
    <comment ref="K62" authorId="1" shapeId="0" xr:uid="{D048C00C-FEA3-4ED5-B13B-3F77B51FBF9B}">
      <text>
        <r>
          <rPr>
            <b/>
            <sz val="9"/>
            <color indexed="81"/>
            <rFont val="Tahoma"/>
            <family val="2"/>
          </rPr>
          <t>Taurino Ernesto:</t>
        </r>
        <r>
          <rPr>
            <sz val="9"/>
            <color indexed="81"/>
            <rFont val="Tahoma"/>
            <family val="2"/>
          </rPr>
          <t xml:space="preserve">
the EF 1.2 g/GJ relating to solid biomass (wood) is multiplied by the percentage of this type of biomass in food which in recent years is made up almost exclusively of biogas and therefore has no NH3 emissions.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ANPA</author>
    <author>ernesto.taurino</author>
    <author xml:space="preserve"> </author>
    <author>Riccardo De Lauretis</author>
  </authors>
  <commentList>
    <comment ref="C3" authorId="0" shapeId="0" xr:uid="{00000000-0006-0000-0500-000001000000}">
      <text>
        <r>
          <rPr>
            <b/>
            <sz val="8"/>
            <color indexed="81"/>
            <rFont val="Tahoma"/>
            <family val="2"/>
          </rPr>
          <t>ANPA:</t>
        </r>
        <r>
          <rPr>
            <sz val="8"/>
            <color indexed="81"/>
            <rFont val="Tahoma"/>
            <family val="2"/>
          </rPr>
          <t xml:space="preserve">
il dato di attività totale è tratto dall'Annuario Statistico ISTAT ed è relativo alla produzione di ghisa comune in pani (industria metallurgica)
fattori di emissione: EMEP- CORINAIR e fattori ricavati dai dati puntuali (ILVA)  fino al 1996;
dal 1997 si aggiornano sulla base del Bref-Report IPPC. Per SOX, NOX e PM dal 1997 si aggiornano con dati ILVA</t>
        </r>
      </text>
    </comment>
    <comment ref="O4" authorId="1" shapeId="0" xr:uid="{00000000-0006-0000-0500-000002000000}">
      <text>
        <r>
          <rPr>
            <b/>
            <sz val="9"/>
            <color indexed="81"/>
            <rFont val="Tahoma"/>
            <family val="2"/>
          </rPr>
          <t>ernesto.taurino:</t>
        </r>
        <r>
          <rPr>
            <sz val="9"/>
            <color indexed="81"/>
            <rFont val="Tahoma"/>
            <family val="2"/>
          </rPr>
          <t xml:space="preserve">
GB2019 PM10 40g/Mg e PM2.5 25g/Mg</t>
        </r>
      </text>
    </comment>
    <comment ref="O5" authorId="1" shapeId="0" xr:uid="{00000000-0006-0000-0500-000003000000}">
      <text>
        <r>
          <rPr>
            <b/>
            <sz val="9"/>
            <color indexed="81"/>
            <rFont val="Tahoma"/>
            <family val="2"/>
          </rPr>
          <t>ernesto.taurino:</t>
        </r>
        <r>
          <rPr>
            <sz val="9"/>
            <color indexed="81"/>
            <rFont val="Tahoma"/>
            <family val="2"/>
          </rPr>
          <t xml:space="preserve">
GB2019 PM10 40g/Mg e PM2.5 25g/Mg</t>
        </r>
      </text>
    </comment>
    <comment ref="C6" authorId="0" shapeId="0" xr:uid="{00000000-0006-0000-0500-000004000000}">
      <text>
        <r>
          <rPr>
            <b/>
            <sz val="8"/>
            <color indexed="81"/>
            <rFont val="Tahoma"/>
            <family val="2"/>
          </rPr>
          <t>ANPA:</t>
        </r>
        <r>
          <rPr>
            <sz val="8"/>
            <color indexed="81"/>
            <rFont val="Tahoma"/>
            <family val="2"/>
          </rPr>
          <t xml:space="preserve">
il dato di attività totale è tratto dall'Annuario Statistico ISTAT ed è relativo alla produzione di gesso semidrato cotto (industrie della lavorazione dei metalli non metalliferi)
fattori di emissione: TECHNE "Inventario delle emissioni 1985-1992, calcolato sulla base dei consumi energetici e dei fattori di emissione per combustibile
</t>
        </r>
      </text>
    </comment>
    <comment ref="O6" authorId="2" shapeId="0" xr:uid="{00000000-0006-0000-0500-000005000000}">
      <text>
        <r>
          <rPr>
            <b/>
            <sz val="8"/>
            <color indexed="81"/>
            <rFont val="Tahoma"/>
            <family val="2"/>
          </rPr>
          <t xml:space="preserve"> :</t>
        </r>
        <r>
          <rPr>
            <sz val="8"/>
            <color indexed="81"/>
            <rFont val="Tahoma"/>
            <family val="2"/>
          </rPr>
          <t xml:space="preserve">
GB2019 plaster furnaces controlled  rapporto PM2.5/PM10
</t>
        </r>
      </text>
    </comment>
    <comment ref="C10" authorId="0" shapeId="0" xr:uid="{00000000-0006-0000-0500-000006000000}">
      <text>
        <r>
          <rPr>
            <b/>
            <sz val="8"/>
            <color indexed="81"/>
            <rFont val="Tahoma"/>
            <family val="2"/>
          </rPr>
          <t>ANPA:</t>
        </r>
        <r>
          <rPr>
            <sz val="8"/>
            <color indexed="81"/>
            <rFont val="Tahoma"/>
            <family val="2"/>
          </rPr>
          <t xml:space="preserve">
il dato di attività totale è fornito da Federacciai fino al 1994, dal 1995 si aggiorna sulla base del rapporto ghisa/acciao assunto pari all'85%. Nel 1997 ha chiuso l'impianto di Piombino. Dal 2000 dati Registro ET relativi agli impianti esistenti (Servola e Taranto). Dal 2004 dati INES + ET.
fattori di emissione: EMEP- CORINAIR e fattori ricavati dai dati puntuali (ILVA)  fino al 1996;
dal 1997 aggiornati sulla base del Bref-Report IPPC (con eccezione delle emissioni del Pb riscontro con dati INES per ILVA di Taranto). Per Sox, NOx e PM dal 1997 fonte ILVA e SOX areale fonte Bref-Report. Dal 2000 fattori Servola uguali a Taranto, controllati anche con dati INES (Taranto comunica dati molto alti calcolati sui limiti). Dal 2004 fattori di emissione SOX, NOX e PM modificati sulla base dei dati di misura pubblicati sul Rapporto ARPA Puglia settembre 2007 (rapporto diossine). Il rapporto contiene anche dati su IPA, PCB e HCB. Per PCB e HCB dal 1990 FE da rapporto ARPA; per PCB confermato dal INES-PRTR di ILVA. Per gli IPA il fattore di emissione sembra simile a quello misurato da ARPA per i 4 del protocollo.
Dal 2007 sono inseriti i FE di SOX, NOX, CO e PM10 da INES-EPRTR ( per Servola dal 2005 NOx e CO).
Il fattore di diossina di Servola dal 2007 è preso da INES-PRTR (coerente con la legislazione regionale).
I fattori di CO2 sono stati calcolati sulla base della documentazione di letteratura e come bilancio dei consumi di combustibili nel settore (vedi file CO2).Per gli IPA FE EMEP CORINAIR.
sub 2014_IPA FE: dal 1990 al 1999 FE da GB EMEP per lo 040209 (ma, al solito, la distinzione tra combustione e processo non è fattibile anche perchè per gli ultimi anni abbiamo le misure da camino che non possono distinguere tra le due frazioni), dal 2000 al 2009 resta lo 0.2 che c'era su tuttala serie precedentemente, dal 2010 fonte misure camino e312 di ILVA Taranto</t>
        </r>
      </text>
    </comment>
    <comment ref="O11" authorId="1" shapeId="0" xr:uid="{00000000-0006-0000-0500-000007000000}">
      <text>
        <r>
          <rPr>
            <b/>
            <sz val="9"/>
            <color indexed="81"/>
            <rFont val="Tahoma"/>
            <family val="2"/>
          </rPr>
          <t>ernesto.taurino:</t>
        </r>
        <r>
          <rPr>
            <sz val="9"/>
            <color indexed="81"/>
            <rFont val="Tahoma"/>
            <family val="2"/>
          </rPr>
          <t xml:space="preserve">
GB2019: PM10 100g/Mg; PM2.5 80g/Mg</t>
        </r>
      </text>
    </comment>
    <comment ref="O12" authorId="1" shapeId="0" xr:uid="{00000000-0006-0000-0500-000008000000}">
      <text>
        <r>
          <rPr>
            <b/>
            <sz val="9"/>
            <color indexed="81"/>
            <rFont val="Tahoma"/>
            <family val="2"/>
          </rPr>
          <t>ernesto.taurino:</t>
        </r>
        <r>
          <rPr>
            <sz val="9"/>
            <color indexed="81"/>
            <rFont val="Tahoma"/>
            <family val="2"/>
          </rPr>
          <t xml:space="preserve">
GB2019: PM10 100g/Mg; PM2.5 80g/Mg</t>
        </r>
      </text>
    </comment>
    <comment ref="C13" authorId="0" shapeId="0" xr:uid="{00000000-0006-0000-0500-000009000000}">
      <text>
        <r>
          <rPr>
            <b/>
            <sz val="8"/>
            <color indexed="81"/>
            <rFont val="Tahoma"/>
            <family val="2"/>
          </rPr>
          <t>ANPA:</t>
        </r>
        <r>
          <rPr>
            <sz val="8"/>
            <color indexed="81"/>
            <rFont val="Tahoma"/>
            <family val="2"/>
          </rPr>
          <t xml:space="preserve">
il dato di attività  è  ricostruito da informazioni fornite da Federacciai  relazioni annuali e Siderurgia in cifre (vedi foglio 'prodotti siderurgici'). La ripartizione areale e puntuale  è ricavata in base al rapporto tra quantità areale/puntuale e quantità totale riferite al 1992 (ultimo dato comunicato)
fattori di emissione: EMEP- CORINAIR e fattori ricavati dai dati puntuali (ILVA). Per SOx, NOx e PM dal 1997 dati ILVA </t>
        </r>
      </text>
    </comment>
    <comment ref="O14" authorId="2" shapeId="0" xr:uid="{00000000-0006-0000-0500-00000A000000}">
      <text>
        <r>
          <rPr>
            <b/>
            <sz val="8"/>
            <color indexed="81"/>
            <rFont val="Tahoma"/>
            <family val="2"/>
          </rPr>
          <t xml:space="preserve"> :</t>
        </r>
        <r>
          <rPr>
            <sz val="8"/>
            <color indexed="81"/>
            <rFont val="Tahoma"/>
            <family val="2"/>
          </rPr>
          <t xml:space="preserve">
valori Tier 1 iron and steel del guidebook
</t>
        </r>
      </text>
    </comment>
    <comment ref="P14" authorId="2" shapeId="0" xr:uid="{00000000-0006-0000-0500-00000B000000}">
      <text>
        <r>
          <rPr>
            <b/>
            <sz val="8"/>
            <color indexed="81"/>
            <rFont val="Tahoma"/>
            <family val="2"/>
          </rPr>
          <t xml:space="preserve"> :</t>
        </r>
        <r>
          <rPr>
            <sz val="8"/>
            <color indexed="81"/>
            <rFont val="Tahoma"/>
            <family val="2"/>
          </rPr>
          <t xml:space="preserve">
valori Tier 1 iron and steel del guidebook
</t>
        </r>
      </text>
    </comment>
    <comment ref="O15" authorId="2" shapeId="0" xr:uid="{00000000-0006-0000-0500-00000C000000}">
      <text>
        <r>
          <rPr>
            <b/>
            <sz val="8"/>
            <color indexed="81"/>
            <rFont val="Tahoma"/>
            <family val="2"/>
          </rPr>
          <t xml:space="preserve"> :</t>
        </r>
        <r>
          <rPr>
            <sz val="8"/>
            <color indexed="81"/>
            <rFont val="Tahoma"/>
            <family val="2"/>
          </rPr>
          <t xml:space="preserve">
valori Tier 1 iron and steel del guidebook
</t>
        </r>
      </text>
    </comment>
    <comment ref="P15" authorId="2" shapeId="0" xr:uid="{00000000-0006-0000-0500-00000D000000}">
      <text>
        <r>
          <rPr>
            <b/>
            <sz val="8"/>
            <color indexed="81"/>
            <rFont val="Tahoma"/>
            <family val="2"/>
          </rPr>
          <t xml:space="preserve"> :</t>
        </r>
        <r>
          <rPr>
            <sz val="8"/>
            <color indexed="81"/>
            <rFont val="Tahoma"/>
            <family val="2"/>
          </rPr>
          <t xml:space="preserve">
valori Tier 1 iron and steel del guidebook
</t>
        </r>
      </text>
    </comment>
    <comment ref="C16" authorId="0" shapeId="0" xr:uid="{00000000-0006-0000-0500-00000E000000}">
      <text>
        <r>
          <rPr>
            <b/>
            <sz val="8"/>
            <color indexed="81"/>
            <rFont val="Tahoma"/>
            <family val="2"/>
          </rPr>
          <t>ANPA:</t>
        </r>
        <r>
          <rPr>
            <sz val="8"/>
            <color indexed="81"/>
            <rFont val="Tahoma"/>
            <family val="2"/>
          </rPr>
          <t xml:space="preserve">
il dato di attività totale è tratto dall'Annuario Statistico ISTAT ed è relativo alla produzione delle industrie delle fonderie di ghisa (totali)
fattori di emissione: EMEP- CORINAIR riferiti ai forni elettrici ad arco. </t>
        </r>
      </text>
    </comment>
    <comment ref="O16" authorId="1" shapeId="0" xr:uid="{00000000-0006-0000-0500-00000F000000}">
      <text>
        <r>
          <rPr>
            <b/>
            <sz val="9"/>
            <color indexed="81"/>
            <rFont val="Tahoma"/>
            <family val="2"/>
          </rPr>
          <t>ernesto.taurino:</t>
        </r>
        <r>
          <rPr>
            <sz val="9"/>
            <color indexed="81"/>
            <rFont val="Tahoma"/>
            <family val="2"/>
          </rPr>
          <t xml:space="preserve">
ferroalloys</t>
        </r>
      </text>
    </comment>
    <comment ref="C17" authorId="0" shapeId="0" xr:uid="{00000000-0006-0000-0500-000010000000}">
      <text>
        <r>
          <rPr>
            <b/>
            <sz val="8"/>
            <color indexed="81"/>
            <rFont val="Tahoma"/>
            <family val="2"/>
          </rPr>
          <t>ANPA:</t>
        </r>
        <r>
          <rPr>
            <sz val="8"/>
            <color indexed="81"/>
            <rFont val="Tahoma"/>
            <family val="2"/>
          </rPr>
          <t xml:space="preserve">
il dato di attività è tratto fino al 1992 dalla pubblicazione di ENIRISORSE "Metalli non ferrosi". Per gli anni successivi viene fornito da ASSOMET "Metalli non ferrosi in Italia" o internet . 
fattori di emissione: per SOX, NOX, NMVOC, CO, Pb, Cd, Zn, PM10 le emissioni sono tratte da ENEA "Il riciclaggio delle batterie al piombo-acido esauste" 2000 (file Pb per Riccardo.xls), e dal 2002 da EPRTR.
gli altri da  EMEP- CORINAIR e da controlli con ENIRISORSE nell'ambito della convenzione sui metalli pesanti 1997.
</t>
        </r>
      </text>
    </comment>
    <comment ref="O17" authorId="1" shapeId="0" xr:uid="{00000000-0006-0000-0500-000011000000}">
      <text>
        <r>
          <rPr>
            <b/>
            <sz val="9"/>
            <color indexed="81"/>
            <rFont val="Tahoma"/>
            <family val="2"/>
          </rPr>
          <t>ernesto.taurino:</t>
        </r>
        <r>
          <rPr>
            <sz val="9"/>
            <color indexed="81"/>
            <rFont val="Tahoma"/>
            <family val="2"/>
          </rPr>
          <t xml:space="preserve">
GB2019 PM10 40g/Mg; PM2.5 20g/Mg</t>
        </r>
      </text>
    </comment>
    <comment ref="P17" authorId="1" shapeId="0" xr:uid="{00000000-0006-0000-0500-000012000000}">
      <text>
        <r>
          <rPr>
            <b/>
            <sz val="9"/>
            <color indexed="81"/>
            <rFont val="Tahoma"/>
            <family val="2"/>
          </rPr>
          <t>ernesto.taurino:</t>
        </r>
        <r>
          <rPr>
            <sz val="9"/>
            <color indexed="81"/>
            <rFont val="Tahoma"/>
            <family val="2"/>
          </rPr>
          <t xml:space="preserve">
NE sul GB2019
</t>
        </r>
      </text>
    </comment>
    <comment ref="C18" authorId="0" shapeId="0" xr:uid="{00000000-0006-0000-0500-000013000000}">
      <text>
        <r>
          <rPr>
            <b/>
            <sz val="8"/>
            <color indexed="81"/>
            <rFont val="Tahoma"/>
            <family val="2"/>
          </rPr>
          <t>ANPA:</t>
        </r>
        <r>
          <rPr>
            <sz val="8"/>
            <color indexed="81"/>
            <rFont val="Tahoma"/>
            <family val="2"/>
          </rPr>
          <t xml:space="preserve">
il dato di attività è tratto fino al 1993 dalla pubblicazione di ENIRISORSE "Metalli non ferrosi". Per gli anni successivi viene fornito da ASSOMET "Metalli non ferrosi in Italia" o internet . 
Fattori di emissione: per i metalli pesanti sono tratti da EMEP-CORINAIR, tenendo conto del peso dei diversi processi di produzione (elettrolitico e ISF). Per il PM fonte EPA, tenendo conto del peso dei diversi processi di produzione (elettrolitico e ISF). Per gli altri fonte CITEPA 93. 
Dal 2003 per SOX, Pb, Cd, Zn, PM10 le emissioni sono tratte da EPRTR.</t>
        </r>
      </text>
    </comment>
    <comment ref="O18" authorId="1" shapeId="0" xr:uid="{00000000-0006-0000-0500-000014000000}">
      <text>
        <r>
          <rPr>
            <b/>
            <sz val="9"/>
            <color indexed="81"/>
            <rFont val="Tahoma"/>
            <family val="2"/>
          </rPr>
          <t>ernesto.taurino:</t>
        </r>
        <r>
          <rPr>
            <sz val="9"/>
            <color indexed="81"/>
            <rFont val="Tahoma"/>
            <family val="2"/>
          </rPr>
          <t xml:space="preserve">
GB2019 PM10 85g/Mg; PM2.5 66g/Mg</t>
        </r>
      </text>
    </comment>
    <comment ref="P18" authorId="1" shapeId="0" xr:uid="{00000000-0006-0000-0500-000015000000}">
      <text>
        <r>
          <rPr>
            <b/>
            <sz val="9"/>
            <color indexed="81"/>
            <rFont val="Tahoma"/>
            <family val="2"/>
          </rPr>
          <t>ernesto.taurino:</t>
        </r>
        <r>
          <rPr>
            <sz val="9"/>
            <color indexed="81"/>
            <rFont val="Tahoma"/>
            <family val="2"/>
          </rPr>
          <t xml:space="preserve">
NE sul GB2019
</t>
        </r>
      </text>
    </comment>
    <comment ref="C19" authorId="0" shapeId="0" xr:uid="{00000000-0006-0000-0500-000016000000}">
      <text>
        <r>
          <rPr>
            <b/>
            <sz val="8"/>
            <color indexed="81"/>
            <rFont val="Tahoma"/>
            <family val="2"/>
          </rPr>
          <t>ANPA:</t>
        </r>
        <r>
          <rPr>
            <sz val="8"/>
            <color indexed="81"/>
            <rFont val="Tahoma"/>
            <family val="2"/>
          </rPr>
          <t xml:space="preserve">
Tale produzione non è presente in Italia
</t>
        </r>
      </text>
    </comment>
    <comment ref="C20" authorId="0" shapeId="0" xr:uid="{00000000-0006-0000-0500-000017000000}">
      <text>
        <r>
          <rPr>
            <b/>
            <sz val="8"/>
            <color indexed="81"/>
            <rFont val="Tahoma"/>
            <family val="2"/>
          </rPr>
          <t>ANPA:</t>
        </r>
        <r>
          <rPr>
            <sz val="8"/>
            <color indexed="81"/>
            <rFont val="Tahoma"/>
            <family val="2"/>
          </rPr>
          <t xml:space="preserve">
il dato di attività è tratto fino al 1992 dalla pubblicazione di ENIRISORSE "Metalli non ferrosi". Per gli anni successivi viene fornito da ASSOMET "Metalli non ferrosi in Italia" o internet . 
fattori di emissione: per SOX, NOX, NMVOC, CO, Pb, PM10 le emissioni sono tratte da ENEA "Il riciclaggio delle batterie al piombo-acido esauste" 2000 (file Pb per Riccardo.xls), gli altri da  EMEP- CORINAIR e da controlli con ENIRISORSE nell'ambito della convenzione sui metalli pesanti 1997.
Per PAH (4 del protocollo) e diossine fonte ENEA/MAMB/AIB (Spezzano)
</t>
        </r>
      </text>
    </comment>
    <comment ref="O20" authorId="1" shapeId="0" xr:uid="{00000000-0006-0000-0500-000018000000}">
      <text>
        <r>
          <rPr>
            <b/>
            <sz val="9"/>
            <color indexed="81"/>
            <rFont val="Tahoma"/>
            <family val="2"/>
          </rPr>
          <t>ernesto.taurino:</t>
        </r>
        <r>
          <rPr>
            <sz val="9"/>
            <color indexed="81"/>
            <rFont val="Tahoma"/>
            <family val="2"/>
          </rPr>
          <t xml:space="preserve">
GB2019 PM10 1300g/Mg; PM2.5 650g/Mg</t>
        </r>
      </text>
    </comment>
    <comment ref="P20" authorId="1" shapeId="0" xr:uid="{00000000-0006-0000-0500-000019000000}">
      <text>
        <r>
          <rPr>
            <b/>
            <sz val="9"/>
            <color indexed="81"/>
            <rFont val="Tahoma"/>
            <family val="2"/>
          </rPr>
          <t>ernesto.taurino:</t>
        </r>
        <r>
          <rPr>
            <sz val="9"/>
            <color indexed="81"/>
            <rFont val="Tahoma"/>
            <family val="2"/>
          </rPr>
          <t xml:space="preserve">
NE sul GB2019
</t>
        </r>
      </text>
    </comment>
    <comment ref="Q20" authorId="3" shapeId="0" xr:uid="{00000000-0006-0000-0500-00001A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R20" authorId="3" shapeId="0" xr:uid="{00000000-0006-0000-0500-00001B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C21" authorId="0" shapeId="0" xr:uid="{00000000-0006-0000-0500-00001C000000}">
      <text>
        <r>
          <rPr>
            <b/>
            <sz val="8"/>
            <color indexed="81"/>
            <rFont val="Tahoma"/>
            <family val="2"/>
          </rPr>
          <t>ANPA:</t>
        </r>
        <r>
          <rPr>
            <sz val="8"/>
            <color indexed="81"/>
            <rFont val="Tahoma"/>
            <family val="2"/>
          </rPr>
          <t xml:space="preserve">
il dato di attività è tratto fino al 1993 dalla pubblicazione di ENIRISORSE "Metalli non ferrosi". Per gli anni successivi viene fornito da ASSOMET "Metalli non ferrosi in Italia" o internet . 
Fattori di emissione: per i metalli pesanti sono tratti da EMEP-CORINAIR.  Per gli altri fonte CITEPA 93. </t>
        </r>
      </text>
    </comment>
    <comment ref="C22" authorId="0" shapeId="0" xr:uid="{00000000-0006-0000-0500-00001D000000}">
      <text>
        <r>
          <rPr>
            <b/>
            <sz val="8"/>
            <color indexed="81"/>
            <rFont val="Tahoma"/>
            <family val="2"/>
          </rPr>
          <t>ANPA:</t>
        </r>
        <r>
          <rPr>
            <sz val="8"/>
            <color indexed="81"/>
            <rFont val="Tahoma"/>
            <family val="2"/>
          </rPr>
          <t xml:space="preserve">
il dato di attività è tratto fino al 1994 dalla pubblicazione di ENIRISORSE "Metalli non ferrosi". Per gli anni successivi viene tratto da Assomet "I metalli non ferrosi in Italia".
Fattori di emissione: per i metalli pesanti sono tratti da EMEP-CORINAIR. Per il PM fonte EPA. Per gli altri fonte CITEPA93. 
FE  Pb, Cu e Zn verificati con dati  INES di Simar (VE) . Verificare altri impianti che non dichiarano.</t>
        </r>
      </text>
    </comment>
    <comment ref="O22" authorId="1" shapeId="0" xr:uid="{00000000-0006-0000-0500-00001E000000}">
      <text>
        <r>
          <rPr>
            <b/>
            <sz val="9"/>
            <color indexed="81"/>
            <rFont val="Tahoma"/>
            <family val="2"/>
          </rPr>
          <t>ernesto.taurino:</t>
        </r>
        <r>
          <rPr>
            <sz val="9"/>
            <color indexed="81"/>
            <rFont val="Tahoma"/>
            <family val="2"/>
          </rPr>
          <t xml:space="preserve">
GB2019 PM10 320g/Mg; PM2.5 240g/Mg</t>
        </r>
      </text>
    </comment>
    <comment ref="C23" authorId="0" shapeId="0" xr:uid="{00000000-0006-0000-0500-00001F000000}">
      <text>
        <r>
          <rPr>
            <b/>
            <sz val="8"/>
            <color indexed="81"/>
            <rFont val="Tahoma"/>
            <family val="2"/>
          </rPr>
          <t>ANPA:</t>
        </r>
        <r>
          <rPr>
            <sz val="8"/>
            <color indexed="81"/>
            <rFont val="Tahoma"/>
            <family val="2"/>
          </rPr>
          <t xml:space="preserve">
il dato di attività è tratto fino al 1994 dalla pubblicazione di ENIRISORSE "Metalli non ferrosi". Per gli anni successivi viene fornito da ASSOMET "Metalli non ferrosi in Italia" o internet . 
Fattori di emissione: per i metalli pesanti sono tratti da EMEP-CORINAIR. Per il PM fonte EPA. Per gli altri fonte CITEPA 93. Per PAH (4 del protocollo) e diossine fonte ENEA/MAMB/AIB (Spezzano)
</t>
        </r>
      </text>
    </comment>
    <comment ref="O23" authorId="1" shapeId="0" xr:uid="{00000000-0006-0000-0500-000020000000}">
      <text>
        <r>
          <rPr>
            <b/>
            <sz val="9"/>
            <color indexed="81"/>
            <rFont val="Tahoma"/>
            <family val="2"/>
          </rPr>
          <t>ernesto.taurino:</t>
        </r>
        <r>
          <rPr>
            <sz val="9"/>
            <color indexed="81"/>
            <rFont val="Tahoma"/>
            <family val="2"/>
          </rPr>
          <t xml:space="preserve">
GB2019 PM10 1.4kg/Mg; PM2.5 0.55kg/Mg</t>
        </r>
      </text>
    </comment>
    <comment ref="Q23" authorId="3" shapeId="0" xr:uid="{00000000-0006-0000-0500-000021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R23" authorId="3" shapeId="0" xr:uid="{00000000-0006-0000-0500-000022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S23" authorId="3" shapeId="0" xr:uid="{00000000-0006-0000-0500-000023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T23" authorId="3" shapeId="0" xr:uid="{00000000-0006-0000-0500-000024000000}">
      <text>
        <r>
          <rPr>
            <b/>
            <sz val="9"/>
            <color indexed="81"/>
            <rFont val="Tahoma"/>
            <family val="2"/>
          </rPr>
          <t>Riccardo De Lauretis:</t>
        </r>
        <r>
          <rPr>
            <sz val="9"/>
            <color indexed="81"/>
            <rFont val="Tahoma"/>
            <family val="2"/>
          </rPr>
          <t xml:space="preserve">
ENEA-AIB-MATT, 2002. "Valutazione delle emissioni di inquinanti organici persistenti da parte dell’industria metallurgica secondaria".</t>
        </r>
      </text>
    </comment>
    <comment ref="C24" authorId="0" shapeId="0" xr:uid="{00000000-0006-0000-0500-000025000000}">
      <text>
        <r>
          <rPr>
            <b/>
            <sz val="8"/>
            <color indexed="81"/>
            <rFont val="Tahoma"/>
            <family val="2"/>
          </rPr>
          <t>ANPA:</t>
        </r>
        <r>
          <rPr>
            <sz val="8"/>
            <color indexed="81"/>
            <rFont val="Tahoma"/>
            <family val="2"/>
          </rPr>
          <t xml:space="preserve">
il dato di attività totale è tratto dall'Annuario Statistico ISTAT ed è relativo alla produzione di clinker  (industrie della lavorazione dei metalli non metalliferi)
fattori di emissione: per il PM10 fonte EPA; per Hg fonte AITEC (c.p.); per i metalli pesanti  e diossine fonte Guidebook EMEP/CORINAIR; per gli altri inquinanti TECHNE "Inventairo delle emissioni 1985-1992" calcolato sulla base dei consumi di combustibili. 
Dal 2003 per SOX,NOX, CO, PM10, NH3 da EPRTR</t>
        </r>
      </text>
    </comment>
    <comment ref="O26" authorId="2" shapeId="0" xr:uid="{00000000-0006-0000-0500-000026000000}">
      <text>
        <r>
          <rPr>
            <b/>
            <sz val="8"/>
            <color indexed="81"/>
            <rFont val="Tahoma"/>
            <family val="2"/>
          </rPr>
          <t xml:space="preserve"> :</t>
        </r>
        <r>
          <rPr>
            <sz val="8"/>
            <color indexed="81"/>
            <rFont val="Tahoma"/>
            <family val="2"/>
          </rPr>
          <t xml:space="preserve">
GB2019 si riferisce al clinker processi 
 55% PM2.5/PM10</t>
        </r>
      </text>
    </comment>
    <comment ref="C27" authorId="0" shapeId="0" xr:uid="{00000000-0006-0000-0500-000027000000}">
      <text>
        <r>
          <rPr>
            <b/>
            <sz val="8"/>
            <color indexed="81"/>
            <rFont val="Tahoma"/>
            <family val="2"/>
          </rPr>
          <t>ANPA:</t>
        </r>
        <r>
          <rPr>
            <sz val="8"/>
            <color indexed="81"/>
            <rFont val="Tahoma"/>
            <family val="2"/>
          </rPr>
          <t xml:space="preserve">
il dato di attività totale è somma del dato tratto dall'Annuario Statistico ISTAT e relativo alla produzione di calce viva e calce idraulica (industrie della lavorazione dei metalli non metalliferi) più il dato puntuale relativo alla ex-ILVA di Taranto. Il dato ISTAT rappresenta oltre il 90% della produzione nazionale, il dato puntuale dal 1995 si aggiorna sulla base del rapporto calce/ghisa assunto pari allo 0,047%.   
 fattori di emissione: per dati puntuali ILVA per NMVOC, CH4 e CO sono stati utilizzati gli stessi fattori delle stime diffuse; per SOX, NOX, PM10 e CO2 è stato utilizzato il fattore risultante dalla comunicazione delle emissioni 1992. Per le stime diffuse sono di fonte TECHNE "Inventario delle emissioni 1985-1992" e sono calcolate a partire dai combustibili. Dal 1997 per PM e SOx puntuali fattori ILVA. Dal 2002 per ILVA SOx NOx CO2 e PM10 dati EPRTR, Per la CO2 dati ETS</t>
        </r>
      </text>
    </comment>
    <comment ref="O28" authorId="1" shapeId="0" xr:uid="{00000000-0006-0000-0500-000028000000}">
      <text>
        <r>
          <rPr>
            <b/>
            <sz val="9"/>
            <color indexed="81"/>
            <rFont val="Tahoma"/>
            <family val="2"/>
          </rPr>
          <t>ernesto.taurino:</t>
        </r>
        <r>
          <rPr>
            <sz val="9"/>
            <color indexed="81"/>
            <rFont val="Tahoma"/>
            <family val="2"/>
          </rPr>
          <t xml:space="preserve">
EF uncontrolled =700/3500; controlled=30/200</t>
        </r>
      </text>
    </comment>
    <comment ref="C30" authorId="0" shapeId="0" xr:uid="{00000000-0006-0000-0500-000029000000}">
      <text>
        <r>
          <rPr>
            <b/>
            <sz val="8"/>
            <color indexed="81"/>
            <rFont val="Tahoma"/>
            <family val="2"/>
          </rPr>
          <t>ANPA:</t>
        </r>
        <r>
          <rPr>
            <sz val="8"/>
            <color indexed="81"/>
            <rFont val="Tahoma"/>
            <family val="2"/>
          </rPr>
          <t xml:space="preserve">
il dato di attività si riferisce alla produzione di conglomerato bituminoso ed è tratto dal 1996 dalla rivista Rassegna del Bitume del Siteb. Per gli anni 1990-1995 il dato si ricava dalla  produzione di bitume di petrolio tratta dall'Annuario Statistico ISTAT (industrie dei derivati del petrolio e del carbone) a cui si applica una percentuale del 7% sulla base delle informazioni avute per gli altri anni.
fattori di emissione: per gli NMVOC  EPA 2000,  per gli altri fattori elaborazioni ANPA su dati Siteb.</t>
        </r>
      </text>
    </comment>
    <comment ref="O30" authorId="2" shapeId="0" xr:uid="{00000000-0006-0000-0500-00002A000000}">
      <text>
        <r>
          <rPr>
            <b/>
            <sz val="8"/>
            <color indexed="81"/>
            <rFont val="Tahoma"/>
            <family val="2"/>
          </rPr>
          <t xml:space="preserve"> :</t>
        </r>
        <r>
          <rPr>
            <sz val="8"/>
            <color indexed="81"/>
            <rFont val="Tahoma"/>
            <family val="2"/>
          </rPr>
          <t xml:space="preserve">
GB2019 asphalt fabric filter rapporto PM2.5/PM10</t>
        </r>
      </text>
    </comment>
    <comment ref="C31" authorId="0" shapeId="0" xr:uid="{00000000-0006-0000-0500-00002B000000}">
      <text>
        <r>
          <rPr>
            <b/>
            <sz val="8"/>
            <color indexed="81"/>
            <rFont val="Tahoma"/>
            <family val="2"/>
          </rPr>
          <t>ANPA:</t>
        </r>
        <r>
          <rPr>
            <sz val="8"/>
            <color indexed="81"/>
            <rFont val="Tahoma"/>
            <family val="2"/>
          </rPr>
          <t xml:space="preserve">
il dato di attività totale è tratto dall'Annuario Statistico ISTAT ed è relativo alla produzione di float vetro  (industrie della lavorazione dei metalli non metalliferi).
Fattori di emissione: EMEP-CORINAIR fino al 1993. Dal 1994 sono aggiornati sulla base del Bref-report IPPC ed informazioni  Assovetro. Per la CO2 viene sottratta la quota di emissione attribuibile alla fase di processo del decarbonizing.</t>
        </r>
      </text>
    </comment>
    <comment ref="O31" authorId="2" shapeId="0" xr:uid="{00000000-0006-0000-0500-00002C000000}">
      <text>
        <r>
          <rPr>
            <b/>
            <sz val="8"/>
            <color indexed="81"/>
            <rFont val="Tahoma"/>
            <family val="2"/>
          </rPr>
          <t xml:space="preserve"> :</t>
        </r>
        <r>
          <rPr>
            <sz val="8"/>
            <color indexed="81"/>
            <rFont val="Tahoma"/>
            <family val="2"/>
          </rPr>
          <t xml:space="preserve">
GB2019 si riferisce al vetro  processi 
</t>
        </r>
      </text>
    </comment>
    <comment ref="C32" authorId="0" shapeId="0" xr:uid="{00000000-0006-0000-0500-00002D000000}">
      <text>
        <r>
          <rPr>
            <b/>
            <sz val="8"/>
            <color indexed="81"/>
            <rFont val="Tahoma"/>
            <family val="2"/>
          </rPr>
          <t>ANPA:</t>
        </r>
        <r>
          <rPr>
            <sz val="8"/>
            <color indexed="81"/>
            <rFont val="Tahoma"/>
            <family val="2"/>
          </rPr>
          <t xml:space="preserve">
il dato di attività totale è tratto dall'Annuario Statistico ISTAT ed è relativo alla produzione di bottigliame, fiaschi damigiane e bofferia toscana, flaconeria, vasi, articoli per uso domestico e da tavola (industrie della lavorazione dei metalli non metalliferi).
Fattori di emissione: EMEP-CORINAIR fino al 1993. Dal 1994 sono aggiornati sulla base del Bref-report IPPC ed informazioni Assovetro. Per la CO2 viene sottratta la quota di emissione attribuibile alla fase di processo del decarbonizing.</t>
        </r>
      </text>
    </comment>
    <comment ref="O32" authorId="2" shapeId="0" xr:uid="{00000000-0006-0000-0500-00002E000000}">
      <text>
        <r>
          <rPr>
            <b/>
            <sz val="8"/>
            <color indexed="81"/>
            <rFont val="Tahoma"/>
            <family val="2"/>
          </rPr>
          <t xml:space="preserve"> :</t>
        </r>
        <r>
          <rPr>
            <sz val="8"/>
            <color indexed="81"/>
            <rFont val="Tahoma"/>
            <family val="2"/>
          </rPr>
          <t xml:space="preserve">
GB2019 si riferisce al vetro  processi 
</t>
        </r>
      </text>
    </comment>
    <comment ref="C33" authorId="0" shapeId="0" xr:uid="{00000000-0006-0000-0500-00002F000000}">
      <text>
        <r>
          <rPr>
            <b/>
            <sz val="8"/>
            <color indexed="81"/>
            <rFont val="Tahoma"/>
            <family val="2"/>
          </rPr>
          <t>ANPA:</t>
        </r>
        <r>
          <rPr>
            <sz val="8"/>
            <color indexed="81"/>
            <rFont val="Tahoma"/>
            <family val="2"/>
          </rPr>
          <t xml:space="preserve">
il dato di attività totale è tratto dall'Annuario Statistico ISTAT ed è relativo alla produzione di fibre di vetro (industrie della lavorazione dei metalli non metalliferi).
Fattori di emissione: EMEP-CORINAIR fino al 1993. Dal 1994 sono aggiornati sulla base del Bref-report IPPC ed informazioni  Assovetro.Per la CO2 viene sottratta la quota di emissione attribuibile alla fase di processo del decarbonizing.</t>
        </r>
      </text>
    </comment>
    <comment ref="O33" authorId="2" shapeId="0" xr:uid="{00000000-0006-0000-0500-000030000000}">
      <text>
        <r>
          <rPr>
            <b/>
            <sz val="8"/>
            <color indexed="81"/>
            <rFont val="Tahoma"/>
            <family val="2"/>
          </rPr>
          <t xml:space="preserve"> :</t>
        </r>
        <r>
          <rPr>
            <sz val="8"/>
            <color indexed="81"/>
            <rFont val="Tahoma"/>
            <family val="2"/>
          </rPr>
          <t xml:space="preserve">
GB2019 si riferisce al vetro  processi 
</t>
        </r>
      </text>
    </comment>
    <comment ref="C34" authorId="0" shapeId="0" xr:uid="{00000000-0006-0000-0500-000031000000}">
      <text>
        <r>
          <rPr>
            <b/>
            <sz val="8"/>
            <color indexed="81"/>
            <rFont val="Tahoma"/>
            <family val="2"/>
          </rPr>
          <t>ANPA:</t>
        </r>
        <r>
          <rPr>
            <sz val="8"/>
            <color indexed="81"/>
            <rFont val="Tahoma"/>
            <family val="2"/>
          </rPr>
          <t xml:space="preserve">
il dato di attività totale è tratto dall'Annuario Statistico ISTAT ed è relativo alla produzione di vetro pressato per edilizia e vetro e cristallo di sicurezza (industrie della lavorazione dei metalli non metalliferi).
Fattori di emissione: EMEP-CORINAIR fino al 1993. Dal 1994 sono aggiornati sulla base del Bref-report IPPC ed informazioni Assovetro.</t>
        </r>
      </text>
    </comment>
    <comment ref="O34" authorId="2" shapeId="0" xr:uid="{00000000-0006-0000-0500-000032000000}">
      <text>
        <r>
          <rPr>
            <b/>
            <sz val="8"/>
            <color indexed="81"/>
            <rFont val="Tahoma"/>
            <family val="2"/>
          </rPr>
          <t xml:space="preserve"> :</t>
        </r>
        <r>
          <rPr>
            <sz val="8"/>
            <color indexed="81"/>
            <rFont val="Tahoma"/>
            <family val="2"/>
          </rPr>
          <t xml:space="preserve">
GB2019 si riferisce al vetro  processi 
</t>
        </r>
      </text>
    </comment>
    <comment ref="C35" authorId="0" shapeId="0" xr:uid="{00000000-0006-0000-0500-000033000000}">
      <text>
        <r>
          <rPr>
            <b/>
            <sz val="8"/>
            <color indexed="81"/>
            <rFont val="Tahoma"/>
            <family val="2"/>
          </rPr>
          <t>ANPA:</t>
        </r>
        <r>
          <rPr>
            <sz val="8"/>
            <color indexed="81"/>
            <rFont val="Tahoma"/>
            <family val="2"/>
          </rPr>
          <t xml:space="preserve">
Tale produzione non è presente in Italia fino al 1993 e dal 2009 . Vedi foglio mineral wool
</t>
        </r>
      </text>
    </comment>
    <comment ref="O35" authorId="2" shapeId="0" xr:uid="{00000000-0006-0000-0500-000034000000}">
      <text>
        <r>
          <rPr>
            <b/>
            <sz val="8"/>
            <color indexed="81"/>
            <rFont val="Tahoma"/>
            <family val="2"/>
          </rPr>
          <t xml:space="preserve"> :</t>
        </r>
        <r>
          <rPr>
            <sz val="8"/>
            <color indexed="81"/>
            <rFont val="Tahoma"/>
            <family val="2"/>
          </rPr>
          <t xml:space="preserve">
GB2019 si riferisce al vetro  processi 
</t>
        </r>
      </text>
    </comment>
    <comment ref="C36" authorId="0" shapeId="0" xr:uid="{00000000-0006-0000-0500-000035000000}">
      <text>
        <r>
          <rPr>
            <b/>
            <sz val="8"/>
            <color indexed="81"/>
            <rFont val="Tahoma"/>
            <family val="2"/>
          </rPr>
          <t>ANPA:</t>
        </r>
        <r>
          <rPr>
            <sz val="8"/>
            <color indexed="81"/>
            <rFont val="Tahoma"/>
            <family val="2"/>
          </rPr>
          <t xml:space="preserve">
Il dato di attività è fornito da  ANDIL "Indagine conoscitiva sui laterizi in Italia".
Fattori di emissione: calcolati da TECHNE "Inventario delle emissioni 1985-1992"  sulla base dei combustibili utilizzati dal settore. 
Per il CO e PM10 fattore emissione EPA.Per la CO2 fattori di emissione tratti dal rapporto ambientale ANDIL. Per NOX fattore di emissione tratto da EMEP/CORINAIR (fonte EPA e rapporto ambientale ANDIL).
</t>
        </r>
      </text>
    </comment>
    <comment ref="O36" authorId="2" shapeId="0" xr:uid="{00000000-0006-0000-0500-000036000000}">
      <text>
        <r>
          <rPr>
            <b/>
            <sz val="8"/>
            <color indexed="81"/>
            <rFont val="Tahoma"/>
            <family val="2"/>
          </rPr>
          <t xml:space="preserve"> :</t>
        </r>
        <r>
          <rPr>
            <sz val="8"/>
            <color indexed="81"/>
            <rFont val="Tahoma"/>
            <family val="2"/>
          </rPr>
          <t xml:space="preserve">
GB2019 si riferisce al vetro  processi 
</t>
        </r>
      </text>
    </comment>
    <comment ref="C37" authorId="0" shapeId="0" xr:uid="{00000000-0006-0000-0500-000037000000}">
      <text>
        <r>
          <rPr>
            <b/>
            <sz val="8"/>
            <color indexed="81"/>
            <rFont val="Tahoma"/>
            <family val="2"/>
          </rPr>
          <t>ANPA:</t>
        </r>
        <r>
          <rPr>
            <sz val="8"/>
            <color indexed="81"/>
            <rFont val="Tahoma"/>
            <family val="2"/>
          </rPr>
          <t xml:space="preserve">
Il dato di attività è fornito da  Assopiastrelle  "Piastrelle e Ceramiche Ambiente"
Fattori di emissione: per SOX, NOX, PM e piombo, fonte Assopiastrelle "Rapporto Integrato"; per la CO2 si è calcolato a partire dal consumo energetico specifico pari a 5 Gj/tonn (Assopiastrelle)  e con riferimento al gas naturale. Per il CO fonte Guidebook EMEP/EEA.
Per gli altri inquinanti valori calcolati da TECHNE "Inventario nazionale 1985-1992"</t>
        </r>
      </text>
    </comment>
    <comment ref="O37" authorId="2" shapeId="0" xr:uid="{00000000-0006-0000-0500-000038000000}">
      <text>
        <r>
          <rPr>
            <b/>
            <sz val="8"/>
            <color indexed="81"/>
            <rFont val="Tahoma"/>
            <family val="2"/>
          </rPr>
          <t xml:space="preserve"> :</t>
        </r>
        <r>
          <rPr>
            <sz val="8"/>
            <color indexed="81"/>
            <rFont val="Tahoma"/>
            <family val="2"/>
          </rPr>
          <t xml:space="preserve">
GB2019 si riferisce al vetro  processi 
</t>
        </r>
      </text>
    </comment>
    <comment ref="C38" authorId="0" shapeId="0" xr:uid="{00000000-0006-0000-0500-000039000000}">
      <text>
        <r>
          <rPr>
            <b/>
            <sz val="8"/>
            <color indexed="81"/>
            <rFont val="Tahoma"/>
            <family val="2"/>
          </rPr>
          <t>ANPA:</t>
        </r>
        <r>
          <rPr>
            <sz val="8"/>
            <color indexed="81"/>
            <rFont val="Tahoma"/>
            <family val="2"/>
          </rPr>
          <t xml:space="preserve">
il dato di attività è tratto dalla pubblicazione di ASSOCARTA sul sito WEB www.assocarta.it e si riferisce al totale di produzione della carta e cartone. 
Fattori di emissione: NMVOC, CO e N2O da EMEP/CORINAIR; per la CO2 calcolato sulla base dei consumi di combustibile del settore dal file combustione
FE NOx, SOx e PM10 sulla base dei rapporti ambientali Assocarta econsumi combustibili  ETS (vedi file carta NOX-SOX.xls)
</t>
        </r>
      </text>
    </comment>
    <comment ref="O38" authorId="1" shapeId="0" xr:uid="{00000000-0006-0000-0500-00003A000000}">
      <text>
        <r>
          <rPr>
            <b/>
            <sz val="9"/>
            <color indexed="81"/>
            <rFont val="Tahoma"/>
            <family val="2"/>
          </rPr>
          <t>ernesto.taurino:</t>
        </r>
        <r>
          <rPr>
            <sz val="9"/>
            <color indexed="81"/>
            <rFont val="Tahoma"/>
            <family val="2"/>
          </rPr>
          <t xml:space="preserve">
2H1 kg/Mg air dried pulp</t>
        </r>
      </text>
    </comment>
    <comment ref="C39" authorId="0" shapeId="0" xr:uid="{00000000-0006-0000-0500-00003B000000}">
      <text>
        <r>
          <rPr>
            <b/>
            <sz val="8"/>
            <color indexed="81"/>
            <rFont val="Tahoma"/>
            <family val="2"/>
          </rPr>
          <t>ANPA:</t>
        </r>
        <r>
          <rPr>
            <sz val="8"/>
            <color indexed="81"/>
            <rFont val="Tahoma"/>
            <family val="2"/>
          </rPr>
          <t xml:space="preserve">
il dato di attività è tratto fino al 1995 dalla pubblicazione di ENIRISORSE "Metalli non ferrosi". Per gli anni successivi viene fornito da Eurallumina (Bref report per il 1997).
Fattore di emissione: per SOX, NOX e particolato dal  1994 si riferiscono alle emissioni di Eurallumina pubblicate sul Piano di disinquinamento per il risanamento del territorio del Sulcis-Iglesiente, per SOX e PM10 dati del 1997 e 1998 forniti dal PMP di Portoscuso e dal 2000 dall'EUROALLUMINA (entrata in funzione impianto SUMITOMO; per gli altri CORINAIR 92 (v. hydroxide calcening).
CO2 calcolato sulla base dei combustibili 
</t>
        </r>
      </text>
    </comment>
    <comment ref="O39" authorId="2" shapeId="0" xr:uid="{00000000-0006-0000-0500-00003C000000}">
      <text>
        <r>
          <rPr>
            <b/>
            <sz val="8"/>
            <color indexed="81"/>
            <rFont val="Tahoma"/>
            <family val="2"/>
          </rPr>
          <t xml:space="preserve"> :</t>
        </r>
        <r>
          <rPr>
            <sz val="8"/>
            <color indexed="81"/>
            <rFont val="Tahoma"/>
            <family val="2"/>
          </rPr>
          <t xml:space="preserve">
GB2007 alumina production rapporto PM2.5/PM10
</t>
        </r>
      </text>
    </comment>
    <comment ref="C40" authorId="0" shapeId="0" xr:uid="{00000000-0006-0000-0500-00003D000000}">
      <text>
        <r>
          <rPr>
            <b/>
            <sz val="8"/>
            <color indexed="81"/>
            <rFont val="Tahoma"/>
            <family val="2"/>
          </rPr>
          <t>ANPA:</t>
        </r>
        <r>
          <rPr>
            <sz val="8"/>
            <color indexed="81"/>
            <rFont val="Tahoma"/>
            <family val="2"/>
          </rPr>
          <t xml:space="preserve">
il dato di attività è tratto fino al 1995 dalla pubblicazione di ENIRISORSE "Metalli non ferrosi". La produzione di magnesio viene interrotta dal 1993. 
</t>
        </r>
      </text>
    </comment>
    <comment ref="C41" authorId="0" shapeId="0" xr:uid="{00000000-0006-0000-0500-00003E000000}">
      <text>
        <r>
          <rPr>
            <b/>
            <sz val="8"/>
            <color indexed="81"/>
            <rFont val="Tahoma"/>
            <family val="2"/>
          </rPr>
          <t>ANPA:</t>
        </r>
        <r>
          <rPr>
            <sz val="8"/>
            <color indexed="81"/>
            <rFont val="Tahoma"/>
            <family val="2"/>
          </rPr>
          <t xml:space="preserve">
Tale produzione non è presente in Italia
</t>
        </r>
      </text>
    </comment>
    <comment ref="C43" authorId="0" shapeId="0" xr:uid="{00000000-0006-0000-0500-00003F000000}">
      <text>
        <r>
          <rPr>
            <b/>
            <sz val="8"/>
            <color indexed="81"/>
            <rFont val="Tahoma"/>
            <family val="2"/>
          </rPr>
          <t>ANPA:</t>
        </r>
        <r>
          <rPr>
            <sz val="8"/>
            <color indexed="81"/>
            <rFont val="Tahoma"/>
            <family val="2"/>
          </rPr>
          <t xml:space="preserve">
il dato di attività si riferisce alla produzione di semilavorati rame e semilavorati in ottone ed è tratto fino al 1994 dalla pubblicazione di ENIRISORSE "Metalli non ferrosi". Per gli anni successivi viene fornito da ASSOMET "Metalli non ferrosi in Italia" . 
Fattori di emissione: per zimco e rame sono tratti dalle dichiarazioni INES 2005. Per NOx, NMVOC e CO2 sono uguali a quelli del rame secondario. </t>
        </r>
      </text>
    </comment>
  </commentList>
</comments>
</file>

<file path=xl/sharedStrings.xml><?xml version="1.0" encoding="utf-8"?>
<sst xmlns="http://schemas.openxmlformats.org/spreadsheetml/2006/main" count="491" uniqueCount="217">
  <si>
    <t>Tj</t>
  </si>
  <si>
    <t>SOx</t>
  </si>
  <si>
    <t>NOx</t>
  </si>
  <si>
    <t>NMVOC</t>
  </si>
  <si>
    <t>CH4</t>
  </si>
  <si>
    <t>CO</t>
  </si>
  <si>
    <t>CO2</t>
  </si>
  <si>
    <t>N2O</t>
  </si>
  <si>
    <t>NH3</t>
  </si>
  <si>
    <t>As</t>
  </si>
  <si>
    <t>Cd</t>
  </si>
  <si>
    <t>Cr</t>
  </si>
  <si>
    <t>Cu</t>
  </si>
  <si>
    <t>Hg</t>
  </si>
  <si>
    <t>Ni</t>
  </si>
  <si>
    <t>Pb</t>
  </si>
  <si>
    <t>Se</t>
  </si>
  <si>
    <t>Zn</t>
  </si>
  <si>
    <t>PM10</t>
  </si>
  <si>
    <t>DIOX</t>
  </si>
  <si>
    <t>PAH</t>
  </si>
  <si>
    <t>PCB</t>
  </si>
  <si>
    <t>HCB</t>
  </si>
  <si>
    <t>01 01</t>
  </si>
  <si>
    <t>Public power</t>
  </si>
  <si>
    <t>Lignite</t>
  </si>
  <si>
    <t>01 04</t>
  </si>
  <si>
    <t>Solid fuel transformation plants</t>
  </si>
  <si>
    <t>01 04 06</t>
  </si>
  <si>
    <t>Coke oven furnaces</t>
  </si>
  <si>
    <t>03 01</t>
  </si>
  <si>
    <t>Comb. in boilers, gas turbines and stationary engines</t>
  </si>
  <si>
    <t>0301</t>
  </si>
  <si>
    <t>Naphta</t>
  </si>
  <si>
    <t>Petcoke</t>
  </si>
  <si>
    <t>Food Processing</t>
  </si>
  <si>
    <t xml:space="preserve">Combustion plants </t>
  </si>
  <si>
    <t>01 03 06</t>
  </si>
  <si>
    <t xml:space="preserve">Refinery furnaces </t>
  </si>
  <si>
    <t>Natural gas</t>
  </si>
  <si>
    <t>Gasoil</t>
  </si>
  <si>
    <t>Low sulphur fuel oil</t>
  </si>
  <si>
    <t>High sulphur fuel oil</t>
  </si>
  <si>
    <t>Biomass</t>
  </si>
  <si>
    <t>Other fuel oils</t>
  </si>
  <si>
    <t>microg Teq/Gj</t>
  </si>
  <si>
    <t>g/Gj</t>
  </si>
  <si>
    <t>CO2 (kg/Gj)</t>
  </si>
  <si>
    <t>Blast furnace gas</t>
  </si>
  <si>
    <t>Oxigen furnaces gas</t>
  </si>
  <si>
    <t>01 04 01-05</t>
  </si>
  <si>
    <t>g/t</t>
  </si>
  <si>
    <t>Coke oven gas</t>
  </si>
  <si>
    <t>LPG</t>
  </si>
  <si>
    <t>Refinery gas</t>
  </si>
  <si>
    <t>Gasoline</t>
  </si>
  <si>
    <t>Kerosene</t>
  </si>
  <si>
    <t>Jet fuel</t>
  </si>
  <si>
    <t>Steam coal</t>
  </si>
  <si>
    <t>Coke</t>
  </si>
  <si>
    <t>Other coal</t>
  </si>
  <si>
    <t>Coking coal</t>
  </si>
  <si>
    <t>01 03 01-05</t>
  </si>
  <si>
    <t>Tar + (gas sintesi da processi di gassificazione)</t>
  </si>
  <si>
    <t>g/GJ</t>
  </si>
  <si>
    <t>IEF</t>
  </si>
  <si>
    <t>Other (mining and quarrying, machinery, textile and leathers, construction and other non specified)</t>
  </si>
  <si>
    <t>Chemicals and petrochemicals</t>
  </si>
  <si>
    <t>Petroleum refineries</t>
  </si>
  <si>
    <t>CODE</t>
  </si>
  <si>
    <t>CORINAIR SECTOR</t>
  </si>
  <si>
    <t>SO2</t>
  </si>
  <si>
    <t>0201</t>
  </si>
  <si>
    <t>Commercial and Institutional plants</t>
  </si>
  <si>
    <t>0202</t>
  </si>
  <si>
    <t>Residential plants</t>
  </si>
  <si>
    <t>0203</t>
  </si>
  <si>
    <t>Plants in agriculture, forestry and aquaculture</t>
  </si>
  <si>
    <t>biomass</t>
  </si>
  <si>
    <t>CORINAIR ACTIVITY</t>
  </si>
  <si>
    <t>FUEL</t>
  </si>
  <si>
    <t>ACTIVITY DATA (Gj)</t>
  </si>
  <si>
    <t>AGGREGATE EMISSION FACTORS (kg/Gj)</t>
  </si>
  <si>
    <t xml:space="preserve"> </t>
  </si>
  <si>
    <t>020103</t>
  </si>
  <si>
    <t>Combustion plants&lt;50 MW</t>
  </si>
  <si>
    <t xml:space="preserve">steam coal </t>
  </si>
  <si>
    <t>coke oven coke</t>
  </si>
  <si>
    <t>wood and similar</t>
  </si>
  <si>
    <t>municipal waste</t>
  </si>
  <si>
    <t>municipal waste/biomass</t>
  </si>
  <si>
    <t>biodiesel</t>
  </si>
  <si>
    <t>residual oil</t>
  </si>
  <si>
    <t>gas oil</t>
  </si>
  <si>
    <t>kerosene</t>
  </si>
  <si>
    <t>natural gas</t>
  </si>
  <si>
    <t>gas works gas</t>
  </si>
  <si>
    <t>020105</t>
  </si>
  <si>
    <t>Stationary engines</t>
  </si>
  <si>
    <t>biogas</t>
  </si>
  <si>
    <t>motor gasoline</t>
  </si>
  <si>
    <t>020202</t>
  </si>
  <si>
    <t>020204</t>
  </si>
  <si>
    <t>020302</t>
  </si>
  <si>
    <t>020304</t>
  </si>
  <si>
    <t>AGGREGATE EMISSION FACTORS (g/Gj)</t>
  </si>
  <si>
    <t>PM2.5</t>
  </si>
  <si>
    <r>
      <t>Diox (</t>
    </r>
    <r>
      <rPr>
        <sz val="10"/>
        <rFont val="Symbol"/>
        <family val="1"/>
        <charset val="2"/>
      </rPr>
      <t>m</t>
    </r>
    <r>
      <rPr>
        <sz val="11"/>
        <color theme="1"/>
        <rFont val="Calibri"/>
        <family val="2"/>
        <scheme val="minor"/>
      </rPr>
      <t>g/GJ)</t>
    </r>
  </si>
  <si>
    <t>mg/GJ</t>
  </si>
  <si>
    <t>01 03</t>
  </si>
  <si>
    <t>03 02</t>
  </si>
  <si>
    <t>Process furnaces without contact (a)</t>
  </si>
  <si>
    <t>03 02 03</t>
  </si>
  <si>
    <t>Blast furnace cowpers</t>
  </si>
  <si>
    <t>areal sources</t>
  </si>
  <si>
    <t>point sources</t>
  </si>
  <si>
    <t>03 02 04</t>
  </si>
  <si>
    <t>Plaster furnaces</t>
  </si>
  <si>
    <t>03 02 05</t>
  </si>
  <si>
    <t>Other furnaces</t>
  </si>
  <si>
    <t>03 03</t>
  </si>
  <si>
    <t xml:space="preserve">Processes with contact </t>
  </si>
  <si>
    <t>03 03 01</t>
  </si>
  <si>
    <t>Sinter and pelletizing plants</t>
  </si>
  <si>
    <t>03 03 02</t>
  </si>
  <si>
    <t>Reheating furnaces steel and iron</t>
  </si>
  <si>
    <t>03 03 03</t>
  </si>
  <si>
    <t>Grey iron foundries</t>
  </si>
  <si>
    <t>03 03 04</t>
  </si>
  <si>
    <t>Primary lead production</t>
  </si>
  <si>
    <t>03 03 05</t>
  </si>
  <si>
    <t>Primary zinc production</t>
  </si>
  <si>
    <t>03 03 06</t>
  </si>
  <si>
    <t>Primary copper production</t>
  </si>
  <si>
    <t>03 03 07</t>
  </si>
  <si>
    <t>Secondary lead production</t>
  </si>
  <si>
    <t>03 03 08</t>
  </si>
  <si>
    <t>Secondary zinc production</t>
  </si>
  <si>
    <t>03 03 09</t>
  </si>
  <si>
    <t>Secondary copper production</t>
  </si>
  <si>
    <t>03 03 10</t>
  </si>
  <si>
    <t>Secondary aluminium production</t>
  </si>
  <si>
    <t>03 03 11</t>
  </si>
  <si>
    <t>Cement (f)</t>
  </si>
  <si>
    <t>clinker</t>
  </si>
  <si>
    <t>cement</t>
  </si>
  <si>
    <t>03 03 12</t>
  </si>
  <si>
    <t>Lime (includ. iron and steel and paper pulp industr.)(f)</t>
  </si>
  <si>
    <t>03 03 13</t>
  </si>
  <si>
    <t>Asphalt concrete plants</t>
  </si>
  <si>
    <t>03 03 14</t>
  </si>
  <si>
    <t>Flat glass (f)</t>
  </si>
  <si>
    <t>03 03 15</t>
  </si>
  <si>
    <t>Container glass (f)</t>
  </si>
  <si>
    <t>03 03 16</t>
  </si>
  <si>
    <t>Glass wool (except binding) (f)</t>
  </si>
  <si>
    <t>03 03 17</t>
  </si>
  <si>
    <t>Other glass (f)</t>
  </si>
  <si>
    <t>03 03 18</t>
  </si>
  <si>
    <t>Mineral wool (except binding)</t>
  </si>
  <si>
    <t>03 03 19</t>
  </si>
  <si>
    <t>Bricks and tiles</t>
  </si>
  <si>
    <t>03 03 20</t>
  </si>
  <si>
    <t>Fine ceramic materials</t>
  </si>
  <si>
    <t>03 03 21</t>
  </si>
  <si>
    <t>Paper-mill industry (drying processes)</t>
  </si>
  <si>
    <t>03 03 22</t>
  </si>
  <si>
    <t>Alumina production</t>
  </si>
  <si>
    <t>03 03 23</t>
  </si>
  <si>
    <t>Magnesium production (dolomite treatment)</t>
  </si>
  <si>
    <t>03 03 24</t>
  </si>
  <si>
    <t>Nickel production (thermal process)</t>
  </si>
  <si>
    <t>03 03 25</t>
  </si>
  <si>
    <t>Enamel production</t>
  </si>
  <si>
    <t>03 03 26</t>
  </si>
  <si>
    <t>Other</t>
  </si>
  <si>
    <t>copper manufactures</t>
  </si>
  <si>
    <t>zinc-copper &amp; brass manufactures</t>
  </si>
  <si>
    <t>ACTIVITY VALUE</t>
  </si>
  <si>
    <t>UNIT</t>
  </si>
  <si>
    <t>Emission Factors (kg/Mg product)</t>
  </si>
  <si>
    <t>Mg product</t>
  </si>
  <si>
    <t>Emission Factors (g/Mg product)</t>
  </si>
  <si>
    <t>Dioxin (mg/t)</t>
  </si>
  <si>
    <t>BC</t>
  </si>
  <si>
    <t>No energy fuel</t>
  </si>
  <si>
    <t>Non energy</t>
  </si>
  <si>
    <t>Biomass (wood +biogas)</t>
  </si>
  <si>
    <t>Benzoapyrene</t>
  </si>
  <si>
    <t>Benzobfluoranthene</t>
  </si>
  <si>
    <t>Benzokfluoranthene</t>
  </si>
  <si>
    <t>Indeno123cdpyrene</t>
  </si>
  <si>
    <t>Country specific</t>
  </si>
  <si>
    <t>EMEP/EEA 2019</t>
  </si>
  <si>
    <t>TNO 1997</t>
  </si>
  <si>
    <t>Other chemical gas</t>
  </si>
  <si>
    <t>1A2a</t>
  </si>
  <si>
    <t>1A2b</t>
  </si>
  <si>
    <t>1A2f</t>
  </si>
  <si>
    <t>1A2d</t>
  </si>
  <si>
    <t>EMEP/CORINAIR 2007</t>
  </si>
  <si>
    <t>IPPC Bref report</t>
  </si>
  <si>
    <t>Country specific fuel based Efs</t>
  </si>
  <si>
    <t>Country specific based on emission data at plant level comunicated in the framework of EPRTR, LCP, ETS or specific studies</t>
  </si>
  <si>
    <t>US EPA AP 42</t>
  </si>
  <si>
    <t>TITOLO</t>
  </si>
  <si>
    <t xml:space="preserve">Fattori di emissione dalla combustione </t>
  </si>
  <si>
    <t>PERIODO DI RIFERIMENTO</t>
  </si>
  <si>
    <t>ABSTRACT</t>
  </si>
  <si>
    <t>AUTORE</t>
  </si>
  <si>
    <t>ISPRA</t>
  </si>
  <si>
    <t>DATA DI PUBBLICAZIONE</t>
  </si>
  <si>
    <t>SITO WEB</t>
  </si>
  <si>
    <t>https://emissioni.sina.isprambiente.it</t>
  </si>
  <si>
    <t>1990-2023</t>
  </si>
  <si>
    <t>Si riportano i fattori di emissione medi per il 2023 utilizzati per l’inventario nazionale delle emissioni in atmosfera relativi alle sorgenti stazionarie di combustione, suddivisi per attività e combustibile.</t>
  </si>
  <si>
    <t>11.06.2025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</si>
</sst>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
    <numFmt numFmtId="165" formatCode="#,##0.0"/>
    <numFmt numFmtId="166" formatCode="#,##0.000"/>
    <numFmt numFmtId="167" formatCode="0.000"/>
    <numFmt numFmtId="168" formatCode="0.00000"/>
    <numFmt numFmtId="169" formatCode="0.000000"/>
    <numFmt numFmtId="170" formatCode="0.0000000"/>
    <numFmt numFmtId="171" formatCode="_-* #,##0.000_-;\-* #,##0.000_-;_-* &quot;-&quot;??_-;_-@_-"/>
    <numFmt numFmtId="172" formatCode="_-* #,##0.00000_-;\-* #,##0.00000_-;_-* &quot;-&quot;??_-;_-@_-"/>
    <numFmt numFmtId="173" formatCode="_-* #,##0.000000_-;\-* #,##0.000000_-;_-* &quot;-&quot;??_-;_-@_-"/>
    <numFmt numFmtId="174" formatCode="_-* #,##0.0_-;\-* #,##0.0_-;_-* &quot;-&quot;??_-;_-@_-"/>
    <numFmt numFmtId="175" formatCode="_-* #,##0_-;\-* #,##0_-;_-* &quot;-&quot;??_-;_-@_-"/>
    <numFmt numFmtId="176" formatCode="0.0000"/>
    <numFmt numFmtId="177" formatCode="_-* #,##0.0000_-;\-* #,##0.0000_-;_-* &quot;-&quot;??_-;_-@_-"/>
    <numFmt numFmtId="178" formatCode="#,##0.0000"/>
    <numFmt numFmtId="179" formatCode="_-* #,##0.0000000_-;\-* #,##0.0000000_-;_-* &quot;-&quot;??_-;_-@_-"/>
    <numFmt numFmtId="180" formatCode="_-* #,##0.0000000000_-;\-* #,##0.0000000000_-;_-* &quot;-&quot;??_-;_-@_-"/>
    <numFmt numFmtId="181" formatCode="0.000000000"/>
    <numFmt numFmtId="182" formatCode="#,##0.000000000"/>
    <numFmt numFmtId="183" formatCode="0.00000000"/>
    <numFmt numFmtId="184" formatCode="_-* #,##0.000000000_-;\-* #,##0.000000000_-;_-* &quot;-&quot;??_-;_-@_-"/>
    <numFmt numFmtId="185" formatCode="#,##0.00000"/>
  </numFmts>
  <fonts count="62">
    <font>
      <sz val="11"/>
      <color theme="1"/>
      <name val="Calibri"/>
      <family val="2"/>
      <scheme val="minor"/>
    </font>
    <font>
      <sz val="11"/>
      <color theme="1"/>
      <name val="Calibri"/>
      <family val="2"/>
      <scheme val="minor"/>
    </font>
    <font>
      <b/>
      <sz val="12"/>
      <color indexed="8"/>
      <name val="Arial"/>
      <family val="2"/>
    </font>
    <font>
      <b/>
      <sz val="10"/>
      <color indexed="8"/>
      <name val="Arial"/>
      <family val="2"/>
    </font>
    <font>
      <sz val="10"/>
      <color indexed="8"/>
      <name val="Arial"/>
      <family val="2"/>
    </font>
    <font>
      <sz val="10"/>
      <name val="Arial"/>
      <family val="2"/>
    </font>
    <font>
      <sz val="12"/>
      <color indexed="8"/>
      <name val="Arial"/>
      <family val="2"/>
    </font>
    <font>
      <b/>
      <sz val="10"/>
      <name val="Arial"/>
      <family val="2"/>
    </font>
    <font>
      <sz val="12"/>
      <name val="Arial"/>
      <family val="2"/>
    </font>
    <font>
      <i/>
      <sz val="11"/>
      <color indexed="10"/>
      <name val="Arial"/>
      <family val="2"/>
    </font>
    <font>
      <sz val="11"/>
      <color indexed="8"/>
      <name val="Arial"/>
      <family val="2"/>
    </font>
    <font>
      <b/>
      <sz val="11"/>
      <color indexed="8"/>
      <name val="Arial"/>
      <family val="2"/>
    </font>
    <font>
      <i/>
      <sz val="12"/>
      <color indexed="8"/>
      <name val="Arial"/>
      <family val="2"/>
    </font>
    <font>
      <i/>
      <sz val="11"/>
      <color indexed="8"/>
      <name val="Arial"/>
      <family val="2"/>
    </font>
    <font>
      <b/>
      <sz val="12"/>
      <name val="Arial"/>
      <family val="2"/>
    </font>
    <font>
      <b/>
      <sz val="8"/>
      <color indexed="81"/>
      <name val="Tahoma"/>
      <family val="2"/>
    </font>
    <font>
      <sz val="8"/>
      <color indexed="81"/>
      <name val="Tahoma"/>
      <family val="2"/>
    </font>
    <font>
      <sz val="9"/>
      <name val="Times New Roman"/>
      <family val="1"/>
    </font>
    <font>
      <b/>
      <sz val="14"/>
      <name val="Times New Roman"/>
      <family val="1"/>
    </font>
    <font>
      <sz val="8"/>
      <name val="Arial"/>
      <family val="2"/>
    </font>
    <font>
      <sz val="8"/>
      <color indexed="8"/>
      <name val="Arial"/>
      <family val="2"/>
    </font>
    <font>
      <i/>
      <sz val="8"/>
      <name val="Arial"/>
      <family val="2"/>
    </font>
    <font>
      <b/>
      <sz val="8"/>
      <name val="Arial"/>
      <family val="2"/>
    </font>
    <font>
      <sz val="8"/>
      <color theme="1"/>
      <name val="Calibri"/>
      <family val="2"/>
      <scheme val="minor"/>
    </font>
    <font>
      <b/>
      <sz val="8"/>
      <color indexed="8"/>
      <name val="Arial"/>
      <family val="2"/>
    </font>
    <font>
      <i/>
      <sz val="11"/>
      <color theme="1"/>
      <name val="Calibri"/>
      <family val="2"/>
      <scheme val="minor"/>
    </font>
    <font>
      <sz val="10"/>
      <color indexed="10"/>
      <name val="Geneva"/>
    </font>
    <font>
      <sz val="10"/>
      <name val="Geneva"/>
      <family val="2"/>
    </font>
    <font>
      <sz val="10"/>
      <name val="Geneva"/>
    </font>
    <font>
      <sz val="10"/>
      <color indexed="10"/>
      <name val="Geneva"/>
      <family val="2"/>
    </font>
    <font>
      <i/>
      <sz val="10"/>
      <name val="Geneva"/>
    </font>
    <font>
      <b/>
      <sz val="9"/>
      <name val="Times New Roman"/>
      <family val="1"/>
    </font>
    <font>
      <sz val="8"/>
      <name val="Helvetica"/>
    </font>
    <font>
      <sz val="10"/>
      <name val="Symbol"/>
      <family val="1"/>
      <charset val="2"/>
    </font>
    <font>
      <sz val="9"/>
      <color indexed="8"/>
      <name val="Arial"/>
      <family val="2"/>
    </font>
    <font>
      <sz val="9"/>
      <name val="Arial"/>
      <family val="2"/>
    </font>
    <font>
      <sz val="9"/>
      <color theme="1"/>
      <name val="Calibri"/>
      <family val="2"/>
      <scheme val="minor"/>
    </font>
    <font>
      <b/>
      <sz val="9"/>
      <name val="Arial"/>
      <family val="2"/>
    </font>
    <font>
      <sz val="10"/>
      <color theme="1"/>
      <name val="Arial"/>
      <family val="2"/>
    </font>
    <font>
      <sz val="9"/>
      <color theme="1"/>
      <name val="Arial"/>
      <family val="2"/>
    </font>
    <font>
      <i/>
      <sz val="10"/>
      <name val="Arial"/>
      <family val="2"/>
    </font>
    <font>
      <sz val="10"/>
      <color rgb="FFFF0000"/>
      <name val="Arial"/>
      <family val="2"/>
    </font>
    <font>
      <sz val="10"/>
      <color indexed="10"/>
      <name val="Arial"/>
      <family val="2"/>
    </font>
    <font>
      <sz val="11"/>
      <name val="Arial"/>
      <family val="2"/>
    </font>
    <font>
      <sz val="9"/>
      <color indexed="81"/>
      <name val="Tahoma"/>
      <charset val="1"/>
    </font>
    <font>
      <b/>
      <sz val="9"/>
      <color indexed="81"/>
      <name val="Tahoma"/>
      <charset val="1"/>
    </font>
    <font>
      <b/>
      <sz val="9"/>
      <color indexed="81"/>
      <name val="Tahoma"/>
      <family val="2"/>
    </font>
    <font>
      <sz val="9"/>
      <color indexed="81"/>
      <name val="Tahoma"/>
      <family val="2"/>
    </font>
    <font>
      <sz val="11"/>
      <name val="Calibri"/>
      <family val="2"/>
      <scheme val="minor"/>
    </font>
    <font>
      <sz val="11"/>
      <color indexed="10"/>
      <name val="Arial"/>
      <family val="2"/>
    </font>
    <font>
      <i/>
      <sz val="9"/>
      <color indexed="8"/>
      <name val="Arial"/>
      <family val="2"/>
    </font>
    <font>
      <i/>
      <sz val="9"/>
      <name val="Arial"/>
      <family val="2"/>
    </font>
    <font>
      <sz val="9"/>
      <color rgb="FFFF0000"/>
      <name val="Arial"/>
      <family val="2"/>
    </font>
    <font>
      <sz val="8"/>
      <name val="Calibri"/>
      <family val="2"/>
      <scheme val="minor"/>
    </font>
    <font>
      <u/>
      <sz val="11"/>
      <color theme="10"/>
      <name val="Calibri"/>
      <family val="2"/>
      <scheme val="minor"/>
    </font>
    <font>
      <sz val="11"/>
      <color theme="1"/>
      <name val="Titillium Web Regular"/>
    </font>
    <font>
      <sz val="11"/>
      <color rgb="FF87A1D3"/>
      <name val="Titillium Web Regular"/>
    </font>
    <font>
      <b/>
      <sz val="24"/>
      <color theme="0"/>
      <name val="Titillium Web Regular"/>
    </font>
    <font>
      <sz val="28"/>
      <color theme="0"/>
      <name val="Titillium Web Regular"/>
    </font>
    <font>
      <sz val="18"/>
      <color theme="0"/>
      <name val="Titillium Web Regular"/>
    </font>
    <font>
      <sz val="14"/>
      <color theme="0"/>
      <name val="Titillium Web Regular"/>
    </font>
    <font>
      <u/>
      <sz val="14"/>
      <color theme="0"/>
      <name val="Titillium Web Regular"/>
    </font>
  </fonts>
  <fills count="1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indexed="2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254368"/>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9" fontId="17" fillId="0" borderId="6" applyNumberFormat="0" applyFont="0" applyFill="0" applyBorder="0" applyProtection="0">
      <alignment horizontal="left" vertical="center" indent="2"/>
    </xf>
    <xf numFmtId="49" fontId="31" fillId="0" borderId="6" applyNumberFormat="0" applyFill="0" applyBorder="0" applyProtection="0">
      <alignment horizontal="left" vertical="center"/>
    </xf>
    <xf numFmtId="4" fontId="31" fillId="0" borderId="12" applyFill="0" applyBorder="0" applyProtection="0">
      <alignment horizontal="right" vertical="center"/>
    </xf>
    <xf numFmtId="0" fontId="32" fillId="5" borderId="0" applyNumberFormat="0" applyFont="0" applyBorder="0" applyAlignment="0" applyProtection="0"/>
    <xf numFmtId="0" fontId="17" fillId="0" borderId="6" applyNumberFormat="0" applyFill="0" applyAlignment="0" applyProtection="0"/>
    <xf numFmtId="49" fontId="17" fillId="0" borderId="16" applyNumberFormat="0" applyFont="0" applyFill="0" applyBorder="0" applyProtection="0">
      <alignment horizontal="left" vertical="center" indent="5"/>
    </xf>
    <xf numFmtId="4" fontId="17" fillId="0" borderId="6" applyFill="0" applyBorder="0" applyProtection="0">
      <alignment horizontal="right" vertical="center"/>
    </xf>
    <xf numFmtId="0" fontId="28" fillId="0" borderId="0"/>
    <xf numFmtId="0" fontId="54" fillId="0" borderId="0" applyNumberFormat="0" applyFill="0" applyBorder="0" applyAlignment="0" applyProtection="0"/>
  </cellStyleXfs>
  <cellXfs count="606">
    <xf numFmtId="0" fontId="0" fillId="0" borderId="0" xfId="0"/>
    <xf numFmtId="0" fontId="0" fillId="0" borderId="5" xfId="0" applyBorder="1"/>
    <xf numFmtId="0" fontId="6" fillId="0" borderId="0" xfId="0" applyFont="1"/>
    <xf numFmtId="0" fontId="5" fillId="0" borderId="0" xfId="0" applyFont="1"/>
    <xf numFmtId="0" fontId="0" fillId="0" borderId="4" xfId="0" applyBorder="1"/>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6" fillId="2" borderId="0" xfId="0" applyFont="1" applyFill="1"/>
    <xf numFmtId="0" fontId="2" fillId="2" borderId="0" xfId="0" applyFont="1" applyFill="1"/>
    <xf numFmtId="0" fontId="10" fillId="0" borderId="0" xfId="0" applyFont="1" applyAlignment="1">
      <alignment horizontal="center"/>
    </xf>
    <xf numFmtId="0" fontId="11" fillId="0" borderId="0" xfId="0" applyFont="1" applyAlignment="1">
      <alignment horizontal="center"/>
    </xf>
    <xf numFmtId="168" fontId="10" fillId="0" borderId="0" xfId="0" applyNumberFormat="1" applyFont="1" applyAlignment="1">
      <alignment horizontal="center"/>
    </xf>
    <xf numFmtId="169" fontId="10" fillId="0" borderId="0" xfId="0" applyNumberFormat="1" applyFont="1" applyAlignment="1">
      <alignment horizontal="center"/>
    </xf>
    <xf numFmtId="49" fontId="6" fillId="2" borderId="0" xfId="0" applyNumberFormat="1" applyFont="1" applyFill="1"/>
    <xf numFmtId="0" fontId="14" fillId="2" borderId="0" xfId="0" applyFont="1" applyFill="1"/>
    <xf numFmtId="0" fontId="10" fillId="0" borderId="5" xfId="0" applyFont="1" applyBorder="1"/>
    <xf numFmtId="0" fontId="10" fillId="0" borderId="0" xfId="0" applyFont="1"/>
    <xf numFmtId="1" fontId="6" fillId="0" borderId="0" xfId="0" applyNumberFormat="1" applyFont="1" applyAlignment="1">
      <alignment horizontal="right"/>
    </xf>
    <xf numFmtId="1" fontId="6" fillId="0" borderId="0" xfId="0" applyNumberFormat="1" applyFont="1"/>
    <xf numFmtId="1" fontId="12" fillId="0" borderId="0" xfId="0" applyNumberFormat="1" applyFont="1"/>
    <xf numFmtId="0" fontId="18" fillId="2" borderId="0" xfId="2" applyNumberFormat="1" applyFont="1" applyFill="1" applyBorder="1" applyAlignment="1">
      <alignment vertical="center"/>
    </xf>
    <xf numFmtId="0" fontId="8" fillId="2" borderId="0" xfId="0" applyFont="1" applyFill="1"/>
    <xf numFmtId="2" fontId="10" fillId="0" borderId="0" xfId="0" applyNumberFormat="1" applyFont="1" applyAlignment="1">
      <alignment horizontal="center"/>
    </xf>
    <xf numFmtId="0" fontId="17" fillId="0" borderId="0" xfId="2" applyNumberFormat="1" applyFill="1" applyBorder="1">
      <alignment horizontal="left" vertical="center" indent="2"/>
    </xf>
    <xf numFmtId="0" fontId="17" fillId="0" borderId="0" xfId="2" applyNumberFormat="1" applyFont="1" applyFill="1" applyBorder="1">
      <alignment horizontal="left" vertical="center" indent="2"/>
    </xf>
    <xf numFmtId="0" fontId="19" fillId="0" borderId="0" xfId="0" applyFont="1"/>
    <xf numFmtId="0" fontId="19" fillId="0" borderId="11" xfId="0" applyFont="1" applyBorder="1"/>
    <xf numFmtId="3" fontId="19" fillId="0" borderId="11" xfId="0" applyNumberFormat="1" applyFont="1" applyBorder="1"/>
    <xf numFmtId="1" fontId="19" fillId="0" borderId="11" xfId="0" applyNumberFormat="1" applyFont="1" applyBorder="1"/>
    <xf numFmtId="0" fontId="19" fillId="0" borderId="12" xfId="0" applyFont="1" applyBorder="1" applyAlignment="1">
      <alignment horizontal="center"/>
    </xf>
    <xf numFmtId="0" fontId="23" fillId="0" borderId="0" xfId="0" applyFont="1"/>
    <xf numFmtId="3" fontId="20" fillId="0" borderId="0" xfId="0" applyNumberFormat="1" applyFont="1" applyAlignment="1">
      <alignment horizontal="right"/>
    </xf>
    <xf numFmtId="3" fontId="21" fillId="0" borderId="0" xfId="0" applyNumberFormat="1" applyFont="1"/>
    <xf numFmtId="0" fontId="25" fillId="0" borderId="0" xfId="0" applyFont="1"/>
    <xf numFmtId="3" fontId="24" fillId="2" borderId="0" xfId="0" applyNumberFormat="1" applyFont="1" applyFill="1"/>
    <xf numFmtId="3" fontId="19" fillId="0" borderId="11" xfId="0" applyNumberFormat="1" applyFont="1" applyBorder="1" applyAlignment="1">
      <alignment horizontal="right"/>
    </xf>
    <xf numFmtId="3" fontId="22" fillId="2" borderId="0" xfId="0" applyNumberFormat="1" applyFont="1" applyFill="1" applyAlignment="1">
      <alignment horizontal="center"/>
    </xf>
    <xf numFmtId="3" fontId="22" fillId="0" borderId="0" xfId="0" applyNumberFormat="1" applyFont="1" applyAlignment="1">
      <alignment horizontal="center"/>
    </xf>
    <xf numFmtId="165" fontId="9" fillId="0" borderId="0" xfId="0" applyNumberFormat="1" applyFont="1" applyAlignment="1">
      <alignment horizontal="right"/>
    </xf>
    <xf numFmtId="3" fontId="22" fillId="3" borderId="0" xfId="0" applyNumberFormat="1" applyFont="1" applyFill="1"/>
    <xf numFmtId="3" fontId="24" fillId="2" borderId="0" xfId="0" applyNumberFormat="1" applyFont="1" applyFill="1" applyAlignment="1">
      <alignment horizontal="center"/>
    </xf>
    <xf numFmtId="2" fontId="0" fillId="0" borderId="0" xfId="0" applyNumberFormat="1"/>
    <xf numFmtId="0" fontId="10" fillId="0" borderId="5" xfId="0" applyFont="1" applyBorder="1" applyAlignment="1">
      <alignment horizontal="center"/>
    </xf>
    <xf numFmtId="4" fontId="9" fillId="0" borderId="5" xfId="0" applyNumberFormat="1" applyFont="1" applyBorder="1" applyAlignment="1">
      <alignment horizontal="right"/>
    </xf>
    <xf numFmtId="3" fontId="24" fillId="2" borderId="5" xfId="0" applyNumberFormat="1" applyFont="1" applyFill="1" applyBorder="1" applyAlignment="1">
      <alignment horizontal="center"/>
    </xf>
    <xf numFmtId="3" fontId="24" fillId="2" borderId="2" xfId="0" applyNumberFormat="1" applyFont="1" applyFill="1" applyBorder="1" applyAlignment="1">
      <alignment horizontal="center"/>
    </xf>
    <xf numFmtId="2" fontId="6" fillId="0" borderId="0" xfId="0" applyNumberFormat="1" applyFont="1"/>
    <xf numFmtId="0" fontId="12" fillId="0" borderId="0" xfId="0" applyFont="1"/>
    <xf numFmtId="0" fontId="19" fillId="0" borderId="11" xfId="0" applyFont="1" applyBorder="1" applyAlignment="1">
      <alignment horizontal="center"/>
    </xf>
    <xf numFmtId="3" fontId="20" fillId="0" borderId="11" xfId="0" applyNumberFormat="1" applyFont="1" applyBorder="1" applyAlignment="1">
      <alignment horizontal="right"/>
    </xf>
    <xf numFmtId="0" fontId="25" fillId="0" borderId="4" xfId="0" applyFont="1" applyBorder="1"/>
    <xf numFmtId="0" fontId="7" fillId="0" borderId="11" xfId="0" applyFont="1" applyBorder="1" applyAlignment="1">
      <alignment horizontal="center"/>
    </xf>
    <xf numFmtId="0" fontId="4" fillId="0" borderId="12" xfId="0" applyFont="1" applyBorder="1" applyAlignment="1">
      <alignment horizontal="center"/>
    </xf>
    <xf numFmtId="0" fontId="10" fillId="0" borderId="11" xfId="0" applyFont="1" applyBorder="1" applyAlignment="1">
      <alignment horizontal="center"/>
    </xf>
    <xf numFmtId="4" fontId="21" fillId="0" borderId="5" xfId="0" applyNumberFormat="1" applyFont="1" applyBorder="1"/>
    <xf numFmtId="166" fontId="21" fillId="0" borderId="5" xfId="0" applyNumberFormat="1" applyFont="1" applyBorder="1"/>
    <xf numFmtId="0" fontId="4" fillId="0" borderId="4" xfId="0" applyFont="1" applyBorder="1" applyAlignment="1">
      <alignment horizontal="center"/>
    </xf>
    <xf numFmtId="0" fontId="4" fillId="0" borderId="5" xfId="0" applyFont="1" applyBorder="1" applyAlignment="1">
      <alignment horizontal="center"/>
    </xf>
    <xf numFmtId="3" fontId="24" fillId="2" borderId="2" xfId="0" applyNumberFormat="1" applyFont="1" applyFill="1" applyBorder="1"/>
    <xf numFmtId="0" fontId="12" fillId="0" borderId="14" xfId="0" applyFont="1" applyBorder="1" applyAlignment="1">
      <alignment horizontal="right"/>
    </xf>
    <xf numFmtId="3" fontId="21" fillId="0" borderId="6" xfId="0" applyNumberFormat="1" applyFont="1" applyBorder="1"/>
    <xf numFmtId="164" fontId="13" fillId="0" borderId="15" xfId="0" applyNumberFormat="1" applyFont="1" applyBorder="1" applyAlignment="1">
      <alignment horizontal="right"/>
    </xf>
    <xf numFmtId="43" fontId="24" fillId="0" borderId="0" xfId="1" applyFont="1" applyFill="1" applyBorder="1" applyAlignment="1">
      <alignment horizontal="center"/>
    </xf>
    <xf numFmtId="43" fontId="22" fillId="0" borderId="5" xfId="1" applyFont="1" applyFill="1" applyBorder="1" applyAlignment="1">
      <alignment horizontal="center"/>
    </xf>
    <xf numFmtId="167" fontId="10" fillId="0" borderId="11" xfId="0" applyNumberFormat="1" applyFont="1" applyBorder="1" applyAlignment="1">
      <alignment horizontal="center"/>
    </xf>
    <xf numFmtId="3" fontId="24" fillId="2" borderId="4" xfId="0" applyNumberFormat="1" applyFont="1" applyFill="1" applyBorder="1" applyAlignment="1">
      <alignment horizontal="center"/>
    </xf>
    <xf numFmtId="3" fontId="24" fillId="2" borderId="11" xfId="0" applyNumberFormat="1" applyFont="1" applyFill="1" applyBorder="1" applyAlignment="1">
      <alignment horizontal="center"/>
    </xf>
    <xf numFmtId="0" fontId="0" fillId="0" borderId="11" xfId="0" applyBorder="1"/>
    <xf numFmtId="3" fontId="24" fillId="2" borderId="3" xfId="0" applyNumberFormat="1" applyFont="1" applyFill="1" applyBorder="1" applyAlignment="1">
      <alignment horizontal="center"/>
    </xf>
    <xf numFmtId="3" fontId="0" fillId="0" borderId="5" xfId="0" applyNumberFormat="1" applyBorder="1"/>
    <xf numFmtId="0" fontId="8" fillId="0" borderId="0" xfId="0" applyFont="1"/>
    <xf numFmtId="0" fontId="0" fillId="0" borderId="12" xfId="0" applyBorder="1"/>
    <xf numFmtId="0" fontId="26" fillId="0" borderId="0" xfId="0" applyFont="1"/>
    <xf numFmtId="0" fontId="0" fillId="0" borderId="6" xfId="0" applyBorder="1" applyAlignment="1">
      <alignment horizontal="centerContinuous"/>
    </xf>
    <xf numFmtId="164" fontId="27" fillId="0" borderId="6" xfId="0" applyNumberFormat="1" applyFont="1" applyBorder="1" applyAlignment="1">
      <alignment horizontal="center"/>
    </xf>
    <xf numFmtId="0" fontId="0" fillId="0" borderId="14" xfId="0" applyBorder="1" applyAlignment="1">
      <alignment horizontal="centerContinuous"/>
    </xf>
    <xf numFmtId="0" fontId="0" fillId="0" borderId="15" xfId="0" applyBorder="1" applyAlignment="1">
      <alignment horizontal="centerContinuous"/>
    </xf>
    <xf numFmtId="2" fontId="0" fillId="0" borderId="15" xfId="0" applyNumberFormat="1" applyBorder="1" applyAlignment="1">
      <alignment horizontal="centerContinuous"/>
    </xf>
    <xf numFmtId="167" fontId="26" fillId="0" borderId="6" xfId="0" applyNumberFormat="1" applyFont="1" applyBorder="1" applyAlignment="1">
      <alignment horizontal="center"/>
    </xf>
    <xf numFmtId="0" fontId="0" fillId="0" borderId="8" xfId="0" applyBorder="1" applyAlignment="1">
      <alignment horizontal="center"/>
    </xf>
    <xf numFmtId="2" fontId="0" fillId="0" borderId="8" xfId="0" applyNumberFormat="1" applyBorder="1" applyAlignment="1">
      <alignment horizontal="center"/>
    </xf>
    <xf numFmtId="49" fontId="0" fillId="0" borderId="12" xfId="0" applyNumberFormat="1" applyBorder="1"/>
    <xf numFmtId="0" fontId="0" fillId="0" borderId="9" xfId="0" applyBorder="1"/>
    <xf numFmtId="49" fontId="0" fillId="0" borderId="9" xfId="0" applyNumberFormat="1" applyBorder="1"/>
    <xf numFmtId="0" fontId="0" fillId="0" borderId="6" xfId="0" applyBorder="1"/>
    <xf numFmtId="2" fontId="0" fillId="0" borderId="2" xfId="0" applyNumberFormat="1" applyBorder="1"/>
    <xf numFmtId="0" fontId="0" fillId="0" borderId="10" xfId="0" applyBorder="1"/>
    <xf numFmtId="49" fontId="0" fillId="0" borderId="5" xfId="0" applyNumberFormat="1" applyBorder="1"/>
    <xf numFmtId="49" fontId="0" fillId="0" borderId="6" xfId="0" applyNumberFormat="1" applyBorder="1"/>
    <xf numFmtId="0" fontId="0" fillId="0" borderId="15" xfId="0" applyBorder="1"/>
    <xf numFmtId="0" fontId="0" fillId="0" borderId="8" xfId="0" applyBorder="1"/>
    <xf numFmtId="49" fontId="0" fillId="0" borderId="10" xfId="0" applyNumberFormat="1" applyBorder="1"/>
    <xf numFmtId="49" fontId="0" fillId="0" borderId="11" xfId="0" applyNumberFormat="1" applyBorder="1"/>
    <xf numFmtId="49" fontId="0" fillId="0" borderId="13" xfId="0" applyNumberFormat="1" applyBorder="1"/>
    <xf numFmtId="0" fontId="0" fillId="0" borderId="13" xfId="0" applyBorder="1"/>
    <xf numFmtId="0" fontId="0" fillId="0" borderId="1" xfId="0" applyBorder="1"/>
    <xf numFmtId="0" fontId="0" fillId="0" borderId="7" xfId="0" applyBorder="1"/>
    <xf numFmtId="3" fontId="30" fillId="0" borderId="0" xfId="0" applyNumberFormat="1" applyFont="1"/>
    <xf numFmtId="3" fontId="27" fillId="0" borderId="10" xfId="0" applyNumberFormat="1" applyFont="1" applyBorder="1"/>
    <xf numFmtId="3" fontId="27" fillId="0" borderId="11" xfId="0" applyNumberFormat="1" applyFont="1" applyBorder="1"/>
    <xf numFmtId="3" fontId="27" fillId="0" borderId="12" xfId="0" applyNumberFormat="1" applyFont="1" applyBorder="1"/>
    <xf numFmtId="3" fontId="29" fillId="0" borderId="6" xfId="0" applyNumberFormat="1" applyFont="1" applyBorder="1"/>
    <xf numFmtId="3" fontId="27" fillId="0" borderId="10" xfId="0" applyNumberFormat="1" applyFont="1" applyBorder="1" applyAlignment="1">
      <alignment horizontal="right"/>
    </xf>
    <xf numFmtId="3" fontId="0" fillId="0" borderId="11" xfId="0" applyNumberFormat="1" applyBorder="1" applyAlignment="1">
      <alignment horizontal="right"/>
    </xf>
    <xf numFmtId="3" fontId="27" fillId="0" borderId="12" xfId="0" applyNumberFormat="1" applyFont="1" applyBorder="1" applyAlignment="1">
      <alignment horizontal="right"/>
    </xf>
    <xf numFmtId="167" fontId="29" fillId="0" borderId="5" xfId="0" applyNumberFormat="1" applyFont="1" applyBorder="1" applyAlignment="1">
      <alignment horizontal="center"/>
    </xf>
    <xf numFmtId="167" fontId="29" fillId="0" borderId="6" xfId="0" applyNumberFormat="1" applyFont="1" applyBorder="1" applyAlignment="1">
      <alignment horizontal="center"/>
    </xf>
    <xf numFmtId="3" fontId="29" fillId="0" borderId="6" xfId="0" applyNumberFormat="1" applyFont="1" applyBorder="1" applyAlignment="1">
      <alignment horizontal="center"/>
    </xf>
    <xf numFmtId="3" fontId="29" fillId="0" borderId="0" xfId="0" applyNumberFormat="1" applyFont="1"/>
    <xf numFmtId="3" fontId="29" fillId="0" borderId="14" xfId="0" applyNumberFormat="1" applyFont="1" applyBorder="1"/>
    <xf numFmtId="3" fontId="0" fillId="0" borderId="11" xfId="0" applyNumberFormat="1" applyBorder="1"/>
    <xf numFmtId="3" fontId="29" fillId="0" borderId="1" xfId="0" applyNumberFormat="1" applyFont="1" applyBorder="1"/>
    <xf numFmtId="0" fontId="0" fillId="0" borderId="14" xfId="0" applyBorder="1" applyAlignment="1">
      <alignment horizontal="center"/>
    </xf>
    <xf numFmtId="0" fontId="0" fillId="0" borderId="15" xfId="0" applyBorder="1" applyAlignment="1">
      <alignment horizontal="center"/>
    </xf>
    <xf numFmtId="3" fontId="19" fillId="3" borderId="10" xfId="0" applyNumberFormat="1" applyFont="1" applyFill="1" applyBorder="1"/>
    <xf numFmtId="3" fontId="19" fillId="3" borderId="11" xfId="0" applyNumberFormat="1" applyFont="1" applyFill="1" applyBorder="1" applyAlignment="1">
      <alignment horizontal="right"/>
    </xf>
    <xf numFmtId="3" fontId="19" fillId="3" borderId="11" xfId="0" applyNumberFormat="1" applyFont="1" applyFill="1" applyBorder="1"/>
    <xf numFmtId="174" fontId="34" fillId="0" borderId="0" xfId="1" applyNumberFormat="1" applyFont="1" applyFill="1" applyBorder="1" applyAlignment="1">
      <alignment horizontal="center"/>
    </xf>
    <xf numFmtId="174" fontId="34" fillId="0" borderId="0" xfId="1" applyNumberFormat="1" applyFont="1" applyFill="1" applyAlignment="1">
      <alignment horizontal="center"/>
    </xf>
    <xf numFmtId="3" fontId="34" fillId="0" borderId="0" xfId="0" applyNumberFormat="1" applyFont="1" applyAlignment="1">
      <alignment horizontal="center"/>
    </xf>
    <xf numFmtId="0" fontId="34" fillId="0" borderId="0" xfId="0" applyFont="1" applyAlignment="1">
      <alignment horizontal="center"/>
    </xf>
    <xf numFmtId="0" fontId="34" fillId="0" borderId="5" xfId="0" applyFont="1" applyBorder="1" applyAlignment="1">
      <alignment horizontal="center"/>
    </xf>
    <xf numFmtId="43" fontId="34" fillId="0" borderId="5" xfId="1" applyFont="1" applyBorder="1" applyAlignment="1">
      <alignment horizontal="center"/>
    </xf>
    <xf numFmtId="43" fontId="34" fillId="0" borderId="5" xfId="1" applyFont="1" applyFill="1" applyBorder="1" applyAlignment="1">
      <alignment horizontal="center"/>
    </xf>
    <xf numFmtId="0" fontId="36" fillId="0" borderId="5" xfId="0" applyFont="1" applyBorder="1"/>
    <xf numFmtId="1" fontId="37" fillId="0" borderId="0" xfId="0" applyNumberFormat="1" applyFont="1" applyAlignment="1">
      <alignment horizontal="center"/>
    </xf>
    <xf numFmtId="3" fontId="22" fillId="2" borderId="11" xfId="0" applyNumberFormat="1" applyFont="1" applyFill="1" applyBorder="1" applyAlignment="1">
      <alignment horizontal="center"/>
    </xf>
    <xf numFmtId="3" fontId="22" fillId="2" borderId="0" xfId="1" applyNumberFormat="1" applyFont="1" applyFill="1" applyBorder="1" applyAlignment="1">
      <alignment horizontal="center"/>
    </xf>
    <xf numFmtId="0" fontId="38" fillId="0" borderId="4" xfId="0" applyFont="1" applyBorder="1"/>
    <xf numFmtId="0" fontId="38" fillId="0" borderId="0" xfId="0" applyFont="1"/>
    <xf numFmtId="167" fontId="39" fillId="0" borderId="0" xfId="0" applyNumberFormat="1" applyFont="1"/>
    <xf numFmtId="167" fontId="39" fillId="4" borderId="0" xfId="0" applyNumberFormat="1" applyFont="1" applyFill="1"/>
    <xf numFmtId="43" fontId="39" fillId="0" borderId="0" xfId="1" applyFont="1" applyBorder="1"/>
    <xf numFmtId="167" fontId="35" fillId="0" borderId="0" xfId="0" applyNumberFormat="1" applyFont="1"/>
    <xf numFmtId="167" fontId="35" fillId="4" borderId="0" xfId="0" applyNumberFormat="1" applyFont="1" applyFill="1"/>
    <xf numFmtId="176" fontId="39" fillId="0" borderId="0" xfId="0" applyNumberFormat="1" applyFont="1" applyAlignment="1">
      <alignment horizontal="centerContinuous"/>
    </xf>
    <xf numFmtId="176" fontId="39" fillId="4" borderId="0" xfId="0" applyNumberFormat="1" applyFont="1" applyFill="1" applyAlignment="1">
      <alignment horizontal="centerContinuous"/>
    </xf>
    <xf numFmtId="43" fontId="39" fillId="0" borderId="0" xfId="1" applyFont="1" applyBorder="1" applyAlignment="1">
      <alignment horizontal="centerContinuous"/>
    </xf>
    <xf numFmtId="167" fontId="39" fillId="4" borderId="0" xfId="0" applyNumberFormat="1" applyFont="1" applyFill="1" applyProtection="1">
      <protection locked="0"/>
    </xf>
    <xf numFmtId="167" fontId="39" fillId="0" borderId="0" xfId="0" applyNumberFormat="1" applyFont="1" applyProtection="1">
      <protection locked="0"/>
    </xf>
    <xf numFmtId="43" fontId="39" fillId="0" borderId="0" xfId="1" applyFont="1" applyBorder="1" applyAlignment="1" applyProtection="1">
      <protection locked="0"/>
    </xf>
    <xf numFmtId="167" fontId="35" fillId="0" borderId="0" xfId="0" applyNumberFormat="1" applyFont="1" applyProtection="1">
      <protection locked="0"/>
    </xf>
    <xf numFmtId="167" fontId="35" fillId="4" borderId="0" xfId="0" applyNumberFormat="1" applyFont="1" applyFill="1" applyProtection="1">
      <protection locked="0"/>
    </xf>
    <xf numFmtId="43" fontId="35" fillId="0" borderId="0" xfId="1" applyFont="1" applyBorder="1" applyAlignment="1" applyProtection="1">
      <protection locked="0"/>
    </xf>
    <xf numFmtId="167" fontId="39" fillId="4" borderId="8" xfId="0" applyNumberFormat="1" applyFont="1" applyFill="1" applyBorder="1"/>
    <xf numFmtId="167" fontId="39" fillId="0" borderId="8" xfId="0" quotePrefix="1" applyNumberFormat="1" applyFont="1" applyBorder="1"/>
    <xf numFmtId="167" fontId="39" fillId="0" borderId="8" xfId="0" applyNumberFormat="1" applyFont="1" applyBorder="1"/>
    <xf numFmtId="43" fontId="39" fillId="0" borderId="8" xfId="1" applyFont="1" applyBorder="1" applyAlignment="1"/>
    <xf numFmtId="0" fontId="39" fillId="4" borderId="8" xfId="0" applyFont="1" applyFill="1" applyBorder="1"/>
    <xf numFmtId="2" fontId="39" fillId="4" borderId="8" xfId="0" applyNumberFormat="1" applyFont="1" applyFill="1" applyBorder="1"/>
    <xf numFmtId="2" fontId="39" fillId="0" borderId="8" xfId="0" quotePrefix="1" applyNumberFormat="1" applyFont="1" applyBorder="1"/>
    <xf numFmtId="2" fontId="39" fillId="0" borderId="8" xfId="0" applyNumberFormat="1" applyFont="1" applyBorder="1"/>
    <xf numFmtId="164" fontId="39" fillId="0" borderId="0" xfId="0" applyNumberFormat="1" applyFont="1" applyAlignment="1">
      <alignment horizontal="right"/>
    </xf>
    <xf numFmtId="164" fontId="39" fillId="4" borderId="0" xfId="0" applyNumberFormat="1" applyFont="1" applyFill="1" applyAlignment="1">
      <alignment horizontal="right"/>
    </xf>
    <xf numFmtId="2" fontId="39" fillId="4" borderId="0" xfId="0" applyNumberFormat="1" applyFont="1" applyFill="1" applyAlignment="1">
      <alignment horizontal="center"/>
    </xf>
    <xf numFmtId="2" fontId="39" fillId="0" borderId="0" xfId="0" applyNumberFormat="1" applyFont="1" applyAlignment="1">
      <alignment horizontal="center"/>
    </xf>
    <xf numFmtId="177" fontId="39" fillId="0" borderId="0" xfId="1" applyNumberFormat="1" applyFont="1" applyFill="1" applyBorder="1"/>
    <xf numFmtId="43" fontId="39" fillId="0" borderId="0" xfId="1" applyFont="1" applyFill="1" applyBorder="1"/>
    <xf numFmtId="43" fontId="39" fillId="0" borderId="0" xfId="1" applyFont="1" applyFill="1" applyBorder="1" applyAlignment="1">
      <alignment horizontal="center"/>
    </xf>
    <xf numFmtId="43" fontId="39" fillId="0" borderId="0" xfId="1" applyFont="1" applyFill="1" applyBorder="1" applyAlignment="1" applyProtection="1">
      <protection locked="0"/>
    </xf>
    <xf numFmtId="43" fontId="39" fillId="0" borderId="8" xfId="1" applyFont="1" applyFill="1" applyBorder="1" applyAlignment="1"/>
    <xf numFmtId="167" fontId="39" fillId="0" borderId="0" xfId="0" quotePrefix="1" applyNumberFormat="1" applyFont="1"/>
    <xf numFmtId="164" fontId="39" fillId="0" borderId="1" xfId="0" applyNumberFormat="1" applyFont="1" applyBorder="1"/>
    <xf numFmtId="164" fontId="39" fillId="4" borderId="2" xfId="0" applyNumberFormat="1" applyFont="1" applyFill="1" applyBorder="1" applyAlignment="1">
      <alignment horizontal="right"/>
    </xf>
    <xf numFmtId="2" fontId="39" fillId="4" borderId="2" xfId="0" applyNumberFormat="1" applyFont="1" applyFill="1" applyBorder="1" applyAlignment="1">
      <alignment horizontal="center"/>
    </xf>
    <xf numFmtId="2" fontId="39" fillId="0" borderId="2" xfId="0" applyNumberFormat="1" applyFont="1" applyBorder="1" applyAlignment="1">
      <alignment horizontal="center"/>
    </xf>
    <xf numFmtId="0" fontId="39" fillId="0" borderId="0" xfId="0" applyFont="1"/>
    <xf numFmtId="43" fontId="35" fillId="0" borderId="0" xfId="1" applyFont="1" applyFill="1" applyBorder="1" applyAlignment="1" applyProtection="1">
      <protection locked="0"/>
    </xf>
    <xf numFmtId="168" fontId="39" fillId="0" borderId="0" xfId="0" applyNumberFormat="1" applyFont="1"/>
    <xf numFmtId="171" fontId="39" fillId="0" borderId="0" xfId="1" applyNumberFormat="1" applyFont="1" applyFill="1" applyBorder="1"/>
    <xf numFmtId="172" fontId="39" fillId="0" borderId="0" xfId="1" applyNumberFormat="1" applyFont="1" applyFill="1" applyBorder="1"/>
    <xf numFmtId="1" fontId="35" fillId="0" borderId="0" xfId="9" applyNumberFormat="1" applyFont="1" applyProtection="1">
      <protection locked="0"/>
    </xf>
    <xf numFmtId="0" fontId="39" fillId="0" borderId="8" xfId="0" applyFont="1" applyBorder="1"/>
    <xf numFmtId="2" fontId="39" fillId="0" borderId="7" xfId="0" applyNumberFormat="1" applyFont="1" applyBorder="1"/>
    <xf numFmtId="0" fontId="39" fillId="0" borderId="15" xfId="0" applyFont="1" applyBorder="1"/>
    <xf numFmtId="43" fontId="39" fillId="0" borderId="15" xfId="1" applyFont="1" applyFill="1" applyBorder="1" applyAlignment="1"/>
    <xf numFmtId="43" fontId="39" fillId="0" borderId="15" xfId="1" quotePrefix="1" applyFont="1" applyFill="1" applyBorder="1" applyAlignment="1"/>
    <xf numFmtId="164" fontId="39" fillId="0" borderId="4" xfId="0" applyNumberFormat="1" applyFont="1" applyBorder="1" applyAlignment="1">
      <alignment horizontal="right"/>
    </xf>
    <xf numFmtId="43" fontId="39" fillId="0" borderId="0" xfId="1" applyFont="1" applyFill="1" applyBorder="1" applyAlignment="1">
      <alignment horizontal="right"/>
    </xf>
    <xf numFmtId="167" fontId="39" fillId="0" borderId="0" xfId="1" applyNumberFormat="1" applyFont="1" applyFill="1" applyBorder="1"/>
    <xf numFmtId="43" fontId="39" fillId="0" borderId="8" xfId="1" applyFont="1" applyFill="1" applyBorder="1"/>
    <xf numFmtId="171" fontId="39" fillId="0" borderId="8" xfId="1" applyNumberFormat="1" applyFont="1" applyFill="1" applyBorder="1"/>
    <xf numFmtId="167" fontId="39" fillId="0" borderId="14" xfId="0" applyNumberFormat="1" applyFont="1" applyBorder="1"/>
    <xf numFmtId="167" fontId="39" fillId="0" borderId="15" xfId="0" applyNumberFormat="1" applyFont="1" applyBorder="1"/>
    <xf numFmtId="43" fontId="39" fillId="0" borderId="15" xfId="1" applyFont="1" applyFill="1" applyBorder="1"/>
    <xf numFmtId="43" fontId="39" fillId="0" borderId="13" xfId="1" applyFont="1" applyFill="1" applyBorder="1"/>
    <xf numFmtId="164" fontId="39" fillId="0" borderId="0" xfId="0" applyNumberFormat="1" applyFont="1"/>
    <xf numFmtId="164" fontId="39" fillId="0" borderId="0" xfId="0" applyNumberFormat="1" applyFont="1" applyAlignment="1">
      <alignment horizontal="center"/>
    </xf>
    <xf numFmtId="1" fontId="39" fillId="0" borderId="0" xfId="0" applyNumberFormat="1" applyFont="1" applyAlignment="1">
      <alignment horizontal="center"/>
    </xf>
    <xf numFmtId="0" fontId="39" fillId="0" borderId="0" xfId="0" applyFont="1" applyAlignment="1">
      <alignment horizontal="center"/>
    </xf>
    <xf numFmtId="3" fontId="5" fillId="0" borderId="11" xfId="0" applyNumberFormat="1" applyFont="1" applyBorder="1"/>
    <xf numFmtId="3" fontId="40" fillId="0" borderId="11" xfId="0" applyNumberFormat="1" applyFont="1" applyBorder="1"/>
    <xf numFmtId="0" fontId="41" fillId="0" borderId="12" xfId="0" applyFont="1" applyBorder="1"/>
    <xf numFmtId="0" fontId="41" fillId="0" borderId="4" xfId="0" applyFont="1" applyBorder="1"/>
    <xf numFmtId="0" fontId="41" fillId="0" borderId="1" xfId="0" applyFont="1" applyBorder="1"/>
    <xf numFmtId="3" fontId="5" fillId="0" borderId="4" xfId="0" applyNumberFormat="1" applyFont="1" applyBorder="1"/>
    <xf numFmtId="3" fontId="40" fillId="0" borderId="4" xfId="0" applyNumberFormat="1" applyFont="1" applyBorder="1"/>
    <xf numFmtId="0" fontId="5" fillId="0" borderId="4" xfId="0" applyFont="1" applyBorder="1"/>
    <xf numFmtId="0" fontId="7" fillId="0" borderId="6" xfId="0" applyFont="1" applyBorder="1" applyAlignment="1">
      <alignment horizontal="center"/>
    </xf>
    <xf numFmtId="0" fontId="3" fillId="0" borderId="6" xfId="0" applyFont="1" applyBorder="1" applyAlignment="1">
      <alignment horizontal="center"/>
    </xf>
    <xf numFmtId="0" fontId="4" fillId="0" borderId="10" xfId="0" applyFont="1" applyBorder="1"/>
    <xf numFmtId="0" fontId="3" fillId="0" borderId="1" xfId="0" applyFont="1" applyBorder="1"/>
    <xf numFmtId="0" fontId="4" fillId="0" borderId="2" xfId="0" applyFont="1" applyBorder="1"/>
    <xf numFmtId="0" fontId="42" fillId="0" borderId="10" xfId="0" applyFont="1" applyBorder="1"/>
    <xf numFmtId="0" fontId="4" fillId="0" borderId="15" xfId="0" applyFont="1" applyBorder="1" applyAlignment="1">
      <alignment horizontal="center"/>
    </xf>
    <xf numFmtId="0" fontId="4" fillId="0" borderId="13" xfId="0" applyFont="1" applyBorder="1" applyAlignment="1">
      <alignment horizontal="center"/>
    </xf>
    <xf numFmtId="0" fontId="4" fillId="0" borderId="11" xfId="0" applyFont="1" applyBorder="1"/>
    <xf numFmtId="0" fontId="4" fillId="0" borderId="11" xfId="0" applyFont="1" applyBorder="1" applyAlignment="1">
      <alignment horizontal="center"/>
    </xf>
    <xf numFmtId="0" fontId="38" fillId="0" borderId="5" xfId="0" applyFont="1" applyBorder="1"/>
    <xf numFmtId="0" fontId="4" fillId="0" borderId="12" xfId="0" applyFont="1" applyBorder="1"/>
    <xf numFmtId="0" fontId="4" fillId="0" borderId="7" xfId="0" applyFont="1" applyBorder="1"/>
    <xf numFmtId="0" fontId="4" fillId="0" borderId="0" xfId="0" applyFont="1"/>
    <xf numFmtId="0" fontId="4" fillId="0" borderId="13" xfId="0" applyFont="1" applyBorder="1"/>
    <xf numFmtId="3" fontId="40" fillId="0" borderId="0" xfId="0" applyNumberFormat="1" applyFont="1"/>
    <xf numFmtId="1" fontId="5" fillId="0" borderId="4" xfId="0" applyNumberFormat="1" applyFont="1" applyBorder="1"/>
    <xf numFmtId="0" fontId="41" fillId="0" borderId="0" xfId="0" applyFont="1"/>
    <xf numFmtId="0" fontId="38" fillId="0" borderId="11" xfId="0" applyFont="1" applyBorder="1"/>
    <xf numFmtId="0" fontId="4" fillId="0" borderId="10" xfId="0" applyFont="1" applyBorder="1" applyAlignment="1">
      <alignment horizontal="center"/>
    </xf>
    <xf numFmtId="0" fontId="4" fillId="0" borderId="1" xfId="0" applyFont="1" applyBorder="1"/>
    <xf numFmtId="3" fontId="5" fillId="0" borderId="2" xfId="0" applyNumberFormat="1" applyFont="1" applyBorder="1"/>
    <xf numFmtId="3" fontId="5" fillId="0" borderId="8" xfId="0" applyNumberFormat="1" applyFont="1" applyBorder="1"/>
    <xf numFmtId="3" fontId="24" fillId="2" borderId="1" xfId="0" applyNumberFormat="1" applyFont="1" applyFill="1" applyBorder="1"/>
    <xf numFmtId="0" fontId="10" fillId="0" borderId="4" xfId="0" applyFont="1" applyBorder="1" applyAlignment="1">
      <alignment horizontal="center"/>
    </xf>
    <xf numFmtId="4" fontId="22" fillId="3" borderId="0" xfId="0" applyNumberFormat="1" applyFont="1" applyFill="1"/>
    <xf numFmtId="4" fontId="22" fillId="3" borderId="5" xfId="0" applyNumberFormat="1" applyFont="1" applyFill="1" applyBorder="1"/>
    <xf numFmtId="4" fontId="22" fillId="3" borderId="11" xfId="0" applyNumberFormat="1" applyFont="1" applyFill="1" applyBorder="1"/>
    <xf numFmtId="166" fontId="22" fillId="3" borderId="0" xfId="0" applyNumberFormat="1" applyFont="1" applyFill="1"/>
    <xf numFmtId="0" fontId="4" fillId="0" borderId="14" xfId="0" applyFont="1" applyBorder="1" applyAlignment="1">
      <alignment horizontal="center"/>
    </xf>
    <xf numFmtId="43" fontId="34" fillId="0" borderId="0" xfId="1" applyFont="1" applyFill="1" applyBorder="1" applyAlignment="1">
      <alignment horizontal="center"/>
    </xf>
    <xf numFmtId="175" fontId="19" fillId="0" borderId="11" xfId="1" applyNumberFormat="1" applyFont="1" applyFill="1" applyBorder="1"/>
    <xf numFmtId="0" fontId="6" fillId="0" borderId="8" xfId="0" applyFont="1" applyBorder="1"/>
    <xf numFmtId="0" fontId="6" fillId="0" borderId="2" xfId="0" applyFont="1" applyBorder="1"/>
    <xf numFmtId="164" fontId="39" fillId="0" borderId="4" xfId="0" applyNumberFormat="1" applyFont="1" applyBorder="1"/>
    <xf numFmtId="164" fontId="35" fillId="0" borderId="0" xfId="9" applyNumberFormat="1" applyFont="1" applyProtection="1">
      <protection locked="0"/>
    </xf>
    <xf numFmtId="164" fontId="39" fillId="0" borderId="8" xfId="0" applyNumberFormat="1" applyFont="1" applyBorder="1"/>
    <xf numFmtId="168" fontId="39" fillId="0" borderId="8" xfId="0" applyNumberFormat="1" applyFont="1" applyBorder="1"/>
    <xf numFmtId="168" fontId="39" fillId="0" borderId="0" xfId="0" applyNumberFormat="1" applyFont="1" applyAlignment="1">
      <alignment horizontal="right"/>
    </xf>
    <xf numFmtId="165" fontId="22" fillId="2" borderId="0" xfId="0" applyNumberFormat="1" applyFont="1" applyFill="1" applyAlignment="1">
      <alignment horizontal="center"/>
    </xf>
    <xf numFmtId="174" fontId="34" fillId="6" borderId="0" xfId="1" applyNumberFormat="1" applyFont="1" applyFill="1" applyBorder="1" applyAlignment="1">
      <alignment horizontal="center"/>
    </xf>
    <xf numFmtId="174" fontId="34" fillId="6" borderId="0" xfId="1" applyNumberFormat="1" applyFont="1" applyFill="1" applyAlignment="1">
      <alignment horizontal="center"/>
    </xf>
    <xf numFmtId="174" fontId="34" fillId="6" borderId="4" xfId="1" applyNumberFormat="1" applyFont="1" applyFill="1" applyBorder="1" applyAlignment="1">
      <alignment horizontal="center"/>
    </xf>
    <xf numFmtId="174" fontId="34" fillId="6" borderId="7" xfId="1" applyNumberFormat="1" applyFont="1" applyFill="1" applyBorder="1" applyAlignment="1">
      <alignment horizontal="center"/>
    </xf>
    <xf numFmtId="175" fontId="34" fillId="6" borderId="0" xfId="1" applyNumberFormat="1" applyFont="1" applyFill="1" applyAlignment="1">
      <alignment horizontal="center"/>
    </xf>
    <xf numFmtId="43" fontId="34" fillId="6" borderId="4" xfId="1" applyFont="1" applyFill="1" applyBorder="1" applyAlignment="1">
      <alignment horizontal="center"/>
    </xf>
    <xf numFmtId="43" fontId="34" fillId="6" borderId="7" xfId="1" applyFont="1" applyFill="1" applyBorder="1" applyAlignment="1">
      <alignment horizontal="center"/>
    </xf>
    <xf numFmtId="43" fontId="34" fillId="7" borderId="0" xfId="1" applyFont="1" applyFill="1" applyAlignment="1">
      <alignment horizontal="center"/>
    </xf>
    <xf numFmtId="180" fontId="34" fillId="7" borderId="0" xfId="1" applyNumberFormat="1" applyFont="1" applyFill="1" applyBorder="1" applyAlignment="1">
      <alignment horizontal="center"/>
    </xf>
    <xf numFmtId="0" fontId="0" fillId="7" borderId="0" xfId="0" applyFill="1"/>
    <xf numFmtId="177" fontId="34" fillId="8" borderId="11" xfId="1" applyNumberFormat="1" applyFont="1" applyFill="1" applyBorder="1" applyAlignment="1">
      <alignment horizontal="right"/>
    </xf>
    <xf numFmtId="179" fontId="34" fillId="8" borderId="0" xfId="1" applyNumberFormat="1" applyFont="1" applyFill="1" applyBorder="1" applyAlignment="1">
      <alignment horizontal="center"/>
    </xf>
    <xf numFmtId="0" fontId="0" fillId="8" borderId="0" xfId="0" applyFill="1"/>
    <xf numFmtId="1" fontId="37" fillId="7" borderId="0" xfId="0" applyNumberFormat="1" applyFont="1" applyFill="1" applyAlignment="1">
      <alignment horizontal="center"/>
    </xf>
    <xf numFmtId="2" fontId="39" fillId="7" borderId="0" xfId="0" applyNumberFormat="1" applyFont="1" applyFill="1" applyAlignment="1">
      <alignment horizontal="center"/>
    </xf>
    <xf numFmtId="164" fontId="13" fillId="7" borderId="15" xfId="0" applyNumberFormat="1" applyFont="1" applyFill="1" applyBorder="1" applyAlignment="1">
      <alignment horizontal="right"/>
    </xf>
    <xf numFmtId="1" fontId="37" fillId="8" borderId="11" xfId="0" applyNumberFormat="1" applyFont="1" applyFill="1" applyBorder="1" applyAlignment="1">
      <alignment horizontal="center"/>
    </xf>
    <xf numFmtId="43" fontId="39" fillId="8" borderId="11" xfId="1" applyFont="1" applyFill="1" applyBorder="1" applyAlignment="1">
      <alignment horizontal="center"/>
    </xf>
    <xf numFmtId="0" fontId="0" fillId="8" borderId="11" xfId="0" applyFill="1" applyBorder="1"/>
    <xf numFmtId="167" fontId="13" fillId="8" borderId="6" xfId="0" applyNumberFormat="1" applyFont="1" applyFill="1" applyBorder="1" applyAlignment="1">
      <alignment horizontal="right"/>
    </xf>
    <xf numFmtId="1" fontId="37" fillId="8" borderId="4" xfId="0" applyNumberFormat="1" applyFont="1" applyFill="1" applyBorder="1" applyAlignment="1">
      <alignment horizontal="center"/>
    </xf>
    <xf numFmtId="43" fontId="39" fillId="8" borderId="4" xfId="1" applyFont="1" applyFill="1" applyBorder="1" applyAlignment="1">
      <alignment horizontal="center"/>
    </xf>
    <xf numFmtId="0" fontId="0" fillId="8" borderId="4" xfId="0" applyFill="1" applyBorder="1"/>
    <xf numFmtId="176" fontId="13" fillId="8" borderId="15" xfId="0" applyNumberFormat="1" applyFont="1" applyFill="1" applyBorder="1" applyAlignment="1">
      <alignment horizontal="right"/>
    </xf>
    <xf numFmtId="1" fontId="37" fillId="8" borderId="5" xfId="0" applyNumberFormat="1" applyFont="1" applyFill="1" applyBorder="1" applyAlignment="1">
      <alignment horizontal="center"/>
    </xf>
    <xf numFmtId="1" fontId="36" fillId="8" borderId="5" xfId="0" applyNumberFormat="1" applyFont="1" applyFill="1" applyBorder="1" applyAlignment="1">
      <alignment horizontal="center"/>
    </xf>
    <xf numFmtId="169" fontId="36" fillId="8" borderId="5" xfId="0" applyNumberFormat="1" applyFont="1" applyFill="1" applyBorder="1" applyAlignment="1">
      <alignment horizontal="center"/>
    </xf>
    <xf numFmtId="0" fontId="0" fillId="8" borderId="5" xfId="0" applyFill="1" applyBorder="1"/>
    <xf numFmtId="43" fontId="13" fillId="8" borderId="15" xfId="1" applyFont="1" applyFill="1" applyBorder="1" applyAlignment="1">
      <alignment horizontal="right"/>
    </xf>
    <xf numFmtId="1" fontId="39" fillId="7" borderId="0" xfId="0" applyNumberFormat="1" applyFont="1" applyFill="1" applyAlignment="1">
      <alignment horizontal="center"/>
    </xf>
    <xf numFmtId="169" fontId="39" fillId="7" borderId="0" xfId="0" applyNumberFormat="1" applyFont="1" applyFill="1" applyAlignment="1">
      <alignment horizontal="center"/>
    </xf>
    <xf numFmtId="173" fontId="13" fillId="7" borderId="15" xfId="1" applyNumberFormat="1" applyFont="1" applyFill="1" applyBorder="1" applyAlignment="1">
      <alignment horizontal="right"/>
    </xf>
    <xf numFmtId="0" fontId="21" fillId="0" borderId="11" xfId="0" applyFont="1" applyBorder="1" applyAlignment="1">
      <alignment horizontal="center"/>
    </xf>
    <xf numFmtId="166" fontId="22" fillId="2" borderId="0" xfId="0" applyNumberFormat="1" applyFont="1" applyFill="1" applyAlignment="1">
      <alignment horizontal="center"/>
    </xf>
    <xf numFmtId="3" fontId="22" fillId="7" borderId="0" xfId="0" applyNumberFormat="1" applyFont="1" applyFill="1" applyAlignment="1">
      <alignment horizontal="center"/>
    </xf>
    <xf numFmtId="2" fontId="34" fillId="7" borderId="0" xfId="0" applyNumberFormat="1" applyFont="1" applyFill="1" applyAlignment="1">
      <alignment horizontal="center"/>
    </xf>
    <xf numFmtId="2" fontId="34" fillId="7" borderId="5" xfId="0" applyNumberFormat="1" applyFont="1" applyFill="1" applyBorder="1" applyAlignment="1">
      <alignment horizontal="center"/>
    </xf>
    <xf numFmtId="164" fontId="34" fillId="7" borderId="5" xfId="0" applyNumberFormat="1" applyFont="1" applyFill="1" applyBorder="1" applyAlignment="1">
      <alignment horizontal="center"/>
    </xf>
    <xf numFmtId="167" fontId="34" fillId="8" borderId="11" xfId="0" applyNumberFormat="1" applyFont="1" applyFill="1" applyBorder="1" applyAlignment="1">
      <alignment horizontal="center"/>
    </xf>
    <xf numFmtId="43" fontId="34" fillId="8" borderId="11" xfId="1" applyFont="1" applyFill="1" applyBorder="1" applyAlignment="1">
      <alignment horizontal="center"/>
    </xf>
    <xf numFmtId="167" fontId="10" fillId="8" borderId="11" xfId="0" applyNumberFormat="1" applyFont="1" applyFill="1" applyBorder="1" applyAlignment="1">
      <alignment horizontal="center"/>
    </xf>
    <xf numFmtId="43" fontId="24" fillId="8" borderId="11" xfId="1" applyFont="1" applyFill="1" applyBorder="1" applyAlignment="1">
      <alignment horizontal="center"/>
    </xf>
    <xf numFmtId="1" fontId="34" fillId="8" borderId="11" xfId="0" applyNumberFormat="1" applyFont="1" applyFill="1" applyBorder="1" applyAlignment="1">
      <alignment horizontal="center"/>
    </xf>
    <xf numFmtId="169" fontId="34" fillId="8" borderId="0" xfId="0" applyNumberFormat="1" applyFont="1" applyFill="1" applyAlignment="1">
      <alignment horizontal="center"/>
    </xf>
    <xf numFmtId="43" fontId="34" fillId="8" borderId="0" xfId="1" applyFont="1" applyFill="1" applyBorder="1" applyAlignment="1">
      <alignment horizontal="center"/>
    </xf>
    <xf numFmtId="170" fontId="34" fillId="8" borderId="0" xfId="0" applyNumberFormat="1" applyFont="1" applyFill="1" applyAlignment="1">
      <alignment horizontal="center"/>
    </xf>
    <xf numFmtId="43" fontId="24" fillId="8" borderId="0" xfId="1" applyFont="1" applyFill="1" applyBorder="1" applyAlignment="1">
      <alignment horizontal="center"/>
    </xf>
    <xf numFmtId="1" fontId="34" fillId="8" borderId="0" xfId="0" applyNumberFormat="1" applyFont="1" applyFill="1" applyAlignment="1">
      <alignment horizontal="center"/>
    </xf>
    <xf numFmtId="0" fontId="34" fillId="8" borderId="0" xfId="0" applyFont="1" applyFill="1" applyAlignment="1">
      <alignment horizontal="center"/>
    </xf>
    <xf numFmtId="168" fontId="34" fillId="7" borderId="0" xfId="0" applyNumberFormat="1" applyFont="1" applyFill="1" applyAlignment="1">
      <alignment horizontal="center"/>
    </xf>
    <xf numFmtId="43" fontId="34" fillId="7" borderId="0" xfId="1" applyFont="1" applyFill="1" applyBorder="1" applyAlignment="1">
      <alignment horizontal="center"/>
    </xf>
    <xf numFmtId="43" fontId="24" fillId="7" borderId="0" xfId="1" applyFont="1" applyFill="1" applyBorder="1" applyAlignment="1">
      <alignment horizontal="center"/>
    </xf>
    <xf numFmtId="1" fontId="34" fillId="7" borderId="0" xfId="0" applyNumberFormat="1" applyFont="1" applyFill="1" applyAlignment="1">
      <alignment horizontal="center"/>
    </xf>
    <xf numFmtId="182" fontId="34" fillId="7" borderId="0" xfId="0" applyNumberFormat="1" applyFont="1" applyFill="1" applyAlignment="1">
      <alignment horizontal="center"/>
    </xf>
    <xf numFmtId="0" fontId="34" fillId="7" borderId="0" xfId="0" applyFont="1" applyFill="1" applyAlignment="1">
      <alignment horizontal="center"/>
    </xf>
    <xf numFmtId="1" fontId="35" fillId="7" borderId="0" xfId="0" applyNumberFormat="1" applyFont="1" applyFill="1" applyAlignment="1">
      <alignment horizontal="center"/>
    </xf>
    <xf numFmtId="3" fontId="34" fillId="7" borderId="0" xfId="0" applyNumberFormat="1" applyFont="1" applyFill="1" applyAlignment="1">
      <alignment horizontal="center"/>
    </xf>
    <xf numFmtId="2" fontId="13" fillId="7" borderId="15" xfId="0" applyNumberFormat="1" applyFont="1" applyFill="1" applyBorder="1" applyAlignment="1">
      <alignment horizontal="right"/>
    </xf>
    <xf numFmtId="43" fontId="13" fillId="8" borderId="13" xfId="1" applyFont="1" applyFill="1" applyBorder="1" applyAlignment="1">
      <alignment horizontal="right"/>
    </xf>
    <xf numFmtId="4" fontId="24" fillId="2" borderId="0" xfId="0" applyNumberFormat="1" applyFont="1" applyFill="1"/>
    <xf numFmtId="4" fontId="24" fillId="2" borderId="11" xfId="0" applyNumberFormat="1" applyFont="1" applyFill="1" applyBorder="1"/>
    <xf numFmtId="4" fontId="24" fillId="2" borderId="1" xfId="0" applyNumberFormat="1" applyFont="1" applyFill="1" applyBorder="1"/>
    <xf numFmtId="0" fontId="0" fillId="6" borderId="0" xfId="0" applyFill="1"/>
    <xf numFmtId="1" fontId="37" fillId="6" borderId="4" xfId="0" applyNumberFormat="1" applyFont="1" applyFill="1" applyBorder="1" applyAlignment="1">
      <alignment horizontal="center"/>
    </xf>
    <xf numFmtId="1" fontId="37" fillId="6" borderId="0" xfId="0" applyNumberFormat="1" applyFont="1" applyFill="1" applyAlignment="1">
      <alignment horizontal="center"/>
    </xf>
    <xf numFmtId="165" fontId="34" fillId="6" borderId="4" xfId="0" applyNumberFormat="1" applyFont="1" applyFill="1" applyBorder="1" applyAlignment="1">
      <alignment horizontal="center"/>
    </xf>
    <xf numFmtId="3" fontId="34" fillId="6" borderId="0" xfId="0" applyNumberFormat="1" applyFont="1" applyFill="1" applyAlignment="1">
      <alignment horizontal="center"/>
    </xf>
    <xf numFmtId="3" fontId="34" fillId="6" borderId="4" xfId="0" applyNumberFormat="1" applyFont="1" applyFill="1" applyBorder="1" applyAlignment="1">
      <alignment horizontal="center"/>
    </xf>
    <xf numFmtId="3" fontId="0" fillId="6" borderId="4" xfId="0" applyNumberFormat="1" applyFill="1" applyBorder="1"/>
    <xf numFmtId="3" fontId="0" fillId="6" borderId="0" xfId="0" applyNumberFormat="1" applyFill="1"/>
    <xf numFmtId="164" fontId="13" fillId="6" borderId="14" xfId="0" applyNumberFormat="1" applyFont="1" applyFill="1" applyBorder="1" applyAlignment="1">
      <alignment horizontal="right"/>
    </xf>
    <xf numFmtId="164" fontId="13" fillId="6" borderId="15" xfId="0" applyNumberFormat="1" applyFont="1" applyFill="1" applyBorder="1" applyAlignment="1">
      <alignment horizontal="right"/>
    </xf>
    <xf numFmtId="1" fontId="39" fillId="6" borderId="0" xfId="0" applyNumberFormat="1" applyFont="1" applyFill="1" applyAlignment="1">
      <alignment horizontal="center"/>
    </xf>
    <xf numFmtId="0" fontId="39" fillId="6" borderId="0" xfId="0" applyFont="1" applyFill="1" applyAlignment="1">
      <alignment horizontal="center"/>
    </xf>
    <xf numFmtId="164" fontId="39" fillId="6" borderId="0" xfId="0" applyNumberFormat="1" applyFont="1" applyFill="1" applyAlignment="1">
      <alignment horizontal="center"/>
    </xf>
    <xf numFmtId="3" fontId="37" fillId="6" borderId="0" xfId="0" applyNumberFormat="1" applyFont="1" applyFill="1" applyAlignment="1">
      <alignment horizontal="center"/>
    </xf>
    <xf numFmtId="167" fontId="34" fillId="6" borderId="0" xfId="0" applyNumberFormat="1" applyFont="1" applyFill="1" applyAlignment="1">
      <alignment horizontal="center"/>
    </xf>
    <xf numFmtId="167" fontId="35" fillId="6" borderId="0" xfId="0" applyNumberFormat="1" applyFont="1" applyFill="1" applyAlignment="1">
      <alignment horizontal="center"/>
    </xf>
    <xf numFmtId="166" fontId="35" fillId="6" borderId="0" xfId="0" applyNumberFormat="1" applyFont="1" applyFill="1" applyAlignment="1">
      <alignment horizontal="center"/>
    </xf>
    <xf numFmtId="43" fontId="39" fillId="6" borderId="0" xfId="1" applyFont="1" applyFill="1" applyBorder="1"/>
    <xf numFmtId="43" fontId="39" fillId="6" borderId="0" xfId="1" applyFont="1" applyFill="1"/>
    <xf numFmtId="2" fontId="39" fillId="6" borderId="4" xfId="0" applyNumberFormat="1" applyFont="1" applyFill="1" applyBorder="1" applyAlignment="1">
      <alignment horizontal="center"/>
    </xf>
    <xf numFmtId="0" fontId="0" fillId="6" borderId="4" xfId="0" applyFill="1" applyBorder="1"/>
    <xf numFmtId="43" fontId="39" fillId="6" borderId="0" xfId="1" applyFont="1" applyFill="1" applyBorder="1" applyAlignment="1">
      <alignment horizontal="center"/>
    </xf>
    <xf numFmtId="43" fontId="39" fillId="6" borderId="0" xfId="1" applyFont="1" applyFill="1" applyAlignment="1">
      <alignment horizontal="center"/>
    </xf>
    <xf numFmtId="2" fontId="39" fillId="6" borderId="7" xfId="0" applyNumberFormat="1" applyFont="1" applyFill="1" applyBorder="1" applyAlignment="1">
      <alignment horizontal="center"/>
    </xf>
    <xf numFmtId="3" fontId="22" fillId="6" borderId="0" xfId="0" applyNumberFormat="1" applyFont="1" applyFill="1" applyAlignment="1">
      <alignment horizontal="center"/>
    </xf>
    <xf numFmtId="165" fontId="34" fillId="6" borderId="0" xfId="0" applyNumberFormat="1" applyFont="1" applyFill="1" applyAlignment="1">
      <alignment horizontal="center"/>
    </xf>
    <xf numFmtId="165" fontId="24" fillId="6" borderId="0" xfId="0" applyNumberFormat="1" applyFont="1" applyFill="1" applyAlignment="1">
      <alignment horizontal="center"/>
    </xf>
    <xf numFmtId="1" fontId="35" fillId="6" borderId="0" xfId="0" applyNumberFormat="1" applyFont="1" applyFill="1" applyAlignment="1">
      <alignment horizontal="center"/>
    </xf>
    <xf numFmtId="3" fontId="24" fillId="6" borderId="0" xfId="0" applyNumberFormat="1" applyFont="1" applyFill="1" applyAlignment="1">
      <alignment horizontal="center"/>
    </xf>
    <xf numFmtId="2" fontId="35" fillId="6" borderId="0" xfId="0" applyNumberFormat="1" applyFont="1" applyFill="1" applyAlignment="1">
      <alignment horizontal="center"/>
    </xf>
    <xf numFmtId="1" fontId="34" fillId="6" borderId="0" xfId="0" applyNumberFormat="1" applyFont="1" applyFill="1" applyAlignment="1">
      <alignment horizontal="center"/>
    </xf>
    <xf numFmtId="0" fontId="34" fillId="6" borderId="0" xfId="0" applyFont="1" applyFill="1" applyAlignment="1">
      <alignment horizontal="center"/>
    </xf>
    <xf numFmtId="0" fontId="10" fillId="6" borderId="0" xfId="0" applyFont="1" applyFill="1" applyAlignment="1">
      <alignment horizontal="center"/>
    </xf>
    <xf numFmtId="2" fontId="34" fillId="6" borderId="5" xfId="0" applyNumberFormat="1" applyFont="1" applyFill="1" applyBorder="1" applyAlignment="1">
      <alignment horizontal="center"/>
    </xf>
    <xf numFmtId="2" fontId="34" fillId="6" borderId="0" xfId="0" applyNumberFormat="1" applyFont="1" applyFill="1" applyAlignment="1">
      <alignment horizontal="center"/>
    </xf>
    <xf numFmtId="43" fontId="24" fillId="6" borderId="0" xfId="1" applyFont="1" applyFill="1" applyBorder="1" applyAlignment="1">
      <alignment horizontal="center"/>
    </xf>
    <xf numFmtId="2" fontId="13" fillId="6" borderId="15" xfId="0" applyNumberFormat="1" applyFont="1" applyFill="1" applyBorder="1" applyAlignment="1">
      <alignment horizontal="right"/>
    </xf>
    <xf numFmtId="173" fontId="39" fillId="8" borderId="4" xfId="1" applyNumberFormat="1" applyFont="1" applyFill="1" applyBorder="1" applyAlignment="1">
      <alignment horizontal="center"/>
    </xf>
    <xf numFmtId="173" fontId="39" fillId="7" borderId="0" xfId="0" applyNumberFormat="1" applyFont="1" applyFill="1" applyAlignment="1">
      <alignment horizontal="center"/>
    </xf>
    <xf numFmtId="43" fontId="13" fillId="7" borderId="15" xfId="1" applyFont="1" applyFill="1" applyBorder="1" applyAlignment="1">
      <alignment horizontal="right"/>
    </xf>
    <xf numFmtId="3" fontId="21" fillId="6" borderId="0" xfId="0" applyNumberFormat="1" applyFont="1" applyFill="1"/>
    <xf numFmtId="3" fontId="4" fillId="6" borderId="0" xfId="0" applyNumberFormat="1" applyFont="1" applyFill="1" applyAlignment="1">
      <alignment horizontal="center"/>
    </xf>
    <xf numFmtId="3" fontId="3" fillId="6" borderId="0" xfId="0" applyNumberFormat="1" applyFont="1" applyFill="1" applyAlignment="1">
      <alignment horizontal="center"/>
    </xf>
    <xf numFmtId="2" fontId="10" fillId="6" borderId="0" xfId="0" applyNumberFormat="1" applyFont="1" applyFill="1" applyAlignment="1">
      <alignment horizontal="center"/>
    </xf>
    <xf numFmtId="171" fontId="21" fillId="0" borderId="5" xfId="1" applyNumberFormat="1" applyFont="1" applyFill="1" applyBorder="1"/>
    <xf numFmtId="164" fontId="34" fillId="6" borderId="0" xfId="0" applyNumberFormat="1" applyFont="1" applyFill="1" applyAlignment="1">
      <alignment horizontal="center"/>
    </xf>
    <xf numFmtId="164" fontId="34" fillId="7" borderId="0" xfId="0" applyNumberFormat="1" applyFont="1" applyFill="1" applyAlignment="1">
      <alignment horizontal="center"/>
    </xf>
    <xf numFmtId="2" fontId="10" fillId="7" borderId="0" xfId="0" applyNumberFormat="1" applyFont="1" applyFill="1" applyAlignment="1">
      <alignment horizontal="center"/>
    </xf>
    <xf numFmtId="168" fontId="21" fillId="7" borderId="0" xfId="0" applyNumberFormat="1" applyFont="1" applyFill="1"/>
    <xf numFmtId="181" fontId="34" fillId="7" borderId="0" xfId="0" applyNumberFormat="1" applyFont="1" applyFill="1"/>
    <xf numFmtId="169" fontId="34" fillId="7" borderId="0" xfId="0" applyNumberFormat="1" applyFont="1" applyFill="1"/>
    <xf numFmtId="0" fontId="34" fillId="7" borderId="0" xfId="0" applyFont="1" applyFill="1"/>
    <xf numFmtId="168" fontId="34" fillId="7" borderId="0" xfId="0" applyNumberFormat="1" applyFont="1" applyFill="1"/>
    <xf numFmtId="43" fontId="34" fillId="7" borderId="0" xfId="1" applyFont="1" applyFill="1" applyBorder="1"/>
    <xf numFmtId="168" fontId="10" fillId="7" borderId="0" xfId="0" applyNumberFormat="1" applyFont="1" applyFill="1"/>
    <xf numFmtId="4" fontId="21" fillId="7" borderId="0" xfId="0" applyNumberFormat="1" applyFont="1" applyFill="1"/>
    <xf numFmtId="4" fontId="21" fillId="8" borderId="11" xfId="0" applyNumberFormat="1" applyFont="1" applyFill="1" applyBorder="1"/>
    <xf numFmtId="2" fontId="34" fillId="8" borderId="11" xfId="0" applyNumberFormat="1" applyFont="1" applyFill="1" applyBorder="1" applyAlignment="1">
      <alignment horizontal="center"/>
    </xf>
    <xf numFmtId="168" fontId="21" fillId="8" borderId="0" xfId="0" applyNumberFormat="1" applyFont="1" applyFill="1"/>
    <xf numFmtId="176" fontId="34" fillId="8" borderId="0" xfId="0" applyNumberFormat="1" applyFont="1" applyFill="1"/>
    <xf numFmtId="43" fontId="34" fillId="8" borderId="0" xfId="1" applyFont="1" applyFill="1" applyBorder="1"/>
    <xf numFmtId="168" fontId="34" fillId="8" borderId="0" xfId="0" applyNumberFormat="1" applyFont="1" applyFill="1"/>
    <xf numFmtId="168" fontId="10" fillId="8" borderId="0" xfId="0" applyNumberFormat="1" applyFont="1" applyFill="1"/>
    <xf numFmtId="168" fontId="34" fillId="8" borderId="0" xfId="0" applyNumberFormat="1" applyFont="1" applyFill="1" applyAlignment="1">
      <alignment horizontal="center"/>
    </xf>
    <xf numFmtId="168" fontId="21" fillId="8" borderId="5" xfId="0" applyNumberFormat="1" applyFont="1" applyFill="1" applyBorder="1"/>
    <xf numFmtId="170" fontId="34" fillId="8" borderId="5" xfId="0" applyNumberFormat="1" applyFont="1" applyFill="1" applyBorder="1"/>
    <xf numFmtId="169" fontId="34" fillId="8" borderId="5" xfId="0" applyNumberFormat="1" applyFont="1" applyFill="1" applyBorder="1"/>
    <xf numFmtId="0" fontId="34" fillId="8" borderId="5" xfId="0" applyFont="1" applyFill="1" applyBorder="1"/>
    <xf numFmtId="168" fontId="34" fillId="8" borderId="5" xfId="0" applyNumberFormat="1" applyFont="1" applyFill="1" applyBorder="1"/>
    <xf numFmtId="169" fontId="34" fillId="8" borderId="5" xfId="0" applyNumberFormat="1" applyFont="1" applyFill="1" applyBorder="1" applyAlignment="1">
      <alignment horizontal="center"/>
    </xf>
    <xf numFmtId="168" fontId="34" fillId="8" borderId="5" xfId="0" applyNumberFormat="1" applyFont="1" applyFill="1" applyBorder="1" applyAlignment="1">
      <alignment horizontal="center"/>
    </xf>
    <xf numFmtId="1" fontId="34" fillId="8" borderId="5" xfId="0" applyNumberFormat="1" applyFont="1" applyFill="1" applyBorder="1" applyAlignment="1">
      <alignment horizontal="center"/>
    </xf>
    <xf numFmtId="168" fontId="10" fillId="8" borderId="5" xfId="0" applyNumberFormat="1" applyFont="1" applyFill="1" applyBorder="1"/>
    <xf numFmtId="4" fontId="21" fillId="8" borderId="5" xfId="0" applyNumberFormat="1" applyFont="1" applyFill="1" applyBorder="1"/>
    <xf numFmtId="0" fontId="4" fillId="9" borderId="11" xfId="0" applyFont="1" applyFill="1" applyBorder="1"/>
    <xf numFmtId="0" fontId="4" fillId="9" borderId="4" xfId="0" applyFont="1" applyFill="1" applyBorder="1"/>
    <xf numFmtId="0" fontId="6" fillId="9" borderId="0" xfId="0" applyFont="1" applyFill="1"/>
    <xf numFmtId="0" fontId="6" fillId="9" borderId="0" xfId="0" applyFont="1" applyFill="1" applyAlignment="1">
      <alignment horizontal="right"/>
    </xf>
    <xf numFmtId="0" fontId="0" fillId="9" borderId="0" xfId="0" applyFill="1"/>
    <xf numFmtId="0" fontId="4" fillId="10" borderId="11" xfId="0" applyFont="1" applyFill="1" applyBorder="1"/>
    <xf numFmtId="0" fontId="4" fillId="10" borderId="4" xfId="0" applyFont="1" applyFill="1" applyBorder="1"/>
    <xf numFmtId="0" fontId="6" fillId="10" borderId="0" xfId="0" applyFont="1" applyFill="1"/>
    <xf numFmtId="0" fontId="4" fillId="10" borderId="12" xfId="0" applyFont="1" applyFill="1" applyBorder="1"/>
    <xf numFmtId="0" fontId="6" fillId="10" borderId="8" xfId="0" applyFont="1" applyFill="1" applyBorder="1"/>
    <xf numFmtId="0" fontId="4" fillId="10" borderId="0" xfId="0" applyFont="1" applyFill="1"/>
    <xf numFmtId="0" fontId="4" fillId="10" borderId="1" xfId="0" applyFont="1" applyFill="1" applyBorder="1"/>
    <xf numFmtId="0" fontId="6" fillId="10" borderId="10" xfId="0" applyFont="1" applyFill="1" applyBorder="1" applyAlignment="1">
      <alignment horizontal="right"/>
    </xf>
    <xf numFmtId="0" fontId="4" fillId="10" borderId="7" xfId="0" applyFont="1" applyFill="1" applyBorder="1"/>
    <xf numFmtId="0" fontId="6" fillId="10" borderId="12" xfId="0" applyFont="1" applyFill="1" applyBorder="1" applyAlignment="1">
      <alignment horizontal="right"/>
    </xf>
    <xf numFmtId="0" fontId="0" fillId="10" borderId="0" xfId="0" applyFill="1"/>
    <xf numFmtId="0" fontId="4" fillId="11" borderId="11" xfId="0" applyFont="1" applyFill="1" applyBorder="1"/>
    <xf numFmtId="0" fontId="4" fillId="11" borderId="4" xfId="0" applyFont="1" applyFill="1" applyBorder="1"/>
    <xf numFmtId="0" fontId="6" fillId="11" borderId="5" xfId="0" applyFont="1" applyFill="1" applyBorder="1"/>
    <xf numFmtId="0" fontId="6" fillId="11" borderId="0" xfId="0" applyFont="1" applyFill="1" applyAlignment="1">
      <alignment horizontal="right"/>
    </xf>
    <xf numFmtId="0" fontId="6" fillId="11" borderId="0" xfId="0" applyFont="1" applyFill="1"/>
    <xf numFmtId="0" fontId="0" fillId="11" borderId="0" xfId="0" applyFill="1"/>
    <xf numFmtId="0" fontId="4" fillId="7" borderId="11" xfId="0" applyFont="1" applyFill="1" applyBorder="1"/>
    <xf numFmtId="0" fontId="4" fillId="7" borderId="4" xfId="0" applyFont="1" applyFill="1" applyBorder="1"/>
    <xf numFmtId="0" fontId="6" fillId="7" borderId="0" xfId="0" applyFont="1" applyFill="1"/>
    <xf numFmtId="167" fontId="5" fillId="0" borderId="0" xfId="0" applyNumberFormat="1" applyFont="1"/>
    <xf numFmtId="0" fontId="10" fillId="0" borderId="7" xfId="0" applyFont="1" applyBorder="1" applyAlignment="1">
      <alignment horizontal="center"/>
    </xf>
    <xf numFmtId="0" fontId="10" fillId="0" borderId="8"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4" fillId="0" borderId="4" xfId="0" applyFont="1" applyBorder="1"/>
    <xf numFmtId="167" fontId="10" fillId="0" borderId="0" xfId="0" applyNumberFormat="1" applyFont="1" applyAlignment="1">
      <alignment horizontal="center"/>
    </xf>
    <xf numFmtId="167" fontId="10" fillId="0" borderId="7" xfId="0" applyNumberFormat="1" applyFont="1" applyBorder="1" applyAlignment="1">
      <alignment horizontal="center"/>
    </xf>
    <xf numFmtId="167" fontId="10" fillId="0" borderId="8" xfId="0" applyNumberFormat="1" applyFont="1" applyBorder="1" applyAlignment="1">
      <alignment horizontal="center"/>
    </xf>
    <xf numFmtId="167" fontId="10" fillId="0" borderId="2" xfId="0" applyNumberFormat="1" applyFont="1" applyBorder="1" applyAlignment="1">
      <alignment horizontal="center"/>
    </xf>
    <xf numFmtId="167" fontId="4" fillId="0" borderId="4" xfId="0" applyNumberFormat="1" applyFont="1" applyBorder="1"/>
    <xf numFmtId="167" fontId="4" fillId="0" borderId="0" xfId="0" applyNumberFormat="1" applyFont="1"/>
    <xf numFmtId="167" fontId="43" fillId="0" borderId="0" xfId="0" applyNumberFormat="1" applyFont="1" applyAlignment="1">
      <alignment horizontal="center"/>
    </xf>
    <xf numFmtId="167" fontId="10" fillId="0" borderId="4" xfId="0" applyNumberFormat="1" applyFont="1" applyBorder="1" applyAlignment="1">
      <alignment horizontal="center"/>
    </xf>
    <xf numFmtId="167" fontId="4" fillId="0" borderId="1" xfId="0" applyNumberFormat="1" applyFont="1" applyBorder="1"/>
    <xf numFmtId="167" fontId="4" fillId="0" borderId="2" xfId="0" applyNumberFormat="1" applyFont="1" applyBorder="1"/>
    <xf numFmtId="167" fontId="4" fillId="0" borderId="7" xfId="0" applyNumberFormat="1" applyFont="1" applyBorder="1"/>
    <xf numFmtId="167" fontId="4" fillId="0" borderId="8" xfId="0" applyNumberFormat="1" applyFont="1" applyBorder="1"/>
    <xf numFmtId="167" fontId="0" fillId="0" borderId="0" xfId="0" applyNumberFormat="1"/>
    <xf numFmtId="167" fontId="0" fillId="0" borderId="4" xfId="0" applyNumberFormat="1" applyBorder="1"/>
    <xf numFmtId="0" fontId="10" fillId="0" borderId="3" xfId="0" applyFont="1" applyBorder="1" applyAlignment="1">
      <alignment horizontal="center"/>
    </xf>
    <xf numFmtId="0" fontId="10" fillId="0" borderId="9" xfId="0" applyFont="1" applyBorder="1" applyAlignment="1">
      <alignment horizontal="center"/>
    </xf>
    <xf numFmtId="167" fontId="5" fillId="6" borderId="4" xfId="0" applyNumberFormat="1" applyFont="1" applyFill="1" applyBorder="1"/>
    <xf numFmtId="167" fontId="5" fillId="6" borderId="0" xfId="0" applyNumberFormat="1" applyFont="1" applyFill="1"/>
    <xf numFmtId="167" fontId="5" fillId="6" borderId="5" xfId="0" applyNumberFormat="1" applyFont="1" applyFill="1" applyBorder="1"/>
    <xf numFmtId="167" fontId="5" fillId="6" borderId="2" xfId="0" applyNumberFormat="1" applyFont="1" applyFill="1" applyBorder="1"/>
    <xf numFmtId="167" fontId="5" fillId="6" borderId="8" xfId="0" applyNumberFormat="1" applyFont="1" applyFill="1" applyBorder="1"/>
    <xf numFmtId="167" fontId="0" fillId="6" borderId="0" xfId="0" applyNumberFormat="1" applyFill="1"/>
    <xf numFmtId="167" fontId="0" fillId="6" borderId="2" xfId="0" applyNumberFormat="1" applyFill="1" applyBorder="1"/>
    <xf numFmtId="167" fontId="0" fillId="6" borderId="8" xfId="0" applyNumberFormat="1" applyFill="1" applyBorder="1"/>
    <xf numFmtId="167" fontId="5" fillId="7" borderId="0" xfId="0" applyNumberFormat="1" applyFont="1" applyFill="1"/>
    <xf numFmtId="167" fontId="4" fillId="7" borderId="0" xfId="0" applyNumberFormat="1" applyFont="1" applyFill="1"/>
    <xf numFmtId="167" fontId="48" fillId="7" borderId="0" xfId="0" applyNumberFormat="1" applyFont="1" applyFill="1"/>
    <xf numFmtId="167" fontId="0" fillId="7" borderId="0" xfId="0" applyNumberFormat="1" applyFill="1"/>
    <xf numFmtId="167" fontId="5" fillId="8" borderId="0" xfId="0" applyNumberFormat="1" applyFont="1" applyFill="1"/>
    <xf numFmtId="167" fontId="0" fillId="8" borderId="0" xfId="0" applyNumberFormat="1" applyFill="1"/>
    <xf numFmtId="167" fontId="5" fillId="12" borderId="0" xfId="0" applyNumberFormat="1" applyFont="1" applyFill="1"/>
    <xf numFmtId="167" fontId="0" fillId="12" borderId="4" xfId="0" applyNumberFormat="1" applyFill="1" applyBorder="1"/>
    <xf numFmtId="167" fontId="0" fillId="11" borderId="4" xfId="0" applyNumberFormat="1" applyFill="1" applyBorder="1"/>
    <xf numFmtId="167" fontId="0" fillId="11" borderId="0" xfId="0" applyNumberFormat="1" applyFill="1"/>
    <xf numFmtId="167" fontId="0" fillId="10" borderId="4" xfId="0" applyNumberFormat="1" applyFill="1" applyBorder="1"/>
    <xf numFmtId="167" fontId="0" fillId="10" borderId="0" xfId="0" applyNumberFormat="1" applyFill="1"/>
    <xf numFmtId="167" fontId="5" fillId="10" borderId="0" xfId="0" applyNumberFormat="1" applyFont="1" applyFill="1"/>
    <xf numFmtId="167" fontId="5" fillId="10" borderId="4" xfId="0" applyNumberFormat="1" applyFont="1" applyFill="1" applyBorder="1"/>
    <xf numFmtId="0" fontId="43" fillId="0" borderId="8" xfId="0" applyFont="1" applyBorder="1" applyAlignment="1">
      <alignment horizontal="center"/>
    </xf>
    <xf numFmtId="0" fontId="43" fillId="0" borderId="0" xfId="0" applyFont="1" applyAlignment="1">
      <alignment horizontal="center"/>
    </xf>
    <xf numFmtId="0" fontId="43" fillId="0" borderId="2" xfId="0" applyFont="1" applyBorder="1" applyAlignment="1">
      <alignment horizontal="center"/>
    </xf>
    <xf numFmtId="167" fontId="10" fillId="0" borderId="1" xfId="0" applyNumberFormat="1" applyFont="1" applyBorder="1" applyAlignment="1">
      <alignment horizontal="center"/>
    </xf>
    <xf numFmtId="167" fontId="0" fillId="8" borderId="4" xfId="0" applyNumberFormat="1" applyFill="1" applyBorder="1"/>
    <xf numFmtId="167" fontId="49" fillId="0" borderId="4" xfId="0" applyNumberFormat="1" applyFont="1" applyBorder="1" applyAlignment="1">
      <alignment horizontal="center"/>
    </xf>
    <xf numFmtId="167" fontId="48" fillId="0" borderId="0" xfId="0" applyNumberFormat="1" applyFont="1"/>
    <xf numFmtId="167" fontId="0" fillId="13" borderId="4" xfId="0" applyNumberFormat="1" applyFill="1" applyBorder="1"/>
    <xf numFmtId="0" fontId="0" fillId="13" borderId="0" xfId="0" applyFill="1"/>
    <xf numFmtId="167" fontId="0" fillId="6" borderId="4" xfId="0" applyNumberFormat="1" applyFill="1" applyBorder="1"/>
    <xf numFmtId="167" fontId="0" fillId="13" borderId="0" xfId="0" applyNumberFormat="1" applyFill="1"/>
    <xf numFmtId="167" fontId="0" fillId="8" borderId="2" xfId="0" applyNumberFormat="1" applyFill="1" applyBorder="1"/>
    <xf numFmtId="167" fontId="0" fillId="8" borderId="8" xfId="0" applyNumberFormat="1" applyFill="1" applyBorder="1"/>
    <xf numFmtId="3" fontId="22" fillId="3" borderId="10" xfId="0" applyNumberFormat="1" applyFont="1" applyFill="1" applyBorder="1"/>
    <xf numFmtId="164" fontId="50" fillId="6" borderId="15" xfId="0" applyNumberFormat="1" applyFont="1" applyFill="1" applyBorder="1" applyAlignment="1">
      <alignment horizontal="right"/>
    </xf>
    <xf numFmtId="164" fontId="50" fillId="0" borderId="15" xfId="0" applyNumberFormat="1" applyFont="1" applyBorder="1" applyAlignment="1">
      <alignment horizontal="right"/>
    </xf>
    <xf numFmtId="2" fontId="50" fillId="6" borderId="15" xfId="0" applyNumberFormat="1" applyFont="1" applyFill="1" applyBorder="1" applyAlignment="1">
      <alignment horizontal="right"/>
    </xf>
    <xf numFmtId="164" fontId="50" fillId="0" borderId="13" xfId="0" applyNumberFormat="1" applyFont="1" applyBorder="1" applyAlignment="1">
      <alignment horizontal="right"/>
    </xf>
    <xf numFmtId="2" fontId="50" fillId="7" borderId="15" xfId="0" applyNumberFormat="1" applyFont="1" applyFill="1" applyBorder="1" applyAlignment="1">
      <alignment horizontal="right"/>
    </xf>
    <xf numFmtId="177" fontId="50" fillId="8" borderId="6" xfId="1" applyNumberFormat="1" applyFont="1" applyFill="1" applyBorder="1" applyAlignment="1">
      <alignment horizontal="right"/>
    </xf>
    <xf numFmtId="179" fontId="50" fillId="8" borderId="14" xfId="1" applyNumberFormat="1" applyFont="1" applyFill="1" applyBorder="1" applyAlignment="1">
      <alignment horizontal="center"/>
    </xf>
    <xf numFmtId="180" fontId="50" fillId="7" borderId="15" xfId="1" applyNumberFormat="1" applyFont="1" applyFill="1" applyBorder="1" applyAlignment="1">
      <alignment horizontal="center"/>
    </xf>
    <xf numFmtId="179" fontId="50" fillId="8" borderId="13" xfId="1" applyNumberFormat="1" applyFont="1" applyFill="1" applyBorder="1" applyAlignment="1">
      <alignment horizontal="center"/>
    </xf>
    <xf numFmtId="43" fontId="22" fillId="8" borderId="0" xfId="1" applyFont="1" applyFill="1" applyAlignment="1">
      <alignment horizontal="center"/>
    </xf>
    <xf numFmtId="43" fontId="22" fillId="7" borderId="0" xfId="1" applyFont="1" applyFill="1" applyAlignment="1">
      <alignment horizontal="center"/>
    </xf>
    <xf numFmtId="184" fontId="34" fillId="7" borderId="0" xfId="1" applyNumberFormat="1" applyFont="1" applyFill="1" applyBorder="1" applyAlignment="1">
      <alignment horizontal="center"/>
    </xf>
    <xf numFmtId="167" fontId="34" fillId="8" borderId="0" xfId="0" applyNumberFormat="1" applyFont="1" applyFill="1" applyAlignment="1">
      <alignment horizontal="center"/>
    </xf>
    <xf numFmtId="169" fontId="34" fillId="7" borderId="0" xfId="1" applyNumberFormat="1" applyFont="1" applyFill="1" applyBorder="1" applyAlignment="1">
      <alignment horizontal="center"/>
    </xf>
    <xf numFmtId="183" fontId="34" fillId="8" borderId="5" xfId="1" applyNumberFormat="1" applyFont="1" applyFill="1" applyBorder="1" applyAlignment="1">
      <alignment horizontal="center"/>
    </xf>
    <xf numFmtId="183" fontId="34" fillId="8" borderId="5" xfId="0" applyNumberFormat="1" applyFont="1" applyFill="1" applyBorder="1" applyAlignment="1">
      <alignment horizontal="center"/>
    </xf>
    <xf numFmtId="0" fontId="50" fillId="0" borderId="14" xfId="0" applyFont="1" applyBorder="1" applyAlignment="1">
      <alignment horizontal="right"/>
    </xf>
    <xf numFmtId="3" fontId="51" fillId="0" borderId="6" xfId="0" applyNumberFormat="1" applyFont="1" applyBorder="1"/>
    <xf numFmtId="164" fontId="50" fillId="6" borderId="14" xfId="0" applyNumberFormat="1" applyFont="1" applyFill="1" applyBorder="1" applyAlignment="1">
      <alignment horizontal="right"/>
    </xf>
    <xf numFmtId="167" fontId="50" fillId="6" borderId="15" xfId="0" applyNumberFormat="1" applyFont="1" applyFill="1" applyBorder="1" applyAlignment="1">
      <alignment horizontal="right"/>
    </xf>
    <xf numFmtId="164" fontId="50" fillId="7" borderId="15" xfId="0" applyNumberFormat="1" applyFont="1" applyFill="1" applyBorder="1" applyAlignment="1">
      <alignment horizontal="right"/>
    </xf>
    <xf numFmtId="164" fontId="50" fillId="8" borderId="14" xfId="0" applyNumberFormat="1" applyFont="1" applyFill="1" applyBorder="1" applyAlignment="1">
      <alignment horizontal="right"/>
    </xf>
    <xf numFmtId="164" fontId="50" fillId="8" borderId="13" xfId="0" applyNumberFormat="1" applyFont="1" applyFill="1" applyBorder="1" applyAlignment="1">
      <alignment horizontal="right"/>
    </xf>
    <xf numFmtId="176" fontId="5" fillId="10" borderId="0" xfId="0" applyNumberFormat="1" applyFont="1" applyFill="1"/>
    <xf numFmtId="176" fontId="0" fillId="8" borderId="0" xfId="0" applyNumberFormat="1" applyFill="1"/>
    <xf numFmtId="168" fontId="0" fillId="8" borderId="0" xfId="0" applyNumberFormat="1" applyFill="1"/>
    <xf numFmtId="176" fontId="39" fillId="0" borderId="0" xfId="0" applyNumberFormat="1" applyFont="1"/>
    <xf numFmtId="165" fontId="39" fillId="6" borderId="5" xfId="0" applyNumberFormat="1" applyFont="1" applyFill="1" applyBorder="1" applyAlignment="1">
      <alignment horizontal="center"/>
    </xf>
    <xf numFmtId="3" fontId="0" fillId="6" borderId="5" xfId="0" applyNumberFormat="1" applyFill="1" applyBorder="1"/>
    <xf numFmtId="165" fontId="36" fillId="6" borderId="5" xfId="0" applyNumberFormat="1" applyFont="1" applyFill="1" applyBorder="1" applyAlignment="1">
      <alignment horizontal="center"/>
    </xf>
    <xf numFmtId="164" fontId="13" fillId="6" borderId="13" xfId="0" applyNumberFormat="1" applyFont="1" applyFill="1" applyBorder="1" applyAlignment="1">
      <alignment horizontal="right"/>
    </xf>
    <xf numFmtId="2" fontId="50" fillId="6" borderId="13" xfId="0" applyNumberFormat="1" applyFont="1" applyFill="1" applyBorder="1" applyAlignment="1">
      <alignment horizontal="right"/>
    </xf>
    <xf numFmtId="167" fontId="39" fillId="6" borderId="0" xfId="0" applyNumberFormat="1" applyFont="1" applyFill="1"/>
    <xf numFmtId="167" fontId="35" fillId="6" borderId="0" xfId="0" applyNumberFormat="1" applyFont="1" applyFill="1"/>
    <xf numFmtId="167" fontId="35" fillId="6" borderId="0" xfId="0" applyNumberFormat="1" applyFont="1" applyFill="1" applyProtection="1">
      <protection locked="0"/>
    </xf>
    <xf numFmtId="167" fontId="39" fillId="6" borderId="7" xfId="0" applyNumberFormat="1" applyFont="1" applyFill="1" applyBorder="1"/>
    <xf numFmtId="176" fontId="39" fillId="6" borderId="0" xfId="0" applyNumberFormat="1" applyFont="1" applyFill="1" applyAlignment="1">
      <alignment horizontal="centerContinuous"/>
    </xf>
    <xf numFmtId="0" fontId="39" fillId="6" borderId="8" xfId="0" applyFont="1" applyFill="1" applyBorder="1"/>
    <xf numFmtId="164" fontId="39" fillId="6" borderId="0" xfId="0" applyNumberFormat="1" applyFont="1" applyFill="1" applyAlignment="1">
      <alignment horizontal="right"/>
    </xf>
    <xf numFmtId="164" fontId="39" fillId="6" borderId="1" xfId="0" applyNumberFormat="1" applyFont="1" applyFill="1" applyBorder="1"/>
    <xf numFmtId="0" fontId="39" fillId="6" borderId="4" xfId="0" applyFont="1" applyFill="1" applyBorder="1"/>
    <xf numFmtId="164" fontId="39" fillId="6" borderId="4" xfId="0" applyNumberFormat="1" applyFont="1" applyFill="1" applyBorder="1"/>
    <xf numFmtId="164" fontId="39" fillId="6" borderId="0" xfId="0" applyNumberFormat="1" applyFont="1" applyFill="1"/>
    <xf numFmtId="168" fontId="39" fillId="6" borderId="0" xfId="0" applyNumberFormat="1" applyFont="1" applyFill="1"/>
    <xf numFmtId="0" fontId="39" fillId="6" borderId="0" xfId="0" applyFont="1" applyFill="1"/>
    <xf numFmtId="176" fontId="39" fillId="6" borderId="0" xfId="0" applyNumberFormat="1" applyFont="1" applyFill="1"/>
    <xf numFmtId="43" fontId="35" fillId="6" borderId="0" xfId="1" applyFont="1" applyFill="1" applyBorder="1" applyAlignment="1" applyProtection="1">
      <protection locked="0"/>
    </xf>
    <xf numFmtId="167" fontId="39" fillId="6" borderId="8" xfId="0" applyNumberFormat="1" applyFont="1" applyFill="1" applyBorder="1"/>
    <xf numFmtId="2" fontId="39" fillId="6" borderId="8" xfId="0" applyNumberFormat="1" applyFont="1" applyFill="1" applyBorder="1"/>
    <xf numFmtId="167" fontId="39" fillId="6" borderId="0" xfId="0" applyNumberFormat="1" applyFont="1" applyFill="1" applyAlignment="1">
      <alignment horizontal="right"/>
    </xf>
    <xf numFmtId="164" fontId="39" fillId="6" borderId="2" xfId="0" applyNumberFormat="1" applyFont="1" applyFill="1" applyBorder="1" applyAlignment="1">
      <alignment horizontal="right"/>
    </xf>
    <xf numFmtId="171" fontId="39" fillId="6" borderId="0" xfId="1" applyNumberFormat="1" applyFont="1" applyFill="1" applyBorder="1"/>
    <xf numFmtId="171" fontId="35" fillId="6" borderId="0" xfId="1" applyNumberFormat="1" applyFont="1" applyFill="1" applyBorder="1"/>
    <xf numFmtId="43" fontId="39" fillId="0" borderId="5" xfId="1" applyFont="1" applyBorder="1"/>
    <xf numFmtId="167" fontId="39" fillId="7" borderId="0" xfId="0" applyNumberFormat="1" applyFont="1" applyFill="1"/>
    <xf numFmtId="176" fontId="39" fillId="7" borderId="0" xfId="0" applyNumberFormat="1" applyFont="1" applyFill="1" applyAlignment="1">
      <alignment horizontal="centerContinuous"/>
    </xf>
    <xf numFmtId="167" fontId="39" fillId="7" borderId="0" xfId="0" applyNumberFormat="1" applyFont="1" applyFill="1" applyProtection="1">
      <protection locked="0"/>
    </xf>
    <xf numFmtId="167" fontId="35" fillId="7" borderId="0" xfId="0" applyNumberFormat="1" applyFont="1" applyFill="1" applyProtection="1">
      <protection locked="0"/>
    </xf>
    <xf numFmtId="167" fontId="39" fillId="7" borderId="8" xfId="0" applyNumberFormat="1" applyFont="1" applyFill="1" applyBorder="1"/>
    <xf numFmtId="2" fontId="39" fillId="7" borderId="8" xfId="0" applyNumberFormat="1" applyFont="1" applyFill="1" applyBorder="1"/>
    <xf numFmtId="167" fontId="39" fillId="7" borderId="0" xfId="0" applyNumberFormat="1" applyFont="1" applyFill="1" applyAlignment="1">
      <alignment horizontal="right"/>
    </xf>
    <xf numFmtId="164" fontId="39" fillId="7" borderId="0" xfId="0" applyNumberFormat="1" applyFont="1" applyFill="1" applyAlignment="1">
      <alignment horizontal="right"/>
    </xf>
    <xf numFmtId="164" fontId="39" fillId="7" borderId="2" xfId="0" applyNumberFormat="1" applyFont="1" applyFill="1" applyBorder="1" applyAlignment="1">
      <alignment horizontal="right"/>
    </xf>
    <xf numFmtId="167" fontId="39" fillId="7" borderId="8" xfId="0" quotePrefix="1" applyNumberFormat="1" applyFont="1" applyFill="1" applyBorder="1"/>
    <xf numFmtId="164" fontId="39" fillId="7" borderId="4" xfId="0" applyNumberFormat="1" applyFont="1" applyFill="1" applyBorder="1"/>
    <xf numFmtId="164" fontId="39" fillId="7" borderId="0" xfId="0" applyNumberFormat="1" applyFont="1" applyFill="1"/>
    <xf numFmtId="164" fontId="39" fillId="7" borderId="7" xfId="0" applyNumberFormat="1" applyFont="1" applyFill="1" applyBorder="1"/>
    <xf numFmtId="164" fontId="39" fillId="7" borderId="8" xfId="0" applyNumberFormat="1" applyFont="1" applyFill="1" applyBorder="1"/>
    <xf numFmtId="164" fontId="35" fillId="7" borderId="0" xfId="9" applyNumberFormat="1" applyFont="1" applyFill="1" applyProtection="1">
      <protection locked="0"/>
    </xf>
    <xf numFmtId="164" fontId="35" fillId="7" borderId="4" xfId="9" applyNumberFormat="1" applyFont="1" applyFill="1" applyBorder="1" applyProtection="1">
      <protection locked="0"/>
    </xf>
    <xf numFmtId="0" fontId="0" fillId="14" borderId="0" xfId="0" applyFill="1"/>
    <xf numFmtId="174" fontId="35" fillId="6" borderId="0" xfId="1" applyNumberFormat="1" applyFont="1" applyFill="1" applyAlignment="1">
      <alignment horizontal="center"/>
    </xf>
    <xf numFmtId="167" fontId="4" fillId="8" borderId="0" xfId="0" applyNumberFormat="1" applyFont="1" applyFill="1" applyAlignment="1">
      <alignment horizontal="right"/>
    </xf>
    <xf numFmtId="176" fontId="5" fillId="6" borderId="0" xfId="0" applyNumberFormat="1" applyFont="1" applyFill="1"/>
    <xf numFmtId="168" fontId="5" fillId="6" borderId="0" xfId="0" applyNumberFormat="1" applyFont="1" applyFill="1"/>
    <xf numFmtId="43" fontId="39" fillId="7" borderId="0" xfId="1" applyFont="1" applyFill="1" applyAlignment="1">
      <alignment horizontal="center"/>
    </xf>
    <xf numFmtId="178" fontId="34" fillId="6" borderId="0" xfId="0" applyNumberFormat="1" applyFont="1" applyFill="1" applyAlignment="1">
      <alignment horizontal="center"/>
    </xf>
    <xf numFmtId="171" fontId="39" fillId="8" borderId="11" xfId="1" applyNumberFormat="1" applyFont="1" applyFill="1" applyBorder="1" applyAlignment="1">
      <alignment horizontal="center"/>
    </xf>
    <xf numFmtId="171" fontId="39" fillId="8" borderId="11" xfId="0" applyNumberFormat="1" applyFont="1" applyFill="1" applyBorder="1" applyAlignment="1">
      <alignment horizontal="center"/>
    </xf>
    <xf numFmtId="172" fontId="39" fillId="8" borderId="4" xfId="0" applyNumberFormat="1" applyFont="1" applyFill="1" applyBorder="1" applyAlignment="1">
      <alignment horizontal="center"/>
    </xf>
    <xf numFmtId="168" fontId="39" fillId="8" borderId="4" xfId="0" applyNumberFormat="1" applyFont="1" applyFill="1" applyBorder="1" applyAlignment="1">
      <alignment horizontal="center"/>
    </xf>
    <xf numFmtId="168" fontId="39" fillId="8" borderId="0" xfId="0" applyNumberFormat="1" applyFont="1" applyFill="1" applyAlignment="1">
      <alignment horizontal="center"/>
    </xf>
    <xf numFmtId="167" fontId="39" fillId="8" borderId="11" xfId="0" applyNumberFormat="1" applyFont="1" applyFill="1" applyBorder="1" applyAlignment="1">
      <alignment horizontal="center"/>
    </xf>
    <xf numFmtId="4" fontId="24" fillId="6" borderId="0" xfId="0" applyNumberFormat="1" applyFont="1" applyFill="1" applyAlignment="1">
      <alignment horizontal="center"/>
    </xf>
    <xf numFmtId="177" fontId="13" fillId="6" borderId="15" xfId="1" applyNumberFormat="1" applyFont="1" applyFill="1" applyBorder="1" applyAlignment="1">
      <alignment horizontal="right"/>
    </xf>
    <xf numFmtId="176" fontId="5" fillId="8" borderId="0" xfId="0" applyNumberFormat="1" applyFont="1" applyFill="1"/>
    <xf numFmtId="176" fontId="0" fillId="6" borderId="0" xfId="0" applyNumberFormat="1" applyFill="1"/>
    <xf numFmtId="1" fontId="52" fillId="8" borderId="11" xfId="0" applyNumberFormat="1" applyFont="1" applyFill="1" applyBorder="1" applyAlignment="1">
      <alignment horizontal="center"/>
    </xf>
    <xf numFmtId="3" fontId="0" fillId="0" borderId="0" xfId="0" applyNumberFormat="1"/>
    <xf numFmtId="185" fontId="21" fillId="8" borderId="11" xfId="0" applyNumberFormat="1" applyFont="1" applyFill="1" applyBorder="1"/>
    <xf numFmtId="4" fontId="21" fillId="6" borderId="0" xfId="0" applyNumberFormat="1" applyFont="1" applyFill="1"/>
    <xf numFmtId="4" fontId="21" fillId="0" borderId="0" xfId="0" applyNumberFormat="1" applyFont="1"/>
    <xf numFmtId="4" fontId="21" fillId="8" borderId="0" xfId="0" applyNumberFormat="1" applyFont="1" applyFill="1"/>
    <xf numFmtId="166" fontId="21" fillId="6" borderId="0" xfId="0" applyNumberFormat="1" applyFont="1" applyFill="1"/>
    <xf numFmtId="166" fontId="21" fillId="0" borderId="0" xfId="0" applyNumberFormat="1" applyFont="1"/>
    <xf numFmtId="166" fontId="21" fillId="7" borderId="0" xfId="0" applyNumberFormat="1" applyFont="1" applyFill="1"/>
    <xf numFmtId="166" fontId="21" fillId="8" borderId="0" xfId="0" applyNumberFormat="1" applyFont="1" applyFill="1"/>
    <xf numFmtId="2" fontId="35" fillId="6" borderId="5" xfId="0" applyNumberFormat="1" applyFont="1" applyFill="1" applyBorder="1" applyAlignment="1">
      <alignment horizontal="center"/>
    </xf>
    <xf numFmtId="166" fontId="21" fillId="8" borderId="5" xfId="0" applyNumberFormat="1" applyFont="1" applyFill="1" applyBorder="1"/>
    <xf numFmtId="166" fontId="21" fillId="7" borderId="5" xfId="0" applyNumberFormat="1" applyFont="1" applyFill="1" applyBorder="1"/>
    <xf numFmtId="3" fontId="53" fillId="0" borderId="0" xfId="0" applyNumberFormat="1" applyFont="1"/>
    <xf numFmtId="167" fontId="39" fillId="0" borderId="4" xfId="0" applyNumberFormat="1" applyFont="1" applyBorder="1"/>
    <xf numFmtId="167" fontId="39" fillId="6" borderId="4" xfId="0" applyNumberFormat="1" applyFont="1" applyFill="1" applyBorder="1"/>
    <xf numFmtId="167" fontId="39" fillId="6" borderId="0" xfId="1" applyNumberFormat="1" applyFont="1" applyFill="1"/>
    <xf numFmtId="167" fontId="39" fillId="0" borderId="0" xfId="1" applyNumberFormat="1" applyFont="1" applyFill="1"/>
    <xf numFmtId="167" fontId="39" fillId="0" borderId="0" xfId="1" applyNumberFormat="1" applyFont="1"/>
    <xf numFmtId="167" fontId="39" fillId="7" borderId="4" xfId="0" applyNumberFormat="1" applyFont="1" applyFill="1" applyBorder="1"/>
    <xf numFmtId="167" fontId="39" fillId="0" borderId="4" xfId="1" applyNumberFormat="1" applyFont="1" applyBorder="1"/>
    <xf numFmtId="167" fontId="39" fillId="0" borderId="0" xfId="1" applyNumberFormat="1" applyFont="1" applyBorder="1"/>
    <xf numFmtId="167" fontId="39" fillId="0" borderId="4" xfId="0" applyNumberFormat="1" applyFont="1" applyBorder="1" applyAlignment="1">
      <alignment horizontal="centerContinuous"/>
    </xf>
    <xf numFmtId="167" fontId="39" fillId="0" borderId="0" xfId="0" applyNumberFormat="1" applyFont="1" applyAlignment="1">
      <alignment horizontal="centerContinuous"/>
    </xf>
    <xf numFmtId="167" fontId="35" fillId="0" borderId="4" xfId="9" applyNumberFormat="1" applyFont="1" applyBorder="1" applyProtection="1">
      <protection locked="0"/>
    </xf>
    <xf numFmtId="167" fontId="35" fillId="7" borderId="0" xfId="9" applyNumberFormat="1" applyFont="1" applyFill="1" applyProtection="1">
      <protection locked="0"/>
    </xf>
    <xf numFmtId="167" fontId="35" fillId="0" borderId="0" xfId="9" applyNumberFormat="1" applyFont="1" applyProtection="1">
      <protection locked="0"/>
    </xf>
    <xf numFmtId="167" fontId="39" fillId="7" borderId="7" xfId="0" applyNumberFormat="1" applyFont="1" applyFill="1" applyBorder="1"/>
    <xf numFmtId="167" fontId="35" fillId="6" borderId="4" xfId="9" applyNumberFormat="1" applyFont="1" applyFill="1" applyBorder="1"/>
    <xf numFmtId="167" fontId="35" fillId="6" borderId="0" xfId="9" applyNumberFormat="1" applyFont="1" applyFill="1"/>
    <xf numFmtId="167" fontId="35" fillId="6" borderId="0" xfId="1" applyNumberFormat="1" applyFont="1" applyFill="1" applyBorder="1"/>
    <xf numFmtId="167" fontId="39" fillId="0" borderId="4" xfId="1" applyNumberFormat="1" applyFont="1" applyFill="1" applyBorder="1"/>
    <xf numFmtId="167" fontId="39" fillId="0" borderId="4" xfId="0" applyNumberFormat="1" applyFont="1" applyBorder="1" applyAlignment="1">
      <alignment horizontal="right"/>
    </xf>
    <xf numFmtId="167" fontId="39" fillId="0" borderId="0" xfId="0" applyNumberFormat="1" applyFont="1" applyAlignment="1">
      <alignment horizontal="right"/>
    </xf>
    <xf numFmtId="167" fontId="39" fillId="0" borderId="8" xfId="1" applyNumberFormat="1" applyFont="1" applyFill="1" applyBorder="1"/>
    <xf numFmtId="1" fontId="37" fillId="6" borderId="5" xfId="0" applyNumberFormat="1" applyFont="1" applyFill="1" applyBorder="1" applyAlignment="1">
      <alignment horizontal="center"/>
    </xf>
    <xf numFmtId="4" fontId="24" fillId="6" borderId="5" xfId="0" applyNumberFormat="1" applyFont="1" applyFill="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13"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55" fillId="15" borderId="0" xfId="0" applyFont="1" applyFill="1" applyAlignment="1">
      <alignment horizontal="left" vertical="top"/>
    </xf>
    <xf numFmtId="0" fontId="56" fillId="16" borderId="0" xfId="0" applyFont="1" applyFill="1" applyAlignment="1">
      <alignment horizontal="left" vertical="top"/>
    </xf>
    <xf numFmtId="0" fontId="55" fillId="16" borderId="0" xfId="0" applyFont="1" applyFill="1" applyAlignment="1">
      <alignment horizontal="left" vertical="top"/>
    </xf>
    <xf numFmtId="0" fontId="57" fillId="16" borderId="0" xfId="0" applyFont="1" applyFill="1" applyAlignment="1">
      <alignment horizontal="left" vertical="top" wrapText="1"/>
    </xf>
    <xf numFmtId="0" fontId="58" fillId="16" borderId="0" xfId="0" applyFont="1" applyFill="1" applyAlignment="1">
      <alignment horizontal="left" vertical="top" wrapText="1"/>
    </xf>
    <xf numFmtId="0" fontId="59" fillId="16" borderId="0" xfId="0" applyFont="1" applyFill="1" applyAlignment="1">
      <alignment horizontal="left" vertical="top"/>
    </xf>
    <xf numFmtId="0" fontId="59" fillId="16" borderId="0" xfId="0" applyFont="1" applyFill="1" applyAlignment="1">
      <alignment horizontal="left" vertical="top" wrapText="1"/>
    </xf>
    <xf numFmtId="0" fontId="60" fillId="16" borderId="0" xfId="0" applyFont="1" applyFill="1" applyAlignment="1">
      <alignment horizontal="left" vertical="top"/>
    </xf>
    <xf numFmtId="0" fontId="61" fillId="16" borderId="0" xfId="10" applyFont="1" applyFill="1" applyAlignment="1">
      <alignment horizontal="left" vertical="top"/>
    </xf>
  </cellXfs>
  <cellStyles count="11">
    <cellStyle name="2x indented GHG Textfiels" xfId="2" xr:uid="{00000000-0005-0000-0000-000000000000}"/>
    <cellStyle name="5x indented GHG Textfiels" xfId="7" xr:uid="{00000000-0005-0000-0000-000001000000}"/>
    <cellStyle name="Bold GHG Numbers (0.00)" xfId="4" xr:uid="{00000000-0005-0000-0000-000002000000}"/>
    <cellStyle name="Collegamento ipertestuale" xfId="10" builtinId="8"/>
    <cellStyle name="Migliaia" xfId="1" builtinId="3"/>
    <cellStyle name="Normal GHG Numbers (0.00)" xfId="8" xr:uid="{00000000-0005-0000-0000-000004000000}"/>
    <cellStyle name="Normal GHG Textfiels Bold" xfId="3" xr:uid="{00000000-0005-0000-0000-000005000000}"/>
    <cellStyle name="Normal GHG whole table" xfId="6" xr:uid="{00000000-0005-0000-0000-000006000000}"/>
    <cellStyle name="Normal GHG-Shade" xfId="5" xr:uid="{00000000-0005-0000-0000-000007000000}"/>
    <cellStyle name="Normale" xfId="0" builtinId="0"/>
    <cellStyle name="Normale_riscaldamento"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3934278</xdr:colOff>
      <xdr:row>7</xdr:row>
      <xdr:rowOff>6954</xdr:rowOff>
    </xdr:to>
    <xdr:pic>
      <xdr:nvPicPr>
        <xdr:cNvPr id="2" name="Immagine 1">
          <a:extLst>
            <a:ext uri="{FF2B5EF4-FFF2-40B4-BE49-F238E27FC236}">
              <a16:creationId xmlns:a16="http://schemas.microsoft.com/office/drawing/2014/main" id="{21E7CB93-5EE3-4952-81AA-F6FCA88F3ABD}"/>
            </a:ext>
          </a:extLst>
        </xdr:cNvPr>
        <xdr:cNvPicPr>
          <a:picLocks noChangeAspect="1"/>
        </xdr:cNvPicPr>
      </xdr:nvPicPr>
      <xdr:blipFill>
        <a:blip xmlns:r="http://schemas.openxmlformats.org/officeDocument/2006/relationships" r:embed="rId1"/>
        <a:stretch>
          <a:fillRect/>
        </a:stretch>
      </xdr:blipFill>
      <xdr:spPr>
        <a:xfrm>
          <a:off x="0" y="0"/>
          <a:ext cx="5488214" cy="11989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missioni.sina.isprambiente.i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10D4-E6B7-44CF-A93B-255B06E45810}">
  <dimension ref="B1:B27"/>
  <sheetViews>
    <sheetView tabSelected="1" workbookViewId="0">
      <selection activeCell="B21" sqref="B21"/>
    </sheetView>
  </sheetViews>
  <sheetFormatPr defaultColWidth="9.15234375" defaultRowHeight="14.15"/>
  <cols>
    <col min="1" max="1" width="22" style="599" customWidth="1"/>
    <col min="2" max="2" width="138.84375" style="599" customWidth="1"/>
    <col min="3" max="16384" width="9.15234375" style="599"/>
  </cols>
  <sheetData>
    <row r="1" spans="2:2" s="597" customFormat="1"/>
    <row r="2" spans="2:2" s="597" customFormat="1"/>
    <row r="3" spans="2:2" s="597" customFormat="1"/>
    <row r="4" spans="2:2" s="597" customFormat="1"/>
    <row r="5" spans="2:2" s="597" customFormat="1"/>
    <row r="6" spans="2:2" s="597" customFormat="1"/>
    <row r="7" spans="2:2" s="597" customFormat="1" ht="8.15" customHeight="1"/>
    <row r="10" spans="2:2">
      <c r="B10" s="598" t="s">
        <v>205</v>
      </c>
    </row>
    <row r="11" spans="2:2" ht="40" customHeight="1">
      <c r="B11" s="600" t="s">
        <v>206</v>
      </c>
    </row>
    <row r="12" spans="2:2" ht="19" customHeight="1">
      <c r="B12" s="601"/>
    </row>
    <row r="13" spans="2:2">
      <c r="B13" s="598" t="s">
        <v>207</v>
      </c>
    </row>
    <row r="14" spans="2:2" ht="22.3">
      <c r="B14" s="602" t="s">
        <v>214</v>
      </c>
    </row>
    <row r="16" spans="2:2">
      <c r="B16" s="598" t="s">
        <v>208</v>
      </c>
    </row>
    <row r="17" spans="2:2" ht="68.150000000000006" customHeight="1">
      <c r="B17" s="603" t="s">
        <v>215</v>
      </c>
    </row>
    <row r="18" spans="2:2" ht="15" customHeight="1"/>
    <row r="19" spans="2:2">
      <c r="B19" s="598" t="s">
        <v>209</v>
      </c>
    </row>
    <row r="20" spans="2:2" ht="17.600000000000001">
      <c r="B20" s="604" t="s">
        <v>210</v>
      </c>
    </row>
    <row r="22" spans="2:2">
      <c r="B22" s="598" t="s">
        <v>211</v>
      </c>
    </row>
    <row r="23" spans="2:2" ht="17.600000000000001">
      <c r="B23" s="604" t="s">
        <v>216</v>
      </c>
    </row>
    <row r="25" spans="2:2">
      <c r="B25" s="598" t="s">
        <v>212</v>
      </c>
    </row>
    <row r="26" spans="2:2" ht="17.600000000000001">
      <c r="B26" s="605" t="s">
        <v>213</v>
      </c>
    </row>
    <row r="27" spans="2:2" ht="17.600000000000001">
      <c r="B27" s="604"/>
    </row>
  </sheetData>
  <hyperlinks>
    <hyperlink ref="B26" r:id="rId1" xr:uid="{B8057E62-17B6-4A0A-ADEA-E5CE2D83D50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79"/>
  <sheetViews>
    <sheetView workbookViewId="0">
      <selection activeCell="D3" sqref="D3"/>
    </sheetView>
  </sheetViews>
  <sheetFormatPr defaultRowHeight="14.6"/>
  <cols>
    <col min="2" max="2" width="17.84375" customWidth="1"/>
    <col min="3" max="3" width="11.4609375" style="32" customWidth="1"/>
    <col min="4" max="8" width="8" customWidth="1"/>
    <col min="9" max="9" width="10.4609375" customWidth="1"/>
    <col min="10" max="10" width="8.3046875" customWidth="1"/>
    <col min="11" max="11" width="7.69140625" customWidth="1"/>
    <col min="12" max="20" width="8" customWidth="1"/>
    <col min="21" max="23" width="10.53515625" customWidth="1"/>
    <col min="24" max="24" width="13.53515625" customWidth="1"/>
    <col min="25" max="25" width="12.3046875" customWidth="1"/>
    <col min="26" max="26" width="14" customWidth="1"/>
    <col min="27" max="27" width="12.53515625" customWidth="1"/>
  </cols>
  <sheetData>
    <row r="1" spans="1:28" ht="15.45">
      <c r="A1" s="9" t="s">
        <v>23</v>
      </c>
      <c r="B1" s="10" t="s">
        <v>24</v>
      </c>
      <c r="C1" s="28"/>
      <c r="D1" s="583" t="s">
        <v>64</v>
      </c>
      <c r="E1" s="584"/>
      <c r="F1" s="584"/>
      <c r="G1" s="584"/>
      <c r="H1" s="584"/>
      <c r="I1" s="584"/>
      <c r="J1" s="584"/>
      <c r="K1" s="585"/>
      <c r="L1" s="587" t="s">
        <v>108</v>
      </c>
      <c r="M1" s="588"/>
      <c r="N1" s="588"/>
      <c r="O1" s="588"/>
      <c r="P1" s="588"/>
      <c r="Q1" s="588"/>
      <c r="R1" s="588"/>
      <c r="S1" s="588"/>
      <c r="T1" s="588"/>
      <c r="U1" s="587" t="s">
        <v>64</v>
      </c>
      <c r="V1" s="588"/>
      <c r="W1" s="589"/>
      <c r="X1" s="53" t="s">
        <v>45</v>
      </c>
      <c r="Y1" s="586" t="s">
        <v>46</v>
      </c>
      <c r="Z1" s="586"/>
      <c r="AA1" s="586"/>
      <c r="AB1" s="4"/>
    </row>
    <row r="2" spans="1:28">
      <c r="C2" s="58" t="s">
        <v>0</v>
      </c>
      <c r="D2" s="58" t="s">
        <v>1</v>
      </c>
      <c r="E2" s="8" t="s">
        <v>2</v>
      </c>
      <c r="F2" s="8" t="s">
        <v>3</v>
      </c>
      <c r="G2" s="8" t="s">
        <v>4</v>
      </c>
      <c r="H2" s="8" t="s">
        <v>5</v>
      </c>
      <c r="I2" s="8" t="s">
        <v>47</v>
      </c>
      <c r="J2" s="8" t="s">
        <v>7</v>
      </c>
      <c r="K2" s="59" t="s">
        <v>8</v>
      </c>
      <c r="L2" s="6" t="s">
        <v>9</v>
      </c>
      <c r="M2" s="6" t="s">
        <v>10</v>
      </c>
      <c r="N2" s="6" t="s">
        <v>11</v>
      </c>
      <c r="O2" s="6" t="s">
        <v>12</v>
      </c>
      <c r="P2" s="6" t="s">
        <v>13</v>
      </c>
      <c r="Q2" s="6" t="s">
        <v>14</v>
      </c>
      <c r="R2" s="6" t="s">
        <v>15</v>
      </c>
      <c r="S2" s="6" t="s">
        <v>16</v>
      </c>
      <c r="T2" s="6" t="s">
        <v>17</v>
      </c>
      <c r="U2" s="5" t="s">
        <v>18</v>
      </c>
      <c r="V2" s="6" t="s">
        <v>106</v>
      </c>
      <c r="W2" s="7" t="s">
        <v>184</v>
      </c>
      <c r="X2" s="54" t="s">
        <v>19</v>
      </c>
      <c r="Y2" s="6" t="s">
        <v>20</v>
      </c>
      <c r="Z2" s="6" t="s">
        <v>21</v>
      </c>
      <c r="AA2" s="6" t="s">
        <v>22</v>
      </c>
      <c r="AB2" s="4"/>
    </row>
    <row r="3" spans="1:28" ht="15.45">
      <c r="B3" s="2"/>
      <c r="C3" s="458">
        <f>SUM(C5:C12)</f>
        <v>901582.64637792285</v>
      </c>
      <c r="D3" s="60">
        <v>4191.482860005347</v>
      </c>
      <c r="E3" s="60">
        <v>20365.187993829859</v>
      </c>
      <c r="F3" s="60">
        <v>2055.0593548476468</v>
      </c>
      <c r="G3" s="60">
        <v>3130.2467498154633</v>
      </c>
      <c r="H3" s="60">
        <v>16309.787927250531</v>
      </c>
      <c r="I3" s="60">
        <v>53570663.374188446</v>
      </c>
      <c r="J3" s="60">
        <v>530.35958520475685</v>
      </c>
      <c r="K3" s="60">
        <v>61.565904752063993</v>
      </c>
      <c r="L3" s="223">
        <v>1195.8587653677196</v>
      </c>
      <c r="M3" s="36">
        <v>41.84174144848641</v>
      </c>
      <c r="N3" s="36">
        <v>4747.2588956452109</v>
      </c>
      <c r="O3" s="36">
        <v>2000.8130938894328</v>
      </c>
      <c r="P3" s="36">
        <v>333.37180001657754</v>
      </c>
      <c r="Q3" s="36">
        <v>3157.8193172712417</v>
      </c>
      <c r="R3" s="36">
        <v>1044.8899709424122</v>
      </c>
      <c r="S3" s="36">
        <v>1314.7003634351113</v>
      </c>
      <c r="T3" s="36">
        <v>1317.0256921359003</v>
      </c>
      <c r="U3" s="301">
        <v>302.39615245162287</v>
      </c>
      <c r="V3" s="299">
        <v>218.35293139630906</v>
      </c>
      <c r="W3" s="299">
        <v>6.982514917547892</v>
      </c>
      <c r="X3" s="300">
        <v>1.6121127896984635</v>
      </c>
      <c r="Y3" s="299">
        <v>291.51875541807073</v>
      </c>
      <c r="Z3" s="299">
        <v>0.26508535639197095</v>
      </c>
      <c r="AA3" s="299">
        <v>0.49881819260683147</v>
      </c>
      <c r="AB3" s="4"/>
    </row>
    <row r="4" spans="1:28" ht="15.45">
      <c r="A4" s="2"/>
      <c r="C4" s="28"/>
      <c r="F4" s="33"/>
      <c r="G4" s="11"/>
      <c r="H4" s="11"/>
      <c r="I4" s="12"/>
      <c r="J4" s="12"/>
      <c r="K4" s="11"/>
      <c r="L4" s="224"/>
      <c r="M4" s="11"/>
      <c r="N4" s="11"/>
      <c r="O4" s="11"/>
      <c r="P4" s="11"/>
      <c r="Q4" s="11"/>
      <c r="R4" s="11"/>
      <c r="S4" s="11"/>
      <c r="T4" s="11"/>
      <c r="U4" s="224"/>
      <c r="V4" s="11"/>
      <c r="W4" s="11"/>
      <c r="X4" s="55"/>
      <c r="Y4" s="11"/>
      <c r="Z4" s="11"/>
      <c r="AA4" s="11"/>
      <c r="AB4" s="4"/>
    </row>
    <row r="5" spans="1:28" ht="15.45">
      <c r="A5" s="2"/>
      <c r="B5" s="2" t="s">
        <v>58</v>
      </c>
      <c r="C5" s="51">
        <v>128262.30156679999</v>
      </c>
      <c r="D5" s="240">
        <v>26.50764261915787</v>
      </c>
      <c r="E5" s="240">
        <v>35.746654214080365</v>
      </c>
      <c r="F5" s="120">
        <v>1.5</v>
      </c>
      <c r="G5" s="241">
        <v>1.5</v>
      </c>
      <c r="H5" s="120">
        <v>12</v>
      </c>
      <c r="I5" s="530">
        <v>93.395221404523681</v>
      </c>
      <c r="J5" s="241">
        <v>1.5</v>
      </c>
      <c r="K5" s="230">
        <v>0.48</v>
      </c>
      <c r="L5" s="242">
        <v>8.3728016965254177</v>
      </c>
      <c r="M5" s="241">
        <v>0.14819118046947641</v>
      </c>
      <c r="N5" s="241">
        <v>10.595669403567562</v>
      </c>
      <c r="O5" s="241">
        <v>2.8156324289200514</v>
      </c>
      <c r="P5" s="241">
        <v>0.85209928769948917</v>
      </c>
      <c r="Q5" s="241">
        <v>6.6315553260090674</v>
      </c>
      <c r="R5" s="241">
        <v>4.6309743896711373</v>
      </c>
      <c r="S5" s="241">
        <v>4.5939265945537686</v>
      </c>
      <c r="T5" s="241">
        <v>9.8122244420744664</v>
      </c>
      <c r="U5" s="245">
        <v>0.75399525224837005</v>
      </c>
      <c r="V5" s="247">
        <v>0.33293296852525428</v>
      </c>
      <c r="W5" s="247">
        <v>7.324525307555594E-3</v>
      </c>
      <c r="X5" s="250">
        <v>3.7613527027952121E-3</v>
      </c>
      <c r="Y5" s="251">
        <v>9.4748474583411386E-7</v>
      </c>
      <c r="Z5" s="248">
        <v>3.3000000000000002E-9</v>
      </c>
      <c r="AA5" s="251">
        <v>5.0953791280532467E-7</v>
      </c>
      <c r="AB5" s="4"/>
    </row>
    <row r="6" spans="1:28" ht="15.45">
      <c r="A6" s="2"/>
      <c r="B6" s="2" t="s">
        <v>25</v>
      </c>
      <c r="C6" s="37">
        <v>0</v>
      </c>
      <c r="D6" s="240">
        <v>382.15343460399356</v>
      </c>
      <c r="E6" s="240">
        <v>35.746654214080365</v>
      </c>
      <c r="F6" s="120">
        <v>1.5</v>
      </c>
      <c r="G6" s="241">
        <v>1.5</v>
      </c>
      <c r="H6" s="120">
        <v>12</v>
      </c>
      <c r="I6" s="241">
        <v>101</v>
      </c>
      <c r="J6" s="241">
        <v>1.5</v>
      </c>
      <c r="K6" s="230">
        <v>0.86</v>
      </c>
      <c r="L6" s="242">
        <v>8.3728016965254177</v>
      </c>
      <c r="M6" s="241">
        <v>0.14819118046947641</v>
      </c>
      <c r="N6" s="241">
        <v>10.595669403567562</v>
      </c>
      <c r="O6" s="241">
        <v>2.8156324289200514</v>
      </c>
      <c r="P6" s="241">
        <v>0.85209928769948917</v>
      </c>
      <c r="Q6" s="241">
        <v>6.6315553260090674</v>
      </c>
      <c r="R6" s="241">
        <v>4.6309743896711373</v>
      </c>
      <c r="S6" s="241">
        <v>4.5939265945537686</v>
      </c>
      <c r="T6" s="241">
        <v>9.8122244420744664</v>
      </c>
      <c r="U6" s="245">
        <v>0.75399525224837005</v>
      </c>
      <c r="V6" s="247">
        <v>0.30541579837908661</v>
      </c>
      <c r="W6" s="247">
        <v>6.7191475643399046E-3</v>
      </c>
      <c r="X6" s="250">
        <v>9.5538358650998391E-3</v>
      </c>
      <c r="Y6" s="251">
        <v>2.4066112544186493E-6</v>
      </c>
      <c r="Z6" s="248"/>
      <c r="AA6" s="251"/>
      <c r="AB6" s="4"/>
    </row>
    <row r="7" spans="1:28" ht="15.45">
      <c r="A7" s="2"/>
      <c r="B7" s="2" t="s">
        <v>39</v>
      </c>
      <c r="C7" s="51">
        <v>680904.23335898865</v>
      </c>
      <c r="D7" s="240">
        <v>0.18311186621207129</v>
      </c>
      <c r="E7" s="240">
        <v>17.518100988237258</v>
      </c>
      <c r="F7" s="120">
        <v>2.5</v>
      </c>
      <c r="G7" s="241">
        <v>1.5</v>
      </c>
      <c r="H7" s="120">
        <v>20</v>
      </c>
      <c r="I7" s="241">
        <v>59.182058931934002</v>
      </c>
      <c r="J7" s="241">
        <v>0.1</v>
      </c>
      <c r="K7" s="119">
        <v>0</v>
      </c>
      <c r="L7" s="242">
        <v>0.16</v>
      </c>
      <c r="M7" s="241">
        <v>0.03</v>
      </c>
      <c r="N7" s="241">
        <v>4.8587045577587276</v>
      </c>
      <c r="O7" s="241">
        <v>2.29</v>
      </c>
      <c r="P7" s="241">
        <v>0.31</v>
      </c>
      <c r="Q7" s="241">
        <v>2.68</v>
      </c>
      <c r="R7" s="241">
        <v>0.6</v>
      </c>
      <c r="S7" s="241">
        <v>1.04</v>
      </c>
      <c r="T7" s="241">
        <v>0</v>
      </c>
      <c r="U7" s="245">
        <v>8.0000000000000002E-3</v>
      </c>
      <c r="V7" s="247">
        <v>8.0000000000000002E-3</v>
      </c>
      <c r="W7" s="247">
        <v>2.0000000000000001E-4</v>
      </c>
      <c r="X7" s="250">
        <v>0</v>
      </c>
      <c r="Y7" s="251">
        <v>0</v>
      </c>
      <c r="Z7" s="248"/>
      <c r="AA7" s="251"/>
      <c r="AB7" s="4"/>
    </row>
    <row r="8" spans="1:28" ht="15.45">
      <c r="A8" s="2"/>
      <c r="B8" s="2" t="s">
        <v>40</v>
      </c>
      <c r="C8" s="37">
        <v>2277.6032766279391</v>
      </c>
      <c r="D8" s="240">
        <v>14.749377730381939</v>
      </c>
      <c r="E8" s="240">
        <v>50</v>
      </c>
      <c r="F8" s="120">
        <v>1.5</v>
      </c>
      <c r="G8" s="241">
        <v>1.5</v>
      </c>
      <c r="H8" s="120">
        <v>12</v>
      </c>
      <c r="I8" s="241">
        <v>74.099999999999994</v>
      </c>
      <c r="J8" s="241">
        <v>0.6</v>
      </c>
      <c r="K8" s="119">
        <v>0</v>
      </c>
      <c r="L8" s="242">
        <v>0.77384120744887253</v>
      </c>
      <c r="M8" s="241">
        <v>0.14330392730534675</v>
      </c>
      <c r="N8" s="241">
        <v>4.7576903865375133</v>
      </c>
      <c r="O8" s="241">
        <v>4.7863511719985814</v>
      </c>
      <c r="P8" s="241">
        <v>0.77384120744887253</v>
      </c>
      <c r="Q8" s="241">
        <v>28.71810703199149</v>
      </c>
      <c r="R8" s="241">
        <v>2.5221491205741033</v>
      </c>
      <c r="S8" s="241">
        <v>1.0317882765984967</v>
      </c>
      <c r="T8" s="241">
        <v>3.4817186097302617</v>
      </c>
      <c r="U8" s="245">
        <v>0.2</v>
      </c>
      <c r="V8" s="247">
        <v>0.05</v>
      </c>
      <c r="W8" s="247">
        <v>1.6750000000000001E-2</v>
      </c>
      <c r="X8" s="250">
        <v>2.3416264375244699E-2</v>
      </c>
      <c r="Y8" s="251">
        <v>8.9031026569412518E-4</v>
      </c>
      <c r="Z8" s="248"/>
      <c r="AA8" s="251"/>
      <c r="AB8" s="4"/>
    </row>
    <row r="9" spans="1:28" ht="15.45">
      <c r="B9" s="2" t="s">
        <v>41</v>
      </c>
      <c r="C9" s="37">
        <v>11365.756923452062</v>
      </c>
      <c r="D9" s="240">
        <v>29.486213205533325</v>
      </c>
      <c r="E9" s="240">
        <v>24.228402516160909</v>
      </c>
      <c r="F9" s="120">
        <v>3</v>
      </c>
      <c r="G9" s="241">
        <v>3</v>
      </c>
      <c r="H9" s="120">
        <v>15</v>
      </c>
      <c r="I9" s="241">
        <v>76.426944003278678</v>
      </c>
      <c r="J9" s="241">
        <v>0.6</v>
      </c>
      <c r="K9" s="119">
        <v>0</v>
      </c>
      <c r="L9" s="242">
        <v>0.77384120744887253</v>
      </c>
      <c r="M9" s="241">
        <v>0.14330392730534675</v>
      </c>
      <c r="N9" s="241">
        <v>4.7576903865375133</v>
      </c>
      <c r="O9" s="241">
        <v>4.7863511719985814</v>
      </c>
      <c r="P9" s="241">
        <v>0.77384120744887253</v>
      </c>
      <c r="Q9" s="241">
        <v>28.71810703199149</v>
      </c>
      <c r="R9" s="241">
        <v>2.5221491205741033</v>
      </c>
      <c r="S9" s="241">
        <v>1.0317882765984967</v>
      </c>
      <c r="T9" s="241">
        <v>3.4817186097302617</v>
      </c>
      <c r="U9" s="245">
        <v>1</v>
      </c>
      <c r="V9" s="247">
        <v>0.76587301587301593</v>
      </c>
      <c r="W9" s="247">
        <v>4.2888888888888893E-2</v>
      </c>
      <c r="X9" s="250">
        <v>2.4372030268111831E-2</v>
      </c>
      <c r="Y9" s="251">
        <v>8.9031026569412518E-4</v>
      </c>
      <c r="Z9" s="248">
        <v>0</v>
      </c>
      <c r="AA9" s="251"/>
      <c r="AB9" s="4"/>
    </row>
    <row r="10" spans="1:28" ht="15.45">
      <c r="B10" s="2" t="s">
        <v>42</v>
      </c>
      <c r="C10" s="51">
        <v>1968.8601496740448</v>
      </c>
      <c r="D10" s="240">
        <v>29.486213205533325</v>
      </c>
      <c r="E10" s="240">
        <v>24.228402516160909</v>
      </c>
      <c r="F10" s="120">
        <v>3</v>
      </c>
      <c r="G10" s="241">
        <v>3</v>
      </c>
      <c r="H10" s="120">
        <v>15</v>
      </c>
      <c r="I10" s="241">
        <v>76.426944003278678</v>
      </c>
      <c r="J10" s="241">
        <v>0.6</v>
      </c>
      <c r="K10" s="119">
        <v>0</v>
      </c>
      <c r="L10" s="242">
        <v>0.77384120744887253</v>
      </c>
      <c r="M10" s="241">
        <v>0.14330392730534675</v>
      </c>
      <c r="N10" s="241">
        <v>4.7576903865375133</v>
      </c>
      <c r="O10" s="241">
        <v>4.7863511719985814</v>
      </c>
      <c r="P10" s="241">
        <v>0.77384120744887253</v>
      </c>
      <c r="Q10" s="241">
        <v>28.71810703199149</v>
      </c>
      <c r="R10" s="241">
        <v>2.5221491205741033</v>
      </c>
      <c r="S10" s="241">
        <v>1.0317882765984967</v>
      </c>
      <c r="T10" s="241">
        <v>3.4817186097302617</v>
      </c>
      <c r="U10" s="245">
        <v>1</v>
      </c>
      <c r="V10" s="247">
        <v>0.76587301587301593</v>
      </c>
      <c r="W10" s="247">
        <v>4.2888888888888893E-2</v>
      </c>
      <c r="X10" s="250">
        <v>2.4372030268111831E-2</v>
      </c>
      <c r="Y10" s="251">
        <v>8.9031026569412518E-4</v>
      </c>
      <c r="Z10" s="248">
        <v>0</v>
      </c>
      <c r="AA10" s="251"/>
      <c r="AB10" s="4"/>
    </row>
    <row r="11" spans="1:28" ht="15.45">
      <c r="A11" s="48"/>
      <c r="B11" s="2" t="s">
        <v>44</v>
      </c>
      <c r="C11" s="51">
        <v>1186.1508747230346</v>
      </c>
      <c r="D11" s="240">
        <v>13.177287347536705</v>
      </c>
      <c r="E11" s="240">
        <v>24.228402516160909</v>
      </c>
      <c r="F11" s="120">
        <v>3</v>
      </c>
      <c r="G11" s="241">
        <v>3</v>
      </c>
      <c r="H11" s="120">
        <v>15</v>
      </c>
      <c r="I11" s="241">
        <v>89.675287489965896</v>
      </c>
      <c r="J11" s="241">
        <v>2</v>
      </c>
      <c r="K11" s="119">
        <v>0</v>
      </c>
      <c r="L11" s="242">
        <v>0.77384120744887253</v>
      </c>
      <c r="M11" s="241">
        <v>0.14330392730534675</v>
      </c>
      <c r="N11" s="241">
        <v>4.7576903865375133</v>
      </c>
      <c r="O11" s="241">
        <v>4.7863511719985814</v>
      </c>
      <c r="P11" s="241">
        <v>0.77384120744887253</v>
      </c>
      <c r="Q11" s="241">
        <v>28.71810703199149</v>
      </c>
      <c r="R11" s="241">
        <v>2.5221491205741033</v>
      </c>
      <c r="S11" s="241">
        <v>1.0317882765984967</v>
      </c>
      <c r="T11" s="241">
        <v>3.4817186097302617</v>
      </c>
      <c r="U11" s="245">
        <v>1</v>
      </c>
      <c r="V11" s="247">
        <v>0.76587301587301593</v>
      </c>
      <c r="W11" s="247">
        <v>4.2888888888888893E-2</v>
      </c>
      <c r="X11" s="250">
        <v>2.4372030268111831E-2</v>
      </c>
      <c r="Y11" s="251">
        <v>8.9031026569412518E-4</v>
      </c>
      <c r="Z11" s="248"/>
      <c r="AA11" s="251"/>
      <c r="AB11" s="4"/>
    </row>
    <row r="12" spans="1:28" ht="15.45">
      <c r="A12" s="2"/>
      <c r="B12" s="2" t="s">
        <v>43</v>
      </c>
      <c r="C12" s="37">
        <v>75617.740227657298</v>
      </c>
      <c r="D12" s="240">
        <v>2.9683394268473657</v>
      </c>
      <c r="E12" s="240">
        <v>44.783083215757109</v>
      </c>
      <c r="F12" s="119">
        <v>1.5</v>
      </c>
      <c r="G12" s="241">
        <v>24.723275689538681</v>
      </c>
      <c r="H12" s="119">
        <v>12</v>
      </c>
      <c r="I12" s="240">
        <v>88.365647944306815</v>
      </c>
      <c r="J12" s="241">
        <v>3.4136972988376315</v>
      </c>
      <c r="K12" s="119"/>
      <c r="L12" s="243"/>
      <c r="M12" s="244"/>
      <c r="N12" s="244"/>
      <c r="O12" s="244"/>
      <c r="P12" s="244"/>
      <c r="Q12" s="244"/>
      <c r="R12" s="244"/>
      <c r="S12" s="244"/>
      <c r="T12" s="244"/>
      <c r="U12" s="246">
        <v>2.4500000000000002</v>
      </c>
      <c r="V12" s="247">
        <v>2.1022580645161284</v>
      </c>
      <c r="W12" s="247">
        <v>6.937451612903224E-2</v>
      </c>
      <c r="X12" s="250">
        <v>9.5538358650998391E-3</v>
      </c>
      <c r="Y12" s="251">
        <v>3.6557752937804535E-3</v>
      </c>
      <c r="Z12" s="248">
        <v>3.4999999999999999E-6</v>
      </c>
      <c r="AA12" s="251">
        <v>5.7323015190599033E-6</v>
      </c>
      <c r="AB12" s="4"/>
    </row>
    <row r="13" spans="1:28" s="35" customFormat="1" ht="15.45">
      <c r="A13" s="49"/>
      <c r="B13" s="61" t="s">
        <v>65</v>
      </c>
      <c r="C13" s="62"/>
      <c r="D13" s="477">
        <f t="shared" ref="D13:K13" si="0">D3*1000/($C5+$C6+$C7+$C8+$C9+$C10+$C12+$C11)</f>
        <v>4.6490278809651944</v>
      </c>
      <c r="E13" s="459">
        <f t="shared" si="0"/>
        <v>22.588265286212305</v>
      </c>
      <c r="F13" s="460">
        <f t="shared" si="0"/>
        <v>2.2793909832934083</v>
      </c>
      <c r="G13" s="459">
        <f t="shared" si="0"/>
        <v>3.4719465402213778</v>
      </c>
      <c r="H13" s="460">
        <f t="shared" si="0"/>
        <v>18.090175085750086</v>
      </c>
      <c r="I13" s="459">
        <f>I3/($C5+$C6+$C7+$C8+$C9+$C10+$C12+$C11)</f>
        <v>59.418472160491035</v>
      </c>
      <c r="J13" s="459">
        <f t="shared" si="0"/>
        <v>0.5882539857388096</v>
      </c>
      <c r="K13" s="462">
        <f t="shared" si="0"/>
        <v>6.8286479336534367E-2</v>
      </c>
      <c r="L13" s="461">
        <f t="shared" ref="L13:W13" si="1">L3*1000/($C5+$C6+$C7+$C8+$C9+$C10+$C12+$C11)</f>
        <v>1.3263994933487693</v>
      </c>
      <c r="M13" s="461">
        <f t="shared" si="1"/>
        <v>4.6409213416633698E-2</v>
      </c>
      <c r="N13" s="461">
        <f t="shared" si="1"/>
        <v>5.2654727935560421</v>
      </c>
      <c r="O13" s="461">
        <f t="shared" si="1"/>
        <v>2.2192231648730489</v>
      </c>
      <c r="P13" s="461">
        <f t="shared" si="1"/>
        <v>0.36976288458510953</v>
      </c>
      <c r="Q13" s="461">
        <f t="shared" si="1"/>
        <v>3.5025289472436851</v>
      </c>
      <c r="R13" s="461">
        <f t="shared" si="1"/>
        <v>1.1589508462038633</v>
      </c>
      <c r="S13" s="461">
        <f t="shared" si="1"/>
        <v>1.4582139182878846</v>
      </c>
      <c r="T13" s="490">
        <f t="shared" si="1"/>
        <v>1.4607930813963705</v>
      </c>
      <c r="U13" s="461">
        <f t="shared" si="1"/>
        <v>0.33540591499458089</v>
      </c>
      <c r="V13" s="463">
        <f t="shared" si="1"/>
        <v>0.24218848074941818</v>
      </c>
      <c r="W13" s="463">
        <f t="shared" si="1"/>
        <v>7.744730830390208E-3</v>
      </c>
      <c r="X13" s="464">
        <f>X3*1000/C3</f>
        <v>1.7880920802713662E-3</v>
      </c>
      <c r="Y13" s="465">
        <f>Y3/C3</f>
        <v>3.2334113415917806E-4</v>
      </c>
      <c r="Z13" s="466">
        <f>Z3/C3</f>
        <v>2.9402224794026616E-7</v>
      </c>
      <c r="AA13" s="467">
        <f>AA3/C3</f>
        <v>5.5326951401606537E-7</v>
      </c>
      <c r="AB13" s="52"/>
    </row>
    <row r="16" spans="1:28">
      <c r="B16" s="302" t="s">
        <v>192</v>
      </c>
    </row>
    <row r="17" spans="2:2">
      <c r="B17" s="249" t="s">
        <v>193</v>
      </c>
    </row>
    <row r="18" spans="2:2">
      <c r="B18" s="252" t="s">
        <v>194</v>
      </c>
    </row>
    <row r="76" spans="2:27" ht="16.5" customHeight="1">
      <c r="B76" s="25"/>
      <c r="C76" s="27"/>
      <c r="D76" s="11"/>
      <c r="E76" s="24"/>
      <c r="F76" s="24"/>
      <c r="G76" s="24"/>
      <c r="H76" s="24"/>
      <c r="I76" s="11"/>
      <c r="J76" s="11"/>
      <c r="K76" s="44"/>
      <c r="L76" s="11"/>
      <c r="M76" s="11"/>
      <c r="N76" s="11"/>
      <c r="O76" s="11"/>
      <c r="P76" s="11"/>
      <c r="Q76" s="11"/>
      <c r="R76" s="11"/>
      <c r="S76" s="11"/>
      <c r="T76" s="11"/>
      <c r="U76" s="11"/>
      <c r="V76" s="11"/>
      <c r="W76" s="11"/>
      <c r="X76" s="11"/>
      <c r="Y76" s="17"/>
      <c r="Z76" s="18"/>
      <c r="AA76" s="18"/>
    </row>
    <row r="77" spans="2:27" ht="16.5" customHeight="1">
      <c r="B77" s="25"/>
      <c r="C77" s="27"/>
      <c r="D77" s="11"/>
      <c r="E77" s="24"/>
      <c r="F77" s="24"/>
      <c r="G77" s="24"/>
      <c r="H77" s="24"/>
      <c r="I77" s="11"/>
      <c r="J77" s="11"/>
      <c r="K77" s="44"/>
      <c r="L77" s="11"/>
      <c r="M77" s="11"/>
      <c r="N77" s="11"/>
      <c r="O77" s="11"/>
      <c r="P77" s="11"/>
      <c r="Q77" s="11"/>
      <c r="R77" s="11"/>
      <c r="S77" s="11"/>
      <c r="T77" s="11"/>
      <c r="U77" s="11"/>
      <c r="V77" s="11"/>
      <c r="W77" s="11"/>
      <c r="X77" s="11"/>
      <c r="Y77" s="17"/>
      <c r="Z77" s="18"/>
      <c r="AA77" s="18"/>
    </row>
    <row r="78" spans="2:27" ht="16.5" customHeight="1">
      <c r="B78" s="26"/>
      <c r="C78" s="27"/>
      <c r="D78" s="11"/>
      <c r="E78" s="24"/>
      <c r="F78" s="24"/>
      <c r="G78" s="24"/>
      <c r="H78" s="24"/>
      <c r="I78" s="11"/>
      <c r="J78" s="11"/>
      <c r="K78" s="44"/>
      <c r="L78" s="11"/>
      <c r="M78" s="11"/>
      <c r="N78" s="11"/>
      <c r="O78" s="11"/>
      <c r="P78" s="11"/>
      <c r="Q78" s="11"/>
      <c r="R78" s="11"/>
      <c r="S78" s="11"/>
      <c r="T78" s="11"/>
      <c r="U78" s="11"/>
      <c r="V78" s="11"/>
      <c r="W78" s="11"/>
      <c r="X78" s="11"/>
      <c r="Y78" s="17"/>
      <c r="Z78" s="18"/>
      <c r="AA78" s="18"/>
    </row>
    <row r="79" spans="2:27" ht="16.5" customHeight="1">
      <c r="B79" s="25"/>
      <c r="C79" s="27"/>
      <c r="D79" s="11"/>
      <c r="E79" s="11"/>
      <c r="F79" s="11"/>
      <c r="G79" s="11"/>
      <c r="H79" s="11"/>
      <c r="I79" s="11"/>
      <c r="J79" s="11"/>
      <c r="K79" s="44"/>
      <c r="L79" s="11"/>
      <c r="M79" s="11"/>
      <c r="N79" s="11"/>
      <c r="O79" s="11"/>
      <c r="P79" s="11"/>
      <c r="Q79" s="11"/>
      <c r="R79" s="11"/>
      <c r="S79" s="11"/>
      <c r="T79" s="11"/>
      <c r="U79" s="11"/>
      <c r="V79" s="11"/>
      <c r="W79" s="11"/>
      <c r="X79" s="11"/>
      <c r="Y79" s="17"/>
      <c r="Z79" s="18"/>
      <c r="AA79" s="18"/>
    </row>
  </sheetData>
  <mergeCells count="4">
    <mergeCell ref="D1:K1"/>
    <mergeCell ref="Y1:AA1"/>
    <mergeCell ref="L1:T1"/>
    <mergeCell ref="U1:W1"/>
  </mergeCell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B29"/>
  <sheetViews>
    <sheetView topLeftCell="E1" zoomScale="90" zoomScaleNormal="90" workbookViewId="0">
      <selection activeCell="Y19" sqref="Y19"/>
    </sheetView>
  </sheetViews>
  <sheetFormatPr defaultRowHeight="14.6"/>
  <cols>
    <col min="2" max="2" width="14.53515625" customWidth="1"/>
    <col min="3" max="3" width="11.53515625" customWidth="1"/>
    <col min="5" max="5" width="9.53515625" bestFit="1" customWidth="1"/>
    <col min="7" max="7" width="8.84375" customWidth="1"/>
    <col min="9" max="9" width="11" customWidth="1"/>
    <col min="10" max="12" width="8.84375" customWidth="1"/>
    <col min="14" max="15" width="8.84375" customWidth="1"/>
    <col min="17" max="21" width="8.84375" customWidth="1"/>
    <col min="23" max="23" width="8.84375" customWidth="1"/>
    <col min="24" max="24" width="14.07421875" customWidth="1"/>
    <col min="25" max="25" width="12.3046875" customWidth="1"/>
    <col min="26" max="26" width="11.53515625" bestFit="1" customWidth="1"/>
  </cols>
  <sheetData>
    <row r="1" spans="1:27" ht="24" customHeight="1">
      <c r="A1" s="15" t="s">
        <v>109</v>
      </c>
      <c r="B1" s="22" t="s">
        <v>68</v>
      </c>
      <c r="C1" s="28"/>
      <c r="D1" s="584" t="s">
        <v>64</v>
      </c>
      <c r="E1" s="584"/>
      <c r="F1" s="584"/>
      <c r="G1" s="584"/>
      <c r="H1" s="584"/>
      <c r="I1" s="584"/>
      <c r="J1" s="584"/>
      <c r="K1" s="585"/>
      <c r="L1" s="587" t="s">
        <v>108</v>
      </c>
      <c r="M1" s="588"/>
      <c r="N1" s="588"/>
      <c r="O1" s="588"/>
      <c r="P1" s="588"/>
      <c r="Q1" s="588"/>
      <c r="R1" s="588"/>
      <c r="S1" s="588"/>
      <c r="T1" s="588"/>
      <c r="U1" s="587" t="s">
        <v>64</v>
      </c>
      <c r="V1" s="588"/>
      <c r="W1" s="589"/>
      <c r="X1" s="53" t="s">
        <v>45</v>
      </c>
      <c r="Y1" s="590" t="s">
        <v>46</v>
      </c>
      <c r="Z1" s="586"/>
      <c r="AA1" s="591"/>
    </row>
    <row r="2" spans="1:27" ht="15.45">
      <c r="A2" s="2"/>
      <c r="B2" s="2"/>
      <c r="C2" s="31" t="s">
        <v>0</v>
      </c>
      <c r="D2" s="58" t="s">
        <v>1</v>
      </c>
      <c r="E2" s="8" t="s">
        <v>2</v>
      </c>
      <c r="F2" s="6" t="s">
        <v>3</v>
      </c>
      <c r="G2" s="8" t="s">
        <v>4</v>
      </c>
      <c r="H2" s="6" t="s">
        <v>5</v>
      </c>
      <c r="I2" s="8" t="s">
        <v>47</v>
      </c>
      <c r="J2" s="6" t="s">
        <v>7</v>
      </c>
      <c r="K2" s="7" t="s">
        <v>8</v>
      </c>
      <c r="L2" s="6" t="s">
        <v>9</v>
      </c>
      <c r="M2" s="6" t="s">
        <v>10</v>
      </c>
      <c r="N2" s="6" t="s">
        <v>11</v>
      </c>
      <c r="O2" s="6" t="s">
        <v>12</v>
      </c>
      <c r="P2" s="6" t="s">
        <v>13</v>
      </c>
      <c r="Q2" s="6" t="s">
        <v>14</v>
      </c>
      <c r="R2" s="6" t="s">
        <v>15</v>
      </c>
      <c r="S2" s="6" t="s">
        <v>16</v>
      </c>
      <c r="T2" s="6" t="s">
        <v>17</v>
      </c>
      <c r="U2" s="5" t="s">
        <v>18</v>
      </c>
      <c r="V2" s="6" t="s">
        <v>106</v>
      </c>
      <c r="W2" s="7" t="s">
        <v>184</v>
      </c>
      <c r="X2" s="54" t="s">
        <v>19</v>
      </c>
      <c r="Y2" s="6" t="s">
        <v>20</v>
      </c>
      <c r="Z2" s="6" t="s">
        <v>21</v>
      </c>
      <c r="AA2" s="6" t="s">
        <v>22</v>
      </c>
    </row>
    <row r="3" spans="1:27">
      <c r="C3" s="117">
        <f>SUM(C6:C12,C15:C23)</f>
        <v>271867.67884753295</v>
      </c>
      <c r="D3" s="47">
        <f t="shared" ref="D3:W3" si="0">D5+D14</f>
        <v>4530.9153480644354</v>
      </c>
      <c r="E3" s="47">
        <f t="shared" si="0"/>
        <v>8369.8010071129574</v>
      </c>
      <c r="F3" s="47">
        <f t="shared" si="0"/>
        <v>678.85607730634479</v>
      </c>
      <c r="G3" s="47">
        <f t="shared" si="0"/>
        <v>388.56064222195471</v>
      </c>
      <c r="H3" s="47">
        <f t="shared" si="0"/>
        <v>3125.603564837324</v>
      </c>
      <c r="I3" s="47">
        <f t="shared" si="0"/>
        <v>18247248.210646786</v>
      </c>
      <c r="J3" s="47">
        <f t="shared" si="0"/>
        <v>465.30023312282208</v>
      </c>
      <c r="K3" s="70">
        <f t="shared" si="0"/>
        <v>54.373535769506589</v>
      </c>
      <c r="L3" s="47">
        <f t="shared" si="0"/>
        <v>73.690897539737847</v>
      </c>
      <c r="M3" s="42">
        <f t="shared" si="0"/>
        <v>13.663550769792899</v>
      </c>
      <c r="N3" s="42">
        <f t="shared" si="0"/>
        <v>631.84854036511229</v>
      </c>
      <c r="O3" s="42">
        <f t="shared" si="0"/>
        <v>515.78873715170039</v>
      </c>
      <c r="P3" s="42">
        <f t="shared" si="0"/>
        <v>80.611643825524069</v>
      </c>
      <c r="Q3" s="42">
        <f t="shared" si="0"/>
        <v>2584.4427301049</v>
      </c>
      <c r="R3" s="42">
        <f t="shared" si="0"/>
        <v>243.8004517655325</v>
      </c>
      <c r="S3" s="42">
        <f t="shared" si="0"/>
        <v>136.39553180576115</v>
      </c>
      <c r="T3" s="70">
        <f t="shared" si="0"/>
        <v>298.34088686066559</v>
      </c>
      <c r="U3" s="47">
        <f t="shared" si="0"/>
        <v>1489.4747112913506</v>
      </c>
      <c r="V3" s="42">
        <f t="shared" si="0"/>
        <v>1197.6702676298708</v>
      </c>
      <c r="W3" s="70">
        <f t="shared" si="0"/>
        <v>45.926779864756227</v>
      </c>
      <c r="X3" s="68">
        <f>X5+X14</f>
        <v>2.4057044274124135</v>
      </c>
      <c r="Y3" s="67">
        <f>Y5+Y14</f>
        <v>31.137838361647663</v>
      </c>
      <c r="Z3" s="42">
        <f>Z5+Z14</f>
        <v>0</v>
      </c>
      <c r="AA3" s="46">
        <f>AA5+AA14</f>
        <v>0</v>
      </c>
    </row>
    <row r="4" spans="1:27" ht="15.45">
      <c r="A4" s="23" t="s">
        <v>62</v>
      </c>
      <c r="B4" s="2" t="s">
        <v>36</v>
      </c>
      <c r="C4" s="28"/>
      <c r="K4" s="71"/>
      <c r="U4" s="4"/>
      <c r="X4" s="69"/>
      <c r="Y4" s="4"/>
      <c r="AA4" s="1"/>
    </row>
    <row r="5" spans="1:27" ht="15.45">
      <c r="A5" s="72"/>
      <c r="C5" s="28"/>
      <c r="D5" s="303">
        <f>($C6*D6+$C7*D7+$C8*D8+C9*D9+$C10*D10+$C11*D11+$C12*D12)/1000</f>
        <v>2515.3766815413192</v>
      </c>
      <c r="E5" s="304">
        <f>($C6*E6+$C7*E7+$C8*E8+C9*E9+$C10*E10+$C11*E11+$C12*E12)/1000</f>
        <v>1721.9509874483592</v>
      </c>
      <c r="F5" s="127">
        <f>($C6*F6+$C7*F7+$C8*F8+C9*F9+$C10*F10+$C11*F11+$C12*F12)/1000</f>
        <v>283.83943924726486</v>
      </c>
      <c r="G5" s="304">
        <f>($C6*G6+$C7*G7+$C8*G8+$C9*G9+$C10*G10+$C11*G11+$C12*G12)/1000</f>
        <v>199.32159403980273</v>
      </c>
      <c r="H5" s="127">
        <f>($C6*H6+$C7*H7+$C8*H8+$C9*H9+$C10*H10+$C11*H11+$C12*H12)/1000</f>
        <v>1113.8488904441242</v>
      </c>
      <c r="I5" s="315">
        <f>($C6*I6+$C7*I7+$C8*I8+$C9*I9+$C10*I10+$C11*I11+$C12*I12)</f>
        <v>7434906.1737345764</v>
      </c>
      <c r="J5" s="304">
        <f>($C6*J6+$C7*J7+$C8*J8+$C9*J9+$C10*J10+$C11*J11+$C12*J12)/1000</f>
        <v>129.66350654750218</v>
      </c>
      <c r="K5" s="581">
        <f>($C6*K6+$C7*K7+$C8*K8+$C9*K9+$C10*K10+$C11*K11+$C12*K12)/1000</f>
        <v>20.809863111974597</v>
      </c>
      <c r="L5" s="304">
        <f t="shared" ref="L5:W5" si="1">($C6*L6+$C7*L7+$C8*L8+$C9*L9+$C10*L10+$C11*L11+$C12*L12)/1000</f>
        <v>44.244936879162331</v>
      </c>
      <c r="M5" s="304">
        <f t="shared" si="1"/>
        <v>8.2105950919085444</v>
      </c>
      <c r="N5" s="304">
        <f t="shared" si="1"/>
        <v>450.81041185935169</v>
      </c>
      <c r="O5" s="304">
        <f t="shared" si="1"/>
        <v>333.66001751036299</v>
      </c>
      <c r="P5" s="304">
        <f t="shared" si="1"/>
        <v>51.165683164948547</v>
      </c>
      <c r="Q5" s="304">
        <f t="shared" si="1"/>
        <v>1491.6704122568751</v>
      </c>
      <c r="R5" s="304">
        <f t="shared" si="1"/>
        <v>147.82843183476783</v>
      </c>
      <c r="S5" s="304">
        <f t="shared" si="1"/>
        <v>97.134250924993808</v>
      </c>
      <c r="T5" s="304">
        <f t="shared" si="1"/>
        <v>165.8556324874877</v>
      </c>
      <c r="U5" s="303">
        <f t="shared" si="1"/>
        <v>535.98496783899054</v>
      </c>
      <c r="V5" s="253">
        <f t="shared" si="1"/>
        <v>424.45591168192976</v>
      </c>
      <c r="W5" s="253">
        <f t="shared" si="1"/>
        <v>21.921200215568486</v>
      </c>
      <c r="X5" s="256">
        <f>($C6*X6+$C7*X7+$C8*X8+$C9*X9+$C10*X10+$C11*X11+$C12*X12)/1000</f>
        <v>1.1654154274124138</v>
      </c>
      <c r="Y5" s="260">
        <f>($C6*Y6+$C7*Y7+$C8*Y8+$C9*Y9+$C10*Y10+$C11*Y11+$C12*Y12)</f>
        <v>17.31035236271909</v>
      </c>
      <c r="Z5" s="253">
        <f>($C6*Z6+$C7*Z7+$C8*Z8+$C9*Z9+$C10*Z10+$C11*Z11+$C12*Z12)</f>
        <v>0</v>
      </c>
      <c r="AA5" s="264">
        <f>($C6*AA6+$C7*AA7+$C8*AA8+$C9*AA9+$C10*AA10+$C11*AA11+$C12*AA12)</f>
        <v>0</v>
      </c>
    </row>
    <row r="6" spans="1:27" ht="15.45">
      <c r="B6" s="2" t="s">
        <v>54</v>
      </c>
      <c r="C6" s="29">
        <v>10071.0292032</v>
      </c>
      <c r="D6" s="305">
        <v>0.39124379724182257</v>
      </c>
      <c r="E6" s="306">
        <v>24.228402516160909</v>
      </c>
      <c r="F6" s="189">
        <v>2.5</v>
      </c>
      <c r="G6" s="312">
        <v>1</v>
      </c>
      <c r="H6" s="190">
        <v>13</v>
      </c>
      <c r="I6" s="316">
        <v>56.497334968095956</v>
      </c>
      <c r="J6" s="314">
        <v>2</v>
      </c>
      <c r="K6" s="486">
        <v>0.2</v>
      </c>
      <c r="L6" s="319">
        <v>0</v>
      </c>
      <c r="M6" s="320">
        <v>0</v>
      </c>
      <c r="N6" s="320">
        <v>0</v>
      </c>
      <c r="O6" s="320">
        <v>0</v>
      </c>
      <c r="P6" s="320">
        <v>0</v>
      </c>
      <c r="Q6" s="320">
        <v>0</v>
      </c>
      <c r="R6" s="320">
        <v>0</v>
      </c>
      <c r="S6" s="320">
        <v>0</v>
      </c>
      <c r="T6" s="320">
        <v>0</v>
      </c>
      <c r="U6" s="321">
        <v>5</v>
      </c>
      <c r="V6" s="254">
        <v>5</v>
      </c>
      <c r="W6" s="254">
        <v>0.125</v>
      </c>
      <c r="X6" s="536">
        <v>0</v>
      </c>
      <c r="Y6" s="339">
        <v>0</v>
      </c>
      <c r="Z6" s="340"/>
      <c r="AA6" s="265"/>
    </row>
    <row r="7" spans="1:27" ht="15.45">
      <c r="B7" s="2" t="s">
        <v>56</v>
      </c>
      <c r="C7" s="29">
        <v>0</v>
      </c>
      <c r="D7" s="307">
        <v>52.510008185110188</v>
      </c>
      <c r="E7" s="306">
        <v>24.228402516160909</v>
      </c>
      <c r="F7" s="191">
        <v>3</v>
      </c>
      <c r="G7" s="313">
        <v>7</v>
      </c>
      <c r="H7" s="191">
        <v>60</v>
      </c>
      <c r="I7" s="316">
        <v>71.900000000000006</v>
      </c>
      <c r="J7" s="313">
        <v>2</v>
      </c>
      <c r="K7" s="486">
        <v>0.2</v>
      </c>
      <c r="L7" s="319">
        <v>0.77384120744887253</v>
      </c>
      <c r="M7" s="320">
        <v>0.14330392730534675</v>
      </c>
      <c r="N7" s="320">
        <v>4.7576903865375133</v>
      </c>
      <c r="O7" s="320">
        <v>4.7863511719985814</v>
      </c>
      <c r="P7" s="320">
        <v>0.77384120744887253</v>
      </c>
      <c r="Q7" s="320">
        <v>28.71810703199149</v>
      </c>
      <c r="R7" s="320">
        <v>2.5221491205741033</v>
      </c>
      <c r="S7" s="320">
        <v>1.0317882765984967</v>
      </c>
      <c r="T7" s="320">
        <v>3.4817186097302617</v>
      </c>
      <c r="U7" s="321">
        <v>10</v>
      </c>
      <c r="V7" s="254">
        <v>2.5</v>
      </c>
      <c r="W7" s="254">
        <v>0.83750000000000002</v>
      </c>
      <c r="X7" s="537">
        <v>2.2965951598797683E-2</v>
      </c>
      <c r="Y7" s="538">
        <v>3.6338697129754738E-4</v>
      </c>
      <c r="Z7" s="340"/>
      <c r="AA7" s="266"/>
    </row>
    <row r="8" spans="1:27" ht="15.45">
      <c r="B8" s="2" t="s">
        <v>34</v>
      </c>
      <c r="C8" s="29">
        <v>0</v>
      </c>
      <c r="D8" s="307">
        <v>52.510008185110188</v>
      </c>
      <c r="E8" s="306">
        <v>24.228402516160909</v>
      </c>
      <c r="F8" s="191">
        <v>1.5</v>
      </c>
      <c r="G8" s="313">
        <v>1.5</v>
      </c>
      <c r="H8" s="191">
        <v>9</v>
      </c>
      <c r="I8" s="316">
        <v>95.672350796353058</v>
      </c>
      <c r="J8" s="313">
        <v>2</v>
      </c>
      <c r="K8" s="486">
        <v>0.2</v>
      </c>
      <c r="L8" s="319">
        <v>0.77384120744887253</v>
      </c>
      <c r="M8" s="320">
        <v>0.14330392730534675</v>
      </c>
      <c r="N8" s="320">
        <v>4.7576903865375133</v>
      </c>
      <c r="O8" s="320">
        <v>4.7863511719985814</v>
      </c>
      <c r="P8" s="320">
        <v>0.77384120744887253</v>
      </c>
      <c r="Q8" s="320">
        <v>28.71810703199149</v>
      </c>
      <c r="R8" s="320">
        <v>2.5221491205741033</v>
      </c>
      <c r="S8" s="320">
        <v>1.0317882765984967</v>
      </c>
      <c r="T8" s="320">
        <v>3.4817186097302617</v>
      </c>
      <c r="U8" s="321">
        <v>10</v>
      </c>
      <c r="V8" s="254">
        <v>4.4155844155844157</v>
      </c>
      <c r="W8" s="254">
        <v>0.14571428571428571</v>
      </c>
      <c r="X8" s="537">
        <v>2.8776614051505531E-2</v>
      </c>
      <c r="Y8" s="538">
        <v>3.6338697129754738E-4</v>
      </c>
      <c r="Z8" s="340"/>
      <c r="AA8" s="266"/>
    </row>
    <row r="9" spans="1:27" ht="15.45">
      <c r="B9" s="2" t="s">
        <v>63</v>
      </c>
      <c r="C9" s="29">
        <v>47636.139239964883</v>
      </c>
      <c r="D9" s="307">
        <v>52.510008185110188</v>
      </c>
      <c r="E9" s="306">
        <v>24.228402516160909</v>
      </c>
      <c r="F9" s="190">
        <v>3</v>
      </c>
      <c r="G9" s="312">
        <v>3</v>
      </c>
      <c r="H9" s="190">
        <v>8</v>
      </c>
      <c r="I9" s="316">
        <v>86.530725030197758</v>
      </c>
      <c r="J9" s="314">
        <v>2</v>
      </c>
      <c r="K9" s="486">
        <v>0.2</v>
      </c>
      <c r="L9" s="319">
        <v>0.77384120744887253</v>
      </c>
      <c r="M9" s="320">
        <v>0.14330392730534675</v>
      </c>
      <c r="N9" s="320">
        <v>4.7576903865375133</v>
      </c>
      <c r="O9" s="320">
        <v>4.7863511719985814</v>
      </c>
      <c r="P9" s="320">
        <v>0.77384120744887253</v>
      </c>
      <c r="Q9" s="320">
        <v>28.71810703199149</v>
      </c>
      <c r="R9" s="320">
        <v>2.5221491205741033</v>
      </c>
      <c r="S9" s="320">
        <v>1.0317882765984967</v>
      </c>
      <c r="T9" s="320">
        <v>3.4817186097302617</v>
      </c>
      <c r="U9" s="321">
        <v>10</v>
      </c>
      <c r="V9" s="254">
        <v>7.6587301587301591</v>
      </c>
      <c r="W9" s="254">
        <v>0.42888888888888893</v>
      </c>
      <c r="X9" s="537">
        <v>2.4372030268111831E-2</v>
      </c>
      <c r="Y9" s="538">
        <v>3.6338697129754738E-4</v>
      </c>
      <c r="Z9" s="340"/>
      <c r="AA9" s="266"/>
    </row>
    <row r="10" spans="1:27" ht="15.45">
      <c r="B10" s="2" t="s">
        <v>42</v>
      </c>
      <c r="C10" s="29">
        <v>0</v>
      </c>
      <c r="D10" s="307">
        <v>52.510008185110188</v>
      </c>
      <c r="E10" s="306">
        <v>24.228402516160909</v>
      </c>
      <c r="F10" s="190">
        <v>3</v>
      </c>
      <c r="G10" s="312">
        <v>3</v>
      </c>
      <c r="H10" s="190">
        <v>10</v>
      </c>
      <c r="I10" s="316">
        <v>76.426944003278678</v>
      </c>
      <c r="J10" s="314">
        <v>2</v>
      </c>
      <c r="K10" s="486">
        <v>0.2</v>
      </c>
      <c r="L10" s="319">
        <v>0.77384120744887253</v>
      </c>
      <c r="M10" s="320">
        <v>0.14330392730534675</v>
      </c>
      <c r="N10" s="320">
        <v>4.7576903865375133</v>
      </c>
      <c r="O10" s="320">
        <v>4.7863511719985814</v>
      </c>
      <c r="P10" s="320">
        <v>0.77384120744887253</v>
      </c>
      <c r="Q10" s="320">
        <v>28.71810703199149</v>
      </c>
      <c r="R10" s="320">
        <v>2.5221491205741033</v>
      </c>
      <c r="S10" s="320">
        <v>1.0317882765984967</v>
      </c>
      <c r="T10" s="320">
        <v>3.4817186097302617</v>
      </c>
      <c r="U10" s="321">
        <v>10</v>
      </c>
      <c r="V10" s="254">
        <v>7.6587301587301591</v>
      </c>
      <c r="W10" s="254">
        <v>0.42888888888888893</v>
      </c>
      <c r="X10" s="537">
        <v>2.4372030268111831E-2</v>
      </c>
      <c r="Y10" s="538">
        <v>3.6338697129754738E-4</v>
      </c>
      <c r="Z10" s="340">
        <v>0</v>
      </c>
      <c r="AA10" s="266"/>
    </row>
    <row r="11" spans="1:27" ht="15.45">
      <c r="B11" s="2" t="s">
        <v>39</v>
      </c>
      <c r="C11" s="29">
        <v>46138.308571908085</v>
      </c>
      <c r="D11" s="305">
        <v>0.21713263329772356</v>
      </c>
      <c r="E11" s="306">
        <v>6.9109555572628976</v>
      </c>
      <c r="F11" s="189">
        <v>2.5</v>
      </c>
      <c r="G11" s="312">
        <v>1</v>
      </c>
      <c r="H11" s="190">
        <v>13</v>
      </c>
      <c r="I11" s="316">
        <v>59.182058931934002</v>
      </c>
      <c r="J11" s="314">
        <v>0.3</v>
      </c>
      <c r="K11" s="486">
        <v>0.2</v>
      </c>
      <c r="L11" s="319">
        <v>0.16</v>
      </c>
      <c r="M11" s="320">
        <v>0.03</v>
      </c>
      <c r="N11" s="320">
        <v>4.8587045577587276</v>
      </c>
      <c r="O11" s="320">
        <v>2.29</v>
      </c>
      <c r="P11" s="320">
        <v>0.31</v>
      </c>
      <c r="Q11" s="320">
        <v>2.68</v>
      </c>
      <c r="R11" s="320">
        <v>0.6</v>
      </c>
      <c r="S11" s="320">
        <v>1.04</v>
      </c>
      <c r="T11" s="320">
        <v>0</v>
      </c>
      <c r="U11" s="321">
        <v>0.2</v>
      </c>
      <c r="V11" s="254">
        <v>0.2</v>
      </c>
      <c r="W11" s="254">
        <v>5.000000000000001E-3</v>
      </c>
      <c r="X11" s="536">
        <v>0</v>
      </c>
      <c r="Y11" s="339">
        <v>0</v>
      </c>
      <c r="Z11" s="340"/>
      <c r="AA11" s="266"/>
    </row>
    <row r="12" spans="1:27" ht="15.45">
      <c r="B12" s="2" t="s">
        <v>53</v>
      </c>
      <c r="C12" s="29">
        <v>203.83854479999999</v>
      </c>
      <c r="D12" s="305">
        <v>0.21713263329772359</v>
      </c>
      <c r="E12" s="306">
        <v>24.228402516160909</v>
      </c>
      <c r="F12" s="190">
        <v>2</v>
      </c>
      <c r="G12" s="312">
        <v>1</v>
      </c>
      <c r="H12" s="190">
        <v>10</v>
      </c>
      <c r="I12" s="316">
        <v>65.591620000000006</v>
      </c>
      <c r="J12" s="314">
        <v>2</v>
      </c>
      <c r="K12" s="486">
        <v>0.2</v>
      </c>
      <c r="L12" s="319">
        <v>0</v>
      </c>
      <c r="M12" s="320">
        <v>0</v>
      </c>
      <c r="N12" s="320">
        <v>0</v>
      </c>
      <c r="O12" s="320">
        <v>0</v>
      </c>
      <c r="P12" s="320">
        <v>0</v>
      </c>
      <c r="Q12" s="320">
        <v>0</v>
      </c>
      <c r="R12" s="320">
        <v>0</v>
      </c>
      <c r="S12" s="320">
        <v>0</v>
      </c>
      <c r="T12" s="320">
        <v>0</v>
      </c>
      <c r="U12" s="321">
        <v>0.2</v>
      </c>
      <c r="V12" s="254">
        <v>0.2</v>
      </c>
      <c r="W12" s="254">
        <v>5.000000000000001E-3</v>
      </c>
      <c r="X12" s="537">
        <v>2.1713263329772359E-2</v>
      </c>
      <c r="Y12" s="339">
        <v>0</v>
      </c>
      <c r="Z12" s="340"/>
      <c r="AA12" s="266"/>
    </row>
    <row r="13" spans="1:27">
      <c r="C13" s="28"/>
      <c r="D13" s="308"/>
      <c r="E13" s="309"/>
      <c r="G13" s="302"/>
      <c r="I13" s="302"/>
      <c r="J13" s="302"/>
      <c r="K13" s="487"/>
      <c r="L13" s="302"/>
      <c r="M13" s="302"/>
      <c r="N13" s="302"/>
      <c r="O13" s="302"/>
      <c r="P13" s="302"/>
      <c r="Q13" s="302"/>
      <c r="R13" s="302"/>
      <c r="S13" s="302"/>
      <c r="T13" s="302"/>
      <c r="U13" s="322"/>
      <c r="V13" s="249"/>
      <c r="W13" s="249"/>
      <c r="X13" s="258"/>
      <c r="Y13" s="262"/>
      <c r="Z13" s="249"/>
      <c r="AA13" s="267"/>
    </row>
    <row r="14" spans="1:27" ht="15.45">
      <c r="A14" s="23" t="s">
        <v>37</v>
      </c>
      <c r="B14" s="72" t="s">
        <v>38</v>
      </c>
      <c r="C14" s="28"/>
      <c r="D14" s="303">
        <f>($C15*D15+$C16*D16+$C17*D17+$C18*D18+$C19*D19+$C20*D20+$C21*D21+$C22*D22+$C23*D23)/1000</f>
        <v>2015.5386665231163</v>
      </c>
      <c r="E14" s="304">
        <f>($C15*E15+$C16*E16+$C17*E17+$C18*E18+$C19*E19+$C20*E20+$C21*E21+$C22*E22+$C23*E23)/1000</f>
        <v>6647.8500196645991</v>
      </c>
      <c r="F14" s="127">
        <f t="shared" ref="F14:J14" si="2">($C15*F15+$C16*F16+$C17*F17+$C18*F18+$C19*F19+$C20*F20+$C21*F21+$C22*F22+$C23*F23)/1000</f>
        <v>395.01663805907987</v>
      </c>
      <c r="G14" s="304">
        <f t="shared" si="2"/>
        <v>189.23904818215198</v>
      </c>
      <c r="H14" s="127">
        <f t="shared" si="2"/>
        <v>2011.7546743931998</v>
      </c>
      <c r="I14" s="304">
        <f>($C15*I15+$C16*I16+$C17*I17+$C18*I18+$C19*I19+$C20*I20+$C21*I21+$C22*I22+$C23*I23)</f>
        <v>10812342.036912208</v>
      </c>
      <c r="J14" s="304">
        <f t="shared" si="2"/>
        <v>335.63672657531993</v>
      </c>
      <c r="K14" s="304">
        <f>($C15*K15+$C16*K16+$C17*K17+$C18*K18+$C19*K19+$C20*K20+$C21*K21+K22*C22+K23*C23)/1000</f>
        <v>33.563672657531995</v>
      </c>
      <c r="L14" s="303">
        <f>($C15*L15+$C16*L16+$C17*L17+$C18*L18+$C19*L19+$C20*L20+$C21*L21+$C22*L22+$C23*L23)/1000</f>
        <v>29.445960660575519</v>
      </c>
      <c r="M14" s="304">
        <f t="shared" ref="M14:W14" si="3">($C15*M15+$C16*M16+$C17*M17+$C18*M18+$C19*M19+$C20*M20+$C21*M21+$C22*M22+$C23*M23)/1000</f>
        <v>5.4529556778843542</v>
      </c>
      <c r="N14" s="304">
        <f t="shared" si="3"/>
        <v>181.03812850576062</v>
      </c>
      <c r="O14" s="304">
        <f t="shared" si="3"/>
        <v>182.12871964133745</v>
      </c>
      <c r="P14" s="304">
        <f t="shared" si="3"/>
        <v>29.445960660575519</v>
      </c>
      <c r="Q14" s="304">
        <f t="shared" si="3"/>
        <v>1092.7723178480246</v>
      </c>
      <c r="R14" s="304">
        <f t="shared" si="3"/>
        <v>95.97201993076466</v>
      </c>
      <c r="S14" s="304">
        <f t="shared" si="3"/>
        <v>39.261280880767359</v>
      </c>
      <c r="T14" s="304">
        <f t="shared" si="3"/>
        <v>132.48525437317787</v>
      </c>
      <c r="U14" s="303">
        <f>($C15*U15+$C16*U16+$C17*U17+$C18*U18+$C19*U19+$C20*U20+$C21*U21+$C22*U22+$C23*U23)/1000</f>
        <v>953.4897434523599</v>
      </c>
      <c r="V14" s="253">
        <f t="shared" si="3"/>
        <v>773.21435594794104</v>
      </c>
      <c r="W14" s="253">
        <f t="shared" si="3"/>
        <v>24.005579649187737</v>
      </c>
      <c r="X14" s="256">
        <f t="shared" ref="X14" si="4">($C15*X15+$C16*X16+$C17*X17+$C18*X18+$C19*X19+$C20*X20+$C21*X21+$C22*X22)/1000</f>
        <v>1.2402889999999998</v>
      </c>
      <c r="Y14" s="260">
        <f>($C15*Y15+$C16*Y16+$C17*Y17+$C18*Y18+$C19*Y19+$C20*Y20+$C21*Y21+$C22*Y22+$C23*Y23)</f>
        <v>13.827485998928573</v>
      </c>
      <c r="Z14" s="253">
        <f t="shared" ref="Z14:AA14" si="5">($C15*Z15+$C16*Z16+$C17*Z17+$C18*Z18+$C19*Z19+$C20*Z20+$C21*Z21+$C22*Z22+$C23*Z23)</f>
        <v>0</v>
      </c>
      <c r="AA14" s="264">
        <f t="shared" si="5"/>
        <v>0</v>
      </c>
    </row>
    <row r="15" spans="1:27" ht="15.45">
      <c r="A15" s="3"/>
      <c r="B15" s="2" t="s">
        <v>53</v>
      </c>
      <c r="C15" s="29">
        <v>10009.596286799999</v>
      </c>
      <c r="D15" s="305">
        <v>0.21713263329772359</v>
      </c>
      <c r="E15" s="306">
        <v>39.613364648714985</v>
      </c>
      <c r="F15" s="190">
        <v>2</v>
      </c>
      <c r="G15" s="312">
        <v>1</v>
      </c>
      <c r="H15" s="190">
        <v>10</v>
      </c>
      <c r="I15" s="317">
        <v>65.591620000000006</v>
      </c>
      <c r="J15" s="314">
        <v>2</v>
      </c>
      <c r="K15" s="488">
        <v>0.2</v>
      </c>
      <c r="L15" s="323">
        <v>0</v>
      </c>
      <c r="M15" s="323">
        <v>0</v>
      </c>
      <c r="N15" s="323">
        <v>0</v>
      </c>
      <c r="O15" s="323">
        <v>0</v>
      </c>
      <c r="P15" s="323">
        <v>0</v>
      </c>
      <c r="Q15" s="323">
        <v>0</v>
      </c>
      <c r="R15" s="323">
        <v>0</v>
      </c>
      <c r="S15" s="323">
        <v>0</v>
      </c>
      <c r="T15" s="323">
        <v>0</v>
      </c>
      <c r="U15" s="321">
        <v>0.2</v>
      </c>
      <c r="V15" s="254">
        <v>0.2</v>
      </c>
      <c r="W15" s="254">
        <v>5.000000000000001E-3</v>
      </c>
      <c r="X15" s="541">
        <v>2.1713263329772359E-2</v>
      </c>
      <c r="Y15" s="261">
        <v>0</v>
      </c>
      <c r="Z15" s="269"/>
      <c r="AA15" s="265"/>
    </row>
    <row r="16" spans="1:27" ht="15.45">
      <c r="A16" s="3"/>
      <c r="B16" s="2" t="s">
        <v>54</v>
      </c>
      <c r="C16" s="29">
        <v>119757.08355839999</v>
      </c>
      <c r="D16" s="305">
        <v>0.39124379724182257</v>
      </c>
      <c r="E16" s="306">
        <v>39.613364648714985</v>
      </c>
      <c r="F16" s="189">
        <v>2.5</v>
      </c>
      <c r="G16" s="314">
        <v>1</v>
      </c>
      <c r="H16" s="189">
        <v>13</v>
      </c>
      <c r="I16" s="317">
        <v>56.497334968095956</v>
      </c>
      <c r="J16" s="314">
        <v>2</v>
      </c>
      <c r="K16" s="488">
        <v>0.2</v>
      </c>
      <c r="L16" s="323">
        <v>0</v>
      </c>
      <c r="M16" s="323">
        <v>0</v>
      </c>
      <c r="N16" s="323">
        <v>0</v>
      </c>
      <c r="O16" s="323">
        <v>0</v>
      </c>
      <c r="P16" s="323">
        <v>0</v>
      </c>
      <c r="Q16" s="323">
        <v>0</v>
      </c>
      <c r="R16" s="323">
        <v>0</v>
      </c>
      <c r="S16" s="323">
        <v>0</v>
      </c>
      <c r="T16" s="323">
        <v>0</v>
      </c>
      <c r="U16" s="321">
        <v>5</v>
      </c>
      <c r="V16" s="254">
        <v>5</v>
      </c>
      <c r="W16" s="254">
        <v>0.125</v>
      </c>
      <c r="X16" s="257">
        <v>0</v>
      </c>
      <c r="Y16" s="261">
        <v>0</v>
      </c>
      <c r="Z16" s="269"/>
      <c r="AA16" s="265"/>
    </row>
    <row r="17" spans="1:28" ht="15.45">
      <c r="A17" s="3"/>
      <c r="B17" s="2" t="s">
        <v>56</v>
      </c>
      <c r="C17" s="29">
        <v>0</v>
      </c>
      <c r="D17" s="307">
        <v>52.510008185110188</v>
      </c>
      <c r="E17" s="306">
        <v>39.613364648714985</v>
      </c>
      <c r="F17" s="191">
        <v>3</v>
      </c>
      <c r="G17" s="313">
        <v>7</v>
      </c>
      <c r="H17" s="191">
        <v>60</v>
      </c>
      <c r="I17" s="317">
        <v>71.900000000000006</v>
      </c>
      <c r="J17" s="313">
        <v>2</v>
      </c>
      <c r="K17" s="488">
        <v>0.2</v>
      </c>
      <c r="L17" s="323">
        <v>0.77384120744887253</v>
      </c>
      <c r="M17" s="324">
        <v>0.14330392730534675</v>
      </c>
      <c r="N17" s="324">
        <v>4.7576903865375133</v>
      </c>
      <c r="O17" s="324">
        <v>4.7863511719985814</v>
      </c>
      <c r="P17" s="324">
        <v>0.77384120744887253</v>
      </c>
      <c r="Q17" s="324">
        <v>28.71810703199149</v>
      </c>
      <c r="R17" s="324">
        <v>2.5221491205741033</v>
      </c>
      <c r="S17" s="324">
        <v>1.0317882765984967</v>
      </c>
      <c r="T17" s="324">
        <v>3.4817186097302617</v>
      </c>
      <c r="U17" s="321">
        <v>10</v>
      </c>
      <c r="V17" s="254">
        <v>2.5</v>
      </c>
      <c r="W17" s="254">
        <v>0.83750000000000002</v>
      </c>
      <c r="X17" s="541">
        <v>2.2965951598797683E-2</v>
      </c>
      <c r="Y17" s="539">
        <v>3.6338697129754738E-4</v>
      </c>
      <c r="Z17" s="270"/>
      <c r="AA17" s="266"/>
    </row>
    <row r="18" spans="1:28" ht="15.45">
      <c r="A18" s="3"/>
      <c r="B18" s="2" t="s">
        <v>55</v>
      </c>
      <c r="C18" s="29">
        <v>0</v>
      </c>
      <c r="D18" s="307">
        <v>22.747228250237711</v>
      </c>
      <c r="E18" s="306">
        <v>39.613364648714985</v>
      </c>
      <c r="F18" s="191">
        <v>3</v>
      </c>
      <c r="G18" s="313">
        <v>7</v>
      </c>
      <c r="H18" s="191">
        <v>60</v>
      </c>
      <c r="I18" s="317">
        <v>73.338305545600491</v>
      </c>
      <c r="J18" s="313">
        <v>2</v>
      </c>
      <c r="K18" s="488">
        <v>0.2</v>
      </c>
      <c r="L18" s="323">
        <v>0.77384120744887253</v>
      </c>
      <c r="M18" s="324">
        <v>0.14330392730534675</v>
      </c>
      <c r="N18" s="324">
        <v>4.7576903865375133</v>
      </c>
      <c r="O18" s="324">
        <v>4.7863511719985814</v>
      </c>
      <c r="P18" s="324">
        <v>0.77384120744887253</v>
      </c>
      <c r="Q18" s="324">
        <v>28.71810703199149</v>
      </c>
      <c r="R18" s="324">
        <v>2.5221491205741033</v>
      </c>
      <c r="S18" s="324">
        <v>1.0317882765984967</v>
      </c>
      <c r="T18" s="324">
        <v>3.4817186097302617</v>
      </c>
      <c r="U18" s="321">
        <v>5</v>
      </c>
      <c r="V18" s="254">
        <v>1.25</v>
      </c>
      <c r="W18" s="254">
        <v>0.41875000000000001</v>
      </c>
      <c r="X18" s="541">
        <v>2.2965951598797683E-2</v>
      </c>
      <c r="Y18" s="539">
        <v>3.6338697129754738E-4</v>
      </c>
      <c r="Z18" s="270"/>
      <c r="AA18" s="266"/>
    </row>
    <row r="19" spans="1:28" ht="15.45">
      <c r="A19" s="3"/>
      <c r="B19" s="2" t="s">
        <v>40</v>
      </c>
      <c r="C19" s="29">
        <v>5562.8856043200003</v>
      </c>
      <c r="D19" s="307">
        <v>46.832528750489395</v>
      </c>
      <c r="E19" s="306">
        <v>39.613364648714985</v>
      </c>
      <c r="F19" s="191">
        <v>3</v>
      </c>
      <c r="G19" s="313">
        <v>0.1</v>
      </c>
      <c r="H19" s="191">
        <v>10</v>
      </c>
      <c r="I19" s="317">
        <v>74.099999999999994</v>
      </c>
      <c r="J19" s="313">
        <v>2</v>
      </c>
      <c r="K19" s="488">
        <v>0.2</v>
      </c>
      <c r="L19" s="323">
        <v>0.77384120744887253</v>
      </c>
      <c r="M19" s="324">
        <v>0.14330392730534675</v>
      </c>
      <c r="N19" s="324">
        <v>4.7576903865375133</v>
      </c>
      <c r="O19" s="324">
        <v>4.7863511719985814</v>
      </c>
      <c r="P19" s="324">
        <v>0.77384120744887253</v>
      </c>
      <c r="Q19" s="324">
        <v>28.71810703199149</v>
      </c>
      <c r="R19" s="324">
        <v>2.5221491205741033</v>
      </c>
      <c r="S19" s="324">
        <v>1.0317882765984967</v>
      </c>
      <c r="T19" s="324">
        <v>3.4817186097302617</v>
      </c>
      <c r="U19" s="321">
        <v>5</v>
      </c>
      <c r="V19" s="254">
        <v>1.25</v>
      </c>
      <c r="W19" s="254">
        <v>0.41875000000000001</v>
      </c>
      <c r="X19" s="541">
        <v>2.3416264375244699E-2</v>
      </c>
      <c r="Y19" s="539">
        <v>3.6338697129754738E-4</v>
      </c>
      <c r="Z19" s="270"/>
      <c r="AA19" s="266"/>
    </row>
    <row r="20" spans="1:28" ht="15.45">
      <c r="A20" s="3"/>
      <c r="B20" s="2" t="s">
        <v>42</v>
      </c>
      <c r="C20" s="29">
        <v>664.20400031999998</v>
      </c>
      <c r="D20" s="307">
        <v>52.510008185110188</v>
      </c>
      <c r="E20" s="306">
        <v>39.613364648714985</v>
      </c>
      <c r="F20" s="191">
        <v>3</v>
      </c>
      <c r="G20" s="313">
        <v>3</v>
      </c>
      <c r="H20" s="191">
        <v>10</v>
      </c>
      <c r="I20" s="318">
        <v>76.426944003278678</v>
      </c>
      <c r="J20" s="313">
        <v>2</v>
      </c>
      <c r="K20" s="488">
        <v>0.2</v>
      </c>
      <c r="L20" s="323">
        <v>0.77384120744887253</v>
      </c>
      <c r="M20" s="324">
        <v>0.14330392730534675</v>
      </c>
      <c r="N20" s="324">
        <v>4.7576903865375133</v>
      </c>
      <c r="O20" s="324">
        <v>4.7863511719985814</v>
      </c>
      <c r="P20" s="324">
        <v>0.77384120744887253</v>
      </c>
      <c r="Q20" s="324">
        <v>28.71810703199149</v>
      </c>
      <c r="R20" s="324">
        <v>2.5221491205741033</v>
      </c>
      <c r="S20" s="324">
        <v>1.0317882765984967</v>
      </c>
      <c r="T20" s="324">
        <v>3.4817186097302617</v>
      </c>
      <c r="U20" s="321">
        <v>10</v>
      </c>
      <c r="V20" s="254">
        <v>7.6587301587301591</v>
      </c>
      <c r="W20" s="254">
        <v>0.42888888888888893</v>
      </c>
      <c r="X20" s="541">
        <v>2.4372030268111831E-2</v>
      </c>
      <c r="Y20" s="539">
        <v>3.6338697129754738E-4</v>
      </c>
      <c r="Z20" s="534">
        <v>0</v>
      </c>
      <c r="AA20" s="266"/>
    </row>
    <row r="21" spans="1:28" ht="15.45">
      <c r="A21" s="3"/>
      <c r="B21" s="2" t="s">
        <v>41</v>
      </c>
      <c r="C21" s="29">
        <v>5618.4486271199994</v>
      </c>
      <c r="D21" s="307">
        <v>52.510008185110188</v>
      </c>
      <c r="E21" s="306">
        <v>39.613364648714985</v>
      </c>
      <c r="F21" s="191">
        <v>3</v>
      </c>
      <c r="G21" s="313">
        <v>3</v>
      </c>
      <c r="H21" s="191">
        <v>10</v>
      </c>
      <c r="I21" s="318">
        <v>76.426944003278678</v>
      </c>
      <c r="J21" s="313">
        <v>2</v>
      </c>
      <c r="K21" s="488">
        <v>0.2</v>
      </c>
      <c r="L21" s="323">
        <v>0.77384120744887253</v>
      </c>
      <c r="M21" s="324">
        <v>0.14330392730534675</v>
      </c>
      <c r="N21" s="324">
        <v>4.7576903865375133</v>
      </c>
      <c r="O21" s="324">
        <v>4.7863511719985814</v>
      </c>
      <c r="P21" s="324">
        <v>0.77384120744887253</v>
      </c>
      <c r="Q21" s="324">
        <v>28.71810703199149</v>
      </c>
      <c r="R21" s="324">
        <v>2.5221491205741033</v>
      </c>
      <c r="S21" s="324">
        <v>1.0317882765984967</v>
      </c>
      <c r="T21" s="324">
        <v>3.4817186097302617</v>
      </c>
      <c r="U21" s="321">
        <v>10</v>
      </c>
      <c r="V21" s="254">
        <v>7.6587301587301591</v>
      </c>
      <c r="W21" s="254">
        <v>0.42888888888888893</v>
      </c>
      <c r="X21" s="541">
        <v>2.4372030268111831E-2</v>
      </c>
      <c r="Y21" s="539">
        <v>3.6338697129754738E-4</v>
      </c>
      <c r="Z21" s="534">
        <v>0</v>
      </c>
      <c r="AA21" s="266"/>
    </row>
    <row r="22" spans="1:28" ht="15.45">
      <c r="A22" s="3"/>
      <c r="B22" s="2" t="s">
        <v>34</v>
      </c>
      <c r="C22" s="29">
        <v>25700.209158600002</v>
      </c>
      <c r="D22" s="307">
        <v>52.510008185110188</v>
      </c>
      <c r="E22" s="306">
        <v>39.613364648714985</v>
      </c>
      <c r="F22" s="191">
        <v>1.5</v>
      </c>
      <c r="G22" s="313">
        <v>1.5</v>
      </c>
      <c r="H22" s="191">
        <v>9</v>
      </c>
      <c r="I22" s="317">
        <v>95.672350796353058</v>
      </c>
      <c r="J22" s="313">
        <v>2</v>
      </c>
      <c r="K22" s="488">
        <v>0.2</v>
      </c>
      <c r="L22" s="323">
        <v>0.77384120744887253</v>
      </c>
      <c r="M22" s="324">
        <v>0.14330392730534675</v>
      </c>
      <c r="N22" s="324">
        <v>4.7576903865375133</v>
      </c>
      <c r="O22" s="324">
        <v>4.7863511719985814</v>
      </c>
      <c r="P22" s="324">
        <v>0.77384120744887253</v>
      </c>
      <c r="Q22" s="324">
        <v>28.71810703199149</v>
      </c>
      <c r="R22" s="324">
        <v>2.5221491205741033</v>
      </c>
      <c r="S22" s="324">
        <v>1.0317882765984967</v>
      </c>
      <c r="T22" s="324">
        <v>3.4817186097302617</v>
      </c>
      <c r="U22" s="321">
        <v>10</v>
      </c>
      <c r="V22" s="254">
        <v>4.4155844155844157</v>
      </c>
      <c r="W22" s="254">
        <v>0.14571428571428571</v>
      </c>
      <c r="X22" s="541">
        <v>2.8776614051505531E-2</v>
      </c>
      <c r="Y22" s="539">
        <v>3.6338697129754738E-4</v>
      </c>
      <c r="Z22" s="534"/>
      <c r="AA22" s="266"/>
    </row>
    <row r="23" spans="1:28" ht="15.45">
      <c r="A23" s="3"/>
      <c r="B23" s="2" t="s">
        <v>185</v>
      </c>
      <c r="C23" s="29">
        <v>505.93605209999998</v>
      </c>
      <c r="D23" s="307">
        <v>52.510008185110188</v>
      </c>
      <c r="E23" s="306">
        <v>39.613364648714985</v>
      </c>
      <c r="F23" s="191">
        <v>3</v>
      </c>
      <c r="G23" s="313">
        <v>3</v>
      </c>
      <c r="H23" s="191">
        <v>10</v>
      </c>
      <c r="I23" s="317">
        <v>76.426944003278678</v>
      </c>
      <c r="J23" s="313">
        <v>2</v>
      </c>
      <c r="K23" s="488">
        <v>0.2</v>
      </c>
      <c r="L23" s="323">
        <v>0.77384120744887253</v>
      </c>
      <c r="M23" s="324">
        <v>0.14330392730534675</v>
      </c>
      <c r="N23" s="324">
        <v>4.7576903865375133</v>
      </c>
      <c r="O23" s="324">
        <v>4.7863511719985814</v>
      </c>
      <c r="P23" s="324">
        <v>0.77384120744887253</v>
      </c>
      <c r="Q23" s="324">
        <v>28.71810703199149</v>
      </c>
      <c r="R23" s="324">
        <v>2.5221491205741033</v>
      </c>
      <c r="S23" s="324">
        <v>1.0317882765984967</v>
      </c>
      <c r="T23" s="324">
        <v>3.4817186097302617</v>
      </c>
      <c r="U23" s="325">
        <v>10</v>
      </c>
      <c r="V23" s="254">
        <v>7.6587301587301591</v>
      </c>
      <c r="W23" s="254">
        <v>0.42888888888888893</v>
      </c>
      <c r="X23" s="541">
        <v>2.4372030268111831E-2</v>
      </c>
      <c r="Y23" s="540">
        <v>3.6338697129754738E-4</v>
      </c>
      <c r="Z23" s="534">
        <v>0</v>
      </c>
      <c r="AA23" s="266"/>
    </row>
    <row r="24" spans="1:28" s="35" customFormat="1" ht="15.45">
      <c r="A24" s="49"/>
      <c r="B24" s="61" t="s">
        <v>65</v>
      </c>
      <c r="C24" s="62"/>
      <c r="D24" s="310">
        <f>D3/$C3*1000</f>
        <v>16.665884548215949</v>
      </c>
      <c r="E24" s="311">
        <f t="shared" ref="E24:W24" si="6">E3/$C3*1000</f>
        <v>30.786303993888342</v>
      </c>
      <c r="F24" s="63">
        <f t="shared" si="6"/>
        <v>2.497009133943636</v>
      </c>
      <c r="G24" s="311">
        <f t="shared" si="6"/>
        <v>1.4292270558570692</v>
      </c>
      <c r="H24" s="63">
        <f t="shared" si="6"/>
        <v>11.4967824718517</v>
      </c>
      <c r="I24" s="311">
        <f>I3/$C3</f>
        <v>67.118122639654004</v>
      </c>
      <c r="J24" s="311">
        <f t="shared" si="6"/>
        <v>1.7114952211136827</v>
      </c>
      <c r="K24" s="489">
        <f t="shared" si="6"/>
        <v>0.19999999999999998</v>
      </c>
      <c r="L24" s="311">
        <f t="shared" si="6"/>
        <v>0.2710542785082764</v>
      </c>
      <c r="M24" s="311">
        <f t="shared" si="6"/>
        <v>5.0258091832444715E-2</v>
      </c>
      <c r="N24" s="311">
        <f t="shared" si="6"/>
        <v>2.324103192566195</v>
      </c>
      <c r="O24" s="311">
        <f t="shared" si="6"/>
        <v>1.8972050643834042</v>
      </c>
      <c r="P24" s="311">
        <f t="shared" si="6"/>
        <v>0.29651058252765738</v>
      </c>
      <c r="Q24" s="311">
        <f t="shared" si="6"/>
        <v>9.5062522366047428</v>
      </c>
      <c r="R24" s="311">
        <f t="shared" si="6"/>
        <v>0.89676144218033016</v>
      </c>
      <c r="S24" s="311">
        <f t="shared" si="6"/>
        <v>0.50169822460673452</v>
      </c>
      <c r="T24" s="311">
        <f t="shared" si="6"/>
        <v>1.0973753412886538</v>
      </c>
      <c r="U24" s="310">
        <f t="shared" si="6"/>
        <v>5.4786752055461063</v>
      </c>
      <c r="V24" s="255">
        <f t="shared" si="6"/>
        <v>4.4053426016173853</v>
      </c>
      <c r="W24" s="255">
        <f t="shared" si="6"/>
        <v>0.16893063588670496</v>
      </c>
      <c r="X24" s="259">
        <f>X3/$C3*1000</f>
        <v>8.8488062928641295E-3</v>
      </c>
      <c r="Y24" s="263">
        <f>Y3/$C3</f>
        <v>1.1453306437029678E-4</v>
      </c>
      <c r="Z24" s="271">
        <f>Z3/$C3</f>
        <v>0</v>
      </c>
      <c r="AA24" s="268">
        <f>AA3/$C3</f>
        <v>0</v>
      </c>
      <c r="AB24" s="52"/>
    </row>
    <row r="25" spans="1:28">
      <c r="C25" s="32"/>
    </row>
    <row r="27" spans="1:28">
      <c r="B27" s="302" t="s">
        <v>192</v>
      </c>
    </row>
    <row r="28" spans="1:28">
      <c r="B28" s="249" t="s">
        <v>193</v>
      </c>
    </row>
    <row r="29" spans="1:28">
      <c r="B29" s="252" t="s">
        <v>194</v>
      </c>
    </row>
  </sheetData>
  <mergeCells count="4">
    <mergeCell ref="D1:K1"/>
    <mergeCell ref="Y1:AA1"/>
    <mergeCell ref="L1:T1"/>
    <mergeCell ref="U1:W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B23"/>
  <sheetViews>
    <sheetView workbookViewId="0">
      <selection activeCell="Y13" sqref="Y13"/>
    </sheetView>
  </sheetViews>
  <sheetFormatPr defaultRowHeight="14.6"/>
  <cols>
    <col min="1" max="1" width="13" customWidth="1"/>
    <col min="2" max="2" width="22.4609375" customWidth="1"/>
    <col min="7" max="7" width="8.84375" customWidth="1"/>
    <col min="9" max="9" width="10.53515625" customWidth="1"/>
    <col min="10" max="12" width="8.84375" customWidth="1"/>
    <col min="14" max="15" width="8.84375" customWidth="1"/>
    <col min="17" max="17" width="8.84375" customWidth="1"/>
    <col min="19" max="21" width="8.84375" customWidth="1"/>
    <col min="23" max="23" width="8.84375" customWidth="1"/>
    <col min="24" max="24" width="15" customWidth="1"/>
    <col min="25" max="25" width="12.07421875" customWidth="1"/>
    <col min="26" max="26" width="11.3046875" bestFit="1" customWidth="1"/>
    <col min="27" max="27" width="13.53515625" customWidth="1"/>
  </cols>
  <sheetData>
    <row r="1" spans="1:28" ht="15.45">
      <c r="A1" s="9" t="s">
        <v>26</v>
      </c>
      <c r="B1" s="10" t="s">
        <v>27</v>
      </c>
      <c r="C1" s="28"/>
      <c r="D1" s="584" t="s">
        <v>64</v>
      </c>
      <c r="E1" s="584"/>
      <c r="F1" s="584"/>
      <c r="G1" s="584"/>
      <c r="H1" s="584"/>
      <c r="I1" s="584"/>
      <c r="J1" s="584"/>
      <c r="K1" s="585"/>
      <c r="L1" s="587" t="s">
        <v>108</v>
      </c>
      <c r="M1" s="588"/>
      <c r="N1" s="588"/>
      <c r="O1" s="588"/>
      <c r="P1" s="588"/>
      <c r="Q1" s="588"/>
      <c r="R1" s="588"/>
      <c r="S1" s="588"/>
      <c r="T1" s="588"/>
      <c r="U1" s="584" t="s">
        <v>64</v>
      </c>
      <c r="V1" s="584"/>
      <c r="W1" s="585"/>
      <c r="X1" s="53" t="s">
        <v>45</v>
      </c>
      <c r="Y1" s="586" t="s">
        <v>46</v>
      </c>
      <c r="Z1" s="586"/>
      <c r="AA1" s="586"/>
      <c r="AB1" s="4"/>
    </row>
    <row r="2" spans="1:28">
      <c r="C2" s="31" t="s">
        <v>0</v>
      </c>
      <c r="D2" s="58" t="s">
        <v>1</v>
      </c>
      <c r="E2" s="8" t="s">
        <v>2</v>
      </c>
      <c r="F2" s="6" t="s">
        <v>3</v>
      </c>
      <c r="G2" s="6" t="s">
        <v>4</v>
      </c>
      <c r="H2" s="6" t="s">
        <v>5</v>
      </c>
      <c r="I2" s="8" t="s">
        <v>47</v>
      </c>
      <c r="J2" s="6" t="s">
        <v>7</v>
      </c>
      <c r="K2" s="7" t="s">
        <v>8</v>
      </c>
      <c r="L2" s="6" t="s">
        <v>9</v>
      </c>
      <c r="M2" s="6" t="s">
        <v>10</v>
      </c>
      <c r="N2" s="6" t="s">
        <v>11</v>
      </c>
      <c r="O2" s="6" t="s">
        <v>12</v>
      </c>
      <c r="P2" s="6" t="s">
        <v>13</v>
      </c>
      <c r="Q2" s="6" t="s">
        <v>14</v>
      </c>
      <c r="R2" s="6" t="s">
        <v>15</v>
      </c>
      <c r="S2" s="6" t="s">
        <v>16</v>
      </c>
      <c r="T2" s="6" t="s">
        <v>17</v>
      </c>
      <c r="U2" s="5" t="s">
        <v>18</v>
      </c>
      <c r="V2" s="6" t="s">
        <v>106</v>
      </c>
      <c r="W2" s="7" t="s">
        <v>184</v>
      </c>
      <c r="X2" s="54" t="s">
        <v>19</v>
      </c>
      <c r="Y2" s="6" t="s">
        <v>20</v>
      </c>
      <c r="Z2" s="6" t="s">
        <v>21</v>
      </c>
      <c r="AA2" s="6" t="s">
        <v>22</v>
      </c>
      <c r="AB2" s="4"/>
    </row>
    <row r="3" spans="1:28">
      <c r="C3" s="118">
        <f>SUM(C5:C10,C14:C17)</f>
        <v>34676.184930632058</v>
      </c>
      <c r="D3" s="38">
        <f t="shared" ref="D3:AA3" si="0">D4+D12</f>
        <v>1221.771743216605</v>
      </c>
      <c r="E3" s="38">
        <f t="shared" si="0"/>
        <v>1803.258</v>
      </c>
      <c r="F3" s="38">
        <f t="shared" si="0"/>
        <v>310.66801727208019</v>
      </c>
      <c r="G3" s="38">
        <f t="shared" si="0"/>
        <v>252.22747506032249</v>
      </c>
      <c r="H3" s="38">
        <f t="shared" si="0"/>
        <v>6696.9446672224794</v>
      </c>
      <c r="I3" s="38">
        <f t="shared" si="0"/>
        <v>3309136.2794287908</v>
      </c>
      <c r="J3" s="38">
        <f t="shared" si="0"/>
        <v>22.324566662361953</v>
      </c>
      <c r="K3" s="273">
        <f t="shared" si="0"/>
        <v>0.12647199648067328</v>
      </c>
      <c r="L3" s="42">
        <f t="shared" si="0"/>
        <v>5.2881931054131286</v>
      </c>
      <c r="M3" s="38">
        <f t="shared" si="0"/>
        <v>0.99153620726496161</v>
      </c>
      <c r="N3" s="38">
        <f t="shared" si="0"/>
        <v>160.58604964736907</v>
      </c>
      <c r="O3" s="38">
        <f t="shared" si="0"/>
        <v>75.687263821225415</v>
      </c>
      <c r="P3" s="38">
        <f t="shared" si="0"/>
        <v>10.245874141737938</v>
      </c>
      <c r="Q3" s="38">
        <f t="shared" si="0"/>
        <v>88.577234515669915</v>
      </c>
      <c r="R3" s="38">
        <f t="shared" si="0"/>
        <v>19.830724145299232</v>
      </c>
      <c r="S3" s="38">
        <f t="shared" si="0"/>
        <v>34.373255185185343</v>
      </c>
      <c r="T3" s="38">
        <f t="shared" si="0"/>
        <v>0</v>
      </c>
      <c r="U3" s="38">
        <f t="shared" si="0"/>
        <v>11.035277099749008</v>
      </c>
      <c r="V3" s="38">
        <f t="shared" ref="V3:W3" si="1">V4+V12</f>
        <v>7.7770181494381703</v>
      </c>
      <c r="W3" s="38">
        <f t="shared" si="1"/>
        <v>2.5290247024649872</v>
      </c>
      <c r="X3" s="128">
        <f t="shared" si="0"/>
        <v>0</v>
      </c>
      <c r="Y3" s="239">
        <f t="shared" si="0"/>
        <v>15.790067099999996</v>
      </c>
      <c r="Z3" s="38">
        <f t="shared" si="0"/>
        <v>0</v>
      </c>
      <c r="AA3" s="129">
        <f t="shared" si="0"/>
        <v>0</v>
      </c>
      <c r="AB3" s="4"/>
    </row>
    <row r="4" spans="1:28" ht="15.45">
      <c r="A4" s="2" t="s">
        <v>50</v>
      </c>
      <c r="B4" s="2"/>
      <c r="D4" s="326">
        <f>($C5*D5+$C6*D6+$C7*D7+$C8*D8+$C9*D9+$C10*D10)/1000</f>
        <v>418.29168543600485</v>
      </c>
      <c r="E4" s="326">
        <f>($C5*E5+$C6*E6+$C7*E7+$C8*E8+$C9*E9+$C10*E10)/1000</f>
        <v>1123.277</v>
      </c>
      <c r="F4" s="39">
        <f>($C5*F5+$C6*F6+$C7*F7+$C8*F8+$C9*F9+$C10*F10)/1000</f>
        <v>82.628017272080143</v>
      </c>
      <c r="G4" s="326">
        <f>($C5*G5+$C6*G6+$C7*G7+$C8*G8+$C9*G9+$C10*G10)/1000</f>
        <v>49.576810363248086</v>
      </c>
      <c r="H4" s="39">
        <f>($C5*H5+$C6*H6+$C7*H7+$C8*H8+$C9*H9+$C10*H10)/1000</f>
        <v>578.11424348274738</v>
      </c>
      <c r="I4" s="326">
        <f>($C5*I5+$C6*I6+$C7*I7+$C8*I8+$C9*I9+$C10*I10)</f>
        <v>3236133.6978267152</v>
      </c>
      <c r="J4" s="326">
        <f t="shared" ref="J4:U4" si="2">($C5*J5+$C6*J6+$C7*J7+$C8*J8+$C9*J9+$C10*J10)/1000</f>
        <v>19.887099629661954</v>
      </c>
      <c r="K4" s="65">
        <f t="shared" si="2"/>
        <v>0</v>
      </c>
      <c r="L4" s="326">
        <f t="shared" si="2"/>
        <v>5.2881931054131286</v>
      </c>
      <c r="M4" s="326">
        <f t="shared" si="2"/>
        <v>0.99153620726496161</v>
      </c>
      <c r="N4" s="326">
        <f t="shared" si="2"/>
        <v>160.58604964736907</v>
      </c>
      <c r="O4" s="326">
        <f t="shared" si="2"/>
        <v>75.687263821225415</v>
      </c>
      <c r="P4" s="326">
        <f t="shared" si="2"/>
        <v>10.245874141737938</v>
      </c>
      <c r="Q4" s="326">
        <f t="shared" si="2"/>
        <v>88.577234515669915</v>
      </c>
      <c r="R4" s="326">
        <f t="shared" si="2"/>
        <v>19.830724145299232</v>
      </c>
      <c r="S4" s="326">
        <f t="shared" si="2"/>
        <v>34.373255185185343</v>
      </c>
      <c r="T4" s="326">
        <f t="shared" si="2"/>
        <v>0</v>
      </c>
      <c r="U4" s="326">
        <f t="shared" si="2"/>
        <v>3.6420000000000008</v>
      </c>
      <c r="V4" s="274">
        <f t="shared" ref="V4:AA4" si="3">($C5*V5+$C6*V6+$C7*V7+$C8*V8+$C9*V9+$C10*V10)/1000</f>
        <v>2.6297999154356968</v>
      </c>
      <c r="W4" s="274">
        <f t="shared" si="3"/>
        <v>8.4096041313811876E-2</v>
      </c>
      <c r="X4" s="468">
        <f t="shared" si="3"/>
        <v>0</v>
      </c>
      <c r="Y4" s="468">
        <f t="shared" si="3"/>
        <v>0</v>
      </c>
      <c r="Z4" s="469">
        <f t="shared" si="3"/>
        <v>0</v>
      </c>
      <c r="AA4" s="468">
        <f t="shared" si="3"/>
        <v>0</v>
      </c>
      <c r="AB4" s="4"/>
    </row>
    <row r="5" spans="1:28" ht="15.45">
      <c r="A5" s="2"/>
      <c r="B5" s="2" t="s">
        <v>58</v>
      </c>
      <c r="C5" s="28"/>
      <c r="D5" s="306">
        <v>26.50764261915787</v>
      </c>
      <c r="E5" s="306">
        <v>40</v>
      </c>
      <c r="F5" s="122">
        <v>1.5</v>
      </c>
      <c r="G5" s="333">
        <v>1.5</v>
      </c>
      <c r="H5" s="122">
        <v>12</v>
      </c>
      <c r="I5" s="336">
        <v>93.395221404523681</v>
      </c>
      <c r="J5" s="333">
        <v>1.5</v>
      </c>
      <c r="K5" s="123">
        <v>0.48</v>
      </c>
      <c r="L5" s="336">
        <v>8.3728016965254177</v>
      </c>
      <c r="M5" s="336">
        <v>0.14819118046947641</v>
      </c>
      <c r="N5" s="336">
        <v>10.595669403567562</v>
      </c>
      <c r="O5" s="336">
        <v>2.8156324289200514</v>
      </c>
      <c r="P5" s="336">
        <v>0.85209928769948917</v>
      </c>
      <c r="Q5" s="336">
        <v>6.6315553260090674</v>
      </c>
      <c r="R5" s="336">
        <v>4.6309743896711373</v>
      </c>
      <c r="S5" s="336">
        <v>4.5939265945537686</v>
      </c>
      <c r="T5" s="336">
        <v>9.8122244420744664</v>
      </c>
      <c r="U5" s="336">
        <v>5.25</v>
      </c>
      <c r="V5" s="275">
        <v>3.7908977364188363</v>
      </c>
      <c r="W5" s="276">
        <v>0.12122575971925101</v>
      </c>
      <c r="X5" s="278">
        <v>3.7613527027952121E-3</v>
      </c>
      <c r="Y5" s="283">
        <v>9.4748474583411386E-7</v>
      </c>
      <c r="Z5" s="289">
        <v>3.3000000000000002E-9</v>
      </c>
      <c r="AA5" s="285">
        <v>5.0953791280532467E-7</v>
      </c>
      <c r="AB5" s="4"/>
    </row>
    <row r="6" spans="1:28" ht="15.45">
      <c r="A6" s="2"/>
      <c r="B6" s="2" t="s">
        <v>39</v>
      </c>
      <c r="C6" s="29">
        <v>21206.936238275808</v>
      </c>
      <c r="D6" s="327">
        <v>0.18311186621207129</v>
      </c>
      <c r="E6" s="306">
        <v>6.9109555572628976</v>
      </c>
      <c r="F6" s="122">
        <v>2.5</v>
      </c>
      <c r="G6" s="333">
        <v>1.5</v>
      </c>
      <c r="H6" s="122">
        <v>20</v>
      </c>
      <c r="I6" s="336">
        <v>59.182058931934002</v>
      </c>
      <c r="J6" s="333">
        <v>0.1</v>
      </c>
      <c r="K6" s="123">
        <v>0</v>
      </c>
      <c r="L6" s="336">
        <v>0.16</v>
      </c>
      <c r="M6" s="336">
        <v>0.03</v>
      </c>
      <c r="N6" s="336">
        <v>4.8587045577587276</v>
      </c>
      <c r="O6" s="336">
        <v>2.29</v>
      </c>
      <c r="P6" s="336">
        <v>0.31</v>
      </c>
      <c r="Q6" s="336">
        <v>2.68</v>
      </c>
      <c r="R6" s="336">
        <v>0.6</v>
      </c>
      <c r="S6" s="336">
        <v>1.04</v>
      </c>
      <c r="T6" s="336">
        <v>0</v>
      </c>
      <c r="U6" s="336">
        <v>0.11019264773132305</v>
      </c>
      <c r="V6" s="275">
        <v>7.9567439781842053E-2</v>
      </c>
      <c r="W6" s="277">
        <v>2.5444166546105596E-3</v>
      </c>
      <c r="X6" s="279">
        <v>0</v>
      </c>
      <c r="Y6" s="284">
        <v>0</v>
      </c>
      <c r="Z6" s="290"/>
      <c r="AA6" s="284"/>
      <c r="AB6" s="4"/>
    </row>
    <row r="7" spans="1:28" ht="15.45">
      <c r="A7" s="2"/>
      <c r="B7" s="2" t="s">
        <v>49</v>
      </c>
      <c r="C7" s="29">
        <v>176.84933249636856</v>
      </c>
      <c r="D7" s="306">
        <v>34.988093002210299</v>
      </c>
      <c r="E7" s="306">
        <v>82.463229127277103</v>
      </c>
      <c r="F7" s="122">
        <v>2.5</v>
      </c>
      <c r="G7" s="333">
        <v>1.5</v>
      </c>
      <c r="H7" s="122">
        <v>13</v>
      </c>
      <c r="I7" s="336">
        <v>199.06898594324454</v>
      </c>
      <c r="J7" s="333">
        <v>1.5</v>
      </c>
      <c r="K7" s="123">
        <v>0</v>
      </c>
      <c r="L7" s="336">
        <v>0.16</v>
      </c>
      <c r="M7" s="336">
        <v>0.03</v>
      </c>
      <c r="N7" s="336">
        <v>4.8587045577587276</v>
      </c>
      <c r="O7" s="336">
        <v>2.29</v>
      </c>
      <c r="P7" s="336">
        <v>0.31</v>
      </c>
      <c r="Q7" s="336">
        <v>2.68</v>
      </c>
      <c r="R7" s="336">
        <v>0.6</v>
      </c>
      <c r="S7" s="336">
        <v>1.04</v>
      </c>
      <c r="T7" s="336">
        <v>0</v>
      </c>
      <c r="U7" s="336">
        <v>0.11019264773132305</v>
      </c>
      <c r="V7" s="275">
        <v>7.9567439781842053E-2</v>
      </c>
      <c r="W7" s="277">
        <v>2.5444166546105596E-3</v>
      </c>
      <c r="X7" s="279">
        <v>0</v>
      </c>
      <c r="Y7" s="284">
        <v>0</v>
      </c>
      <c r="Z7" s="290"/>
      <c r="AA7" s="284"/>
      <c r="AB7" s="4"/>
    </row>
    <row r="8" spans="1:28" ht="15.45">
      <c r="A8" s="2"/>
      <c r="B8" s="2" t="s">
        <v>52</v>
      </c>
      <c r="C8" s="29">
        <v>4877.1546201298988</v>
      </c>
      <c r="D8" s="306">
        <v>34.988093002210299</v>
      </c>
      <c r="E8" s="306">
        <v>82.463229127277103</v>
      </c>
      <c r="F8" s="122">
        <v>2.5</v>
      </c>
      <c r="G8" s="333">
        <v>1.5</v>
      </c>
      <c r="H8" s="122">
        <v>13</v>
      </c>
      <c r="I8" s="336">
        <v>44.856696654757343</v>
      </c>
      <c r="J8" s="333">
        <v>1.5</v>
      </c>
      <c r="K8" s="123">
        <v>0</v>
      </c>
      <c r="L8" s="336">
        <v>0.16</v>
      </c>
      <c r="M8" s="336">
        <v>0.03</v>
      </c>
      <c r="N8" s="336">
        <v>4.8587045577587276</v>
      </c>
      <c r="O8" s="336">
        <v>2.29</v>
      </c>
      <c r="P8" s="336">
        <v>0.31</v>
      </c>
      <c r="Q8" s="336">
        <v>2.68</v>
      </c>
      <c r="R8" s="336">
        <v>0.6</v>
      </c>
      <c r="S8" s="336">
        <v>1.04</v>
      </c>
      <c r="T8" s="336">
        <v>0</v>
      </c>
      <c r="U8" s="336">
        <v>0.11019264773132305</v>
      </c>
      <c r="V8" s="275">
        <v>7.9567439781842053E-2</v>
      </c>
      <c r="W8" s="277">
        <v>2.5444166546105596E-3</v>
      </c>
      <c r="X8" s="279">
        <v>0</v>
      </c>
      <c r="Y8" s="284">
        <v>0</v>
      </c>
      <c r="Z8" s="290"/>
      <c r="AA8" s="284"/>
      <c r="AB8" s="4"/>
    </row>
    <row r="9" spans="1:28" ht="15.45">
      <c r="A9" s="2"/>
      <c r="B9" s="2" t="s">
        <v>48</v>
      </c>
      <c r="C9" s="29">
        <v>6790.2667179299797</v>
      </c>
      <c r="D9" s="306">
        <v>34.988093002210299</v>
      </c>
      <c r="E9" s="306">
        <v>82.463229127277103</v>
      </c>
      <c r="F9" s="122">
        <v>2.5</v>
      </c>
      <c r="G9" s="333">
        <v>1.5</v>
      </c>
      <c r="H9" s="122">
        <v>13</v>
      </c>
      <c r="I9" s="336">
        <v>254.34719381914149</v>
      </c>
      <c r="J9" s="333">
        <v>1.5</v>
      </c>
      <c r="K9" s="123">
        <v>0</v>
      </c>
      <c r="L9" s="336">
        <v>0.16</v>
      </c>
      <c r="M9" s="336">
        <v>0.03</v>
      </c>
      <c r="N9" s="336">
        <v>4.8587045577587276</v>
      </c>
      <c r="O9" s="336">
        <v>2.29</v>
      </c>
      <c r="P9" s="336">
        <v>0.31</v>
      </c>
      <c r="Q9" s="336">
        <v>2.68</v>
      </c>
      <c r="R9" s="336">
        <v>0.6</v>
      </c>
      <c r="S9" s="336">
        <v>1.04</v>
      </c>
      <c r="T9" s="336">
        <v>0</v>
      </c>
      <c r="U9" s="336">
        <v>0.11019264773132305</v>
      </c>
      <c r="V9" s="275">
        <v>7.9567439781842053E-2</v>
      </c>
      <c r="W9" s="277">
        <v>2.5444166546105596E-3</v>
      </c>
      <c r="X9" s="279">
        <v>0</v>
      </c>
      <c r="Y9" s="284">
        <v>0</v>
      </c>
      <c r="Z9" s="290"/>
      <c r="AA9" s="284"/>
      <c r="AB9" s="4"/>
    </row>
    <row r="10" spans="1:28" ht="15.45">
      <c r="A10" s="2"/>
      <c r="B10" s="2" t="s">
        <v>42</v>
      </c>
      <c r="C10" s="29">
        <v>0</v>
      </c>
      <c r="D10" s="306">
        <v>25.096140490228521</v>
      </c>
      <c r="E10" s="306">
        <v>23</v>
      </c>
      <c r="F10" s="122">
        <v>3</v>
      </c>
      <c r="G10" s="333">
        <v>3</v>
      </c>
      <c r="H10" s="122">
        <v>15</v>
      </c>
      <c r="I10" s="336">
        <v>76.426944003278678</v>
      </c>
      <c r="J10" s="333">
        <v>0.6</v>
      </c>
      <c r="K10" s="123">
        <v>0</v>
      </c>
      <c r="L10" s="336">
        <v>0.77384120744887253</v>
      </c>
      <c r="M10" s="336">
        <v>0.14330392730534675</v>
      </c>
      <c r="N10" s="336">
        <v>4.7576903865375133</v>
      </c>
      <c r="O10" s="336">
        <v>4.7863511719985814</v>
      </c>
      <c r="P10" s="336">
        <v>0.77384120744887253</v>
      </c>
      <c r="Q10" s="336">
        <v>28.71810703199149</v>
      </c>
      <c r="R10" s="336">
        <v>2.5221491205741033</v>
      </c>
      <c r="S10" s="336">
        <v>1.0317882765984967</v>
      </c>
      <c r="T10" s="336">
        <v>3.4817186097302617</v>
      </c>
      <c r="U10" s="336">
        <v>0.11019264773132305</v>
      </c>
      <c r="V10" s="275">
        <v>7.9567439781842053E-2</v>
      </c>
      <c r="W10" s="277">
        <v>2.5444166546105596E-3</v>
      </c>
      <c r="X10" s="278">
        <v>2.4372030268111831E-2</v>
      </c>
      <c r="Y10" s="283">
        <v>8.9031026569412518E-4</v>
      </c>
      <c r="Z10" s="289">
        <v>0</v>
      </c>
      <c r="AA10" s="284"/>
      <c r="AB10" s="4"/>
    </row>
    <row r="11" spans="1:28" ht="15.45">
      <c r="A11" s="2"/>
      <c r="B11" s="2"/>
      <c r="C11" s="29">
        <v>1891026</v>
      </c>
      <c r="D11" s="302"/>
      <c r="E11" s="302"/>
      <c r="F11" s="11"/>
      <c r="G11" s="334"/>
      <c r="H11" s="11"/>
      <c r="I11" s="334"/>
      <c r="J11" s="334"/>
      <c r="K11" s="44"/>
      <c r="L11" s="11"/>
      <c r="M11" s="11"/>
      <c r="N11" s="11"/>
      <c r="O11" s="11"/>
      <c r="P11" s="11"/>
      <c r="Q11" s="11"/>
      <c r="R11" s="11"/>
      <c r="S11" s="11"/>
      <c r="T11" s="11"/>
      <c r="U11" s="334"/>
      <c r="V11" s="11"/>
      <c r="W11" s="44"/>
      <c r="X11" s="66"/>
      <c r="Y11" s="11"/>
      <c r="Z11" s="13"/>
      <c r="AA11" s="14"/>
      <c r="AB11" s="4"/>
    </row>
    <row r="12" spans="1:28" ht="15.45">
      <c r="A12" s="2" t="s">
        <v>28</v>
      </c>
      <c r="B12" s="2" t="s">
        <v>29</v>
      </c>
      <c r="C12" s="29">
        <v>1561078</v>
      </c>
      <c r="D12" s="328">
        <f>$C12*D13/1000000</f>
        <v>803.48005778060019</v>
      </c>
      <c r="E12" s="328">
        <f>$C12*E13/1000000</f>
        <v>679.98099999999999</v>
      </c>
      <c r="F12" s="328">
        <f>$C12*F13/1000000</f>
        <v>228.04000000000002</v>
      </c>
      <c r="G12" s="328">
        <f>$C12*G13/1000000</f>
        <v>202.6506646970744</v>
      </c>
      <c r="H12" s="328">
        <f>$C12*H13/1000000</f>
        <v>6118.8304237397324</v>
      </c>
      <c r="I12" s="328">
        <f>($C14*I14+$C15*I15+$C16*I16+$C17*I17)</f>
        <v>73002.581602075516</v>
      </c>
      <c r="J12" s="330">
        <f>($C14*J14+$C15*J15+$C16*J16+$C17*J17)/1000</f>
        <v>2.4374670326999999</v>
      </c>
      <c r="K12" s="582">
        <f>$C12*K13/1000000</f>
        <v>0.12647199648067328</v>
      </c>
      <c r="L12" s="64"/>
      <c r="M12" s="64"/>
      <c r="N12" s="64"/>
      <c r="O12" s="64"/>
      <c r="P12" s="64"/>
      <c r="Q12" s="64"/>
      <c r="R12" s="64"/>
      <c r="S12" s="64"/>
      <c r="T12" s="64"/>
      <c r="U12" s="337">
        <f t="shared" ref="U12:W12" si="4">$C12*U13/1000000</f>
        <v>7.3932770997490067</v>
      </c>
      <c r="V12" s="291">
        <f t="shared" si="4"/>
        <v>5.1472182340024739</v>
      </c>
      <c r="W12" s="291">
        <f t="shared" si="4"/>
        <v>2.4449286611511751</v>
      </c>
      <c r="X12" s="281"/>
      <c r="Y12" s="542">
        <f>$C11*Y13/1000</f>
        <v>15.790067099999996</v>
      </c>
      <c r="Z12" s="291"/>
      <c r="AA12" s="286"/>
      <c r="AB12" s="4"/>
    </row>
    <row r="13" spans="1:28" ht="15.45">
      <c r="A13" s="2"/>
      <c r="B13" s="2"/>
      <c r="C13" s="272" t="s">
        <v>51</v>
      </c>
      <c r="D13" s="329">
        <v>514.69565119782624</v>
      </c>
      <c r="E13" s="329">
        <v>435.58425652017388</v>
      </c>
      <c r="F13" s="329">
        <v>146.07854316055958</v>
      </c>
      <c r="G13" s="329">
        <v>129.81456704730604</v>
      </c>
      <c r="H13" s="329">
        <v>3919.6186377232484</v>
      </c>
      <c r="I13" s="331">
        <v>697.80944962391368</v>
      </c>
      <c r="J13" s="332">
        <v>10</v>
      </c>
      <c r="K13" s="556">
        <v>8.1015808614735008E-2</v>
      </c>
      <c r="L13" s="11"/>
      <c r="M13" s="11"/>
      <c r="N13" s="11"/>
      <c r="O13" s="11"/>
      <c r="P13" s="11"/>
      <c r="Q13" s="11"/>
      <c r="R13" s="11"/>
      <c r="S13" s="11"/>
      <c r="T13" s="11"/>
      <c r="U13" s="329">
        <v>4.7360074895354405</v>
      </c>
      <c r="V13" s="295">
        <v>3.2972204041069526</v>
      </c>
      <c r="W13" s="295">
        <v>1.5661796919508024</v>
      </c>
      <c r="X13" s="546"/>
      <c r="Y13" s="317">
        <v>8.349999999999998E-3</v>
      </c>
      <c r="Z13" s="292"/>
      <c r="AA13" s="287"/>
      <c r="AB13" s="4"/>
    </row>
    <row r="14" spans="1:28" ht="15.45">
      <c r="A14" s="2"/>
      <c r="B14" s="2" t="s">
        <v>61</v>
      </c>
      <c r="C14" s="29">
        <v>0</v>
      </c>
      <c r="D14" s="306">
        <v>368.61275219755316</v>
      </c>
      <c r="E14" s="306">
        <v>492.23520574796515</v>
      </c>
      <c r="F14" s="121">
        <v>1.5</v>
      </c>
      <c r="G14" s="121">
        <v>1.5</v>
      </c>
      <c r="H14" s="121">
        <v>12</v>
      </c>
      <c r="I14" s="306">
        <v>94.44673281932667</v>
      </c>
      <c r="J14" s="327">
        <v>1.5</v>
      </c>
      <c r="K14" s="335">
        <v>0.48</v>
      </c>
      <c r="L14" s="11"/>
      <c r="M14" s="11"/>
      <c r="N14" s="11"/>
      <c r="O14" s="11"/>
      <c r="P14" s="11"/>
      <c r="Q14" s="11"/>
      <c r="R14" s="11"/>
      <c r="S14" s="11"/>
      <c r="T14" s="11"/>
      <c r="U14" s="332">
        <v>26.454579070445956</v>
      </c>
      <c r="V14" s="292">
        <v>18.417744922462376</v>
      </c>
      <c r="W14" s="292">
        <v>8.7484288381696285</v>
      </c>
      <c r="X14" s="278"/>
      <c r="Y14" s="333"/>
      <c r="Z14" s="293"/>
      <c r="AA14" s="285"/>
      <c r="AB14" s="4"/>
    </row>
    <row r="15" spans="1:28" ht="15.45">
      <c r="A15" s="2"/>
      <c r="B15" s="2" t="s">
        <v>59</v>
      </c>
      <c r="C15" s="29">
        <v>0</v>
      </c>
      <c r="D15" s="306">
        <v>64.552945034458347</v>
      </c>
      <c r="E15" s="306">
        <v>40</v>
      </c>
      <c r="F15" s="121">
        <v>1.5</v>
      </c>
      <c r="G15" s="121">
        <v>1.5</v>
      </c>
      <c r="H15" s="121">
        <v>12</v>
      </c>
      <c r="I15" s="306">
        <v>108.21648976525402</v>
      </c>
      <c r="J15" s="327">
        <v>1.5</v>
      </c>
      <c r="K15" s="335">
        <v>0.48</v>
      </c>
      <c r="L15" s="11"/>
      <c r="M15" s="11"/>
      <c r="N15" s="11"/>
      <c r="O15" s="11"/>
      <c r="P15" s="11"/>
      <c r="Q15" s="11"/>
      <c r="R15" s="11"/>
      <c r="S15" s="11"/>
      <c r="T15" s="11"/>
      <c r="U15" s="306">
        <v>7.5</v>
      </c>
      <c r="V15" s="296">
        <v>5.2215189873417724</v>
      </c>
      <c r="W15" s="296">
        <v>2.4802215189873418</v>
      </c>
      <c r="X15" s="278"/>
      <c r="Y15" s="333"/>
      <c r="Z15" s="294"/>
      <c r="AA15" s="288"/>
      <c r="AB15" s="4"/>
    </row>
    <row r="16" spans="1:28" ht="15.45">
      <c r="A16" s="2"/>
      <c r="B16" s="2" t="s">
        <v>52</v>
      </c>
      <c r="C16" s="29">
        <v>1624.9780217999999</v>
      </c>
      <c r="D16" s="306">
        <v>2177.7357907770929</v>
      </c>
      <c r="E16" s="306">
        <v>2632.4044654832655</v>
      </c>
      <c r="F16" s="121">
        <v>2.5</v>
      </c>
      <c r="G16" s="121">
        <v>1.5</v>
      </c>
      <c r="H16" s="121">
        <v>13</v>
      </c>
      <c r="I16" s="306">
        <v>44.925273217670984</v>
      </c>
      <c r="J16" s="327">
        <v>1.5</v>
      </c>
      <c r="K16" s="335">
        <v>0</v>
      </c>
      <c r="L16" s="11"/>
      <c r="M16" s="11"/>
      <c r="N16" s="11"/>
      <c r="O16" s="11"/>
      <c r="P16" s="11"/>
      <c r="Q16" s="11"/>
      <c r="R16" s="11"/>
      <c r="S16" s="11"/>
      <c r="T16" s="11"/>
      <c r="U16" s="306">
        <v>4.5497705203172059</v>
      </c>
      <c r="V16" s="296">
        <v>3.1675617546512194</v>
      </c>
      <c r="W16" s="296">
        <v>1.5045918334593291</v>
      </c>
      <c r="X16" s="278"/>
      <c r="Y16" s="333"/>
      <c r="Z16" s="294"/>
      <c r="AA16" s="288"/>
      <c r="AB16" s="4"/>
    </row>
    <row r="17" spans="1:28" ht="15.45">
      <c r="A17" s="2"/>
      <c r="B17" s="2" t="s">
        <v>48</v>
      </c>
      <c r="C17" s="29">
        <v>0</v>
      </c>
      <c r="D17" s="306">
        <v>37.39154382572525</v>
      </c>
      <c r="E17" s="306">
        <v>69.981438570293278</v>
      </c>
      <c r="F17" s="121">
        <v>2.5</v>
      </c>
      <c r="G17" s="121">
        <v>1.5</v>
      </c>
      <c r="H17" s="121">
        <v>13</v>
      </c>
      <c r="I17" s="306">
        <v>250.75047680373757</v>
      </c>
      <c r="J17" s="327">
        <v>1.5</v>
      </c>
      <c r="K17" s="335">
        <v>0</v>
      </c>
      <c r="L17" s="11"/>
      <c r="M17" s="11"/>
      <c r="N17" s="11"/>
      <c r="O17" s="11"/>
      <c r="P17" s="11"/>
      <c r="Q17" s="11"/>
      <c r="R17" s="11"/>
      <c r="S17" s="11"/>
      <c r="T17" s="11"/>
      <c r="U17" s="306">
        <v>4.5497705203172059</v>
      </c>
      <c r="V17" s="296">
        <v>3.1675617546512194</v>
      </c>
      <c r="W17" s="296">
        <v>1.5045918334593291</v>
      </c>
      <c r="X17" s="278"/>
      <c r="Y17" s="333"/>
      <c r="Z17" s="294"/>
      <c r="AA17" s="288"/>
      <c r="AB17" s="4"/>
    </row>
    <row r="18" spans="1:28" s="35" customFormat="1" ht="15.45">
      <c r="A18" s="49"/>
      <c r="B18" s="61" t="s">
        <v>65</v>
      </c>
      <c r="C18" s="62"/>
      <c r="D18" s="311">
        <f>D3/C3*1000</f>
        <v>35.233741706612108</v>
      </c>
      <c r="E18" s="311">
        <f>E3/$C3*1000</f>
        <v>52.002779533196225</v>
      </c>
      <c r="F18" s="63">
        <f>F3/$C3*1000</f>
        <v>8.9591175584498615</v>
      </c>
      <c r="G18" s="311">
        <f>G3/$C3*1000</f>
        <v>7.2737954179472375</v>
      </c>
      <c r="H18" s="63">
        <f>H3/$C3*1000</f>
        <v>193.12806990213534</v>
      </c>
      <c r="I18" s="311">
        <f>I3/C3</f>
        <v>95.429652542474017</v>
      </c>
      <c r="J18" s="311">
        <f t="shared" ref="J18:X18" si="5">J3/$C3*1000</f>
        <v>0.6438011190395112</v>
      </c>
      <c r="K18" s="311">
        <f t="shared" si="5"/>
        <v>3.6472292650899765E-3</v>
      </c>
      <c r="L18" s="311">
        <f t="shared" si="5"/>
        <v>0.15250216008456205</v>
      </c>
      <c r="M18" s="338">
        <f t="shared" si="5"/>
        <v>2.8594155015855386E-2</v>
      </c>
      <c r="N18" s="311">
        <f t="shared" si="5"/>
        <v>4.6310183766932047</v>
      </c>
      <c r="O18" s="311">
        <f t="shared" si="5"/>
        <v>2.1826871662102945</v>
      </c>
      <c r="P18" s="311">
        <f t="shared" si="5"/>
        <v>0.29547293516383905</v>
      </c>
      <c r="Q18" s="311">
        <f t="shared" si="5"/>
        <v>2.5544111814164148</v>
      </c>
      <c r="R18" s="311">
        <f t="shared" si="5"/>
        <v>0.57188310031710776</v>
      </c>
      <c r="S18" s="311">
        <f t="shared" si="5"/>
        <v>0.99126404054965367</v>
      </c>
      <c r="T18" s="338">
        <f t="shared" si="5"/>
        <v>0</v>
      </c>
      <c r="U18" s="338">
        <f t="shared" si="5"/>
        <v>0.3182379238611317</v>
      </c>
      <c r="V18" s="297">
        <f t="shared" si="5"/>
        <v>0.22427548373604822</v>
      </c>
      <c r="W18" s="297">
        <f t="shared" si="5"/>
        <v>7.2932610883353302E-2</v>
      </c>
      <c r="X18" s="298">
        <f t="shared" si="5"/>
        <v>0</v>
      </c>
      <c r="Y18" s="543">
        <f>Y3/$C3</f>
        <v>4.5535767938679588E-4</v>
      </c>
      <c r="Z18" s="341">
        <f>Z3/$C3</f>
        <v>0</v>
      </c>
      <c r="AA18" s="298">
        <f>AA3/$C3</f>
        <v>0</v>
      </c>
      <c r="AB18" s="52"/>
    </row>
    <row r="21" spans="1:28">
      <c r="B21" s="302" t="s">
        <v>192</v>
      </c>
    </row>
    <row r="22" spans="1:28">
      <c r="B22" s="249" t="s">
        <v>193</v>
      </c>
    </row>
    <row r="23" spans="1:28">
      <c r="B23" s="252" t="s">
        <v>194</v>
      </c>
    </row>
  </sheetData>
  <mergeCells count="4">
    <mergeCell ref="D1:K1"/>
    <mergeCell ref="Y1:AA1"/>
    <mergeCell ref="L1:T1"/>
    <mergeCell ref="U1:W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I52"/>
  <sheetViews>
    <sheetView zoomScale="90" zoomScaleNormal="90" workbookViewId="0">
      <selection activeCell="O39" sqref="O39:AH47"/>
    </sheetView>
  </sheetViews>
  <sheetFormatPr defaultRowHeight="14.6"/>
  <cols>
    <col min="1" max="4" width="8.4609375" customWidth="1"/>
    <col min="5" max="5" width="17.4609375" customWidth="1"/>
    <col min="6" max="6" width="18.4609375" style="74" customWidth="1"/>
    <col min="7" max="7" width="10.4609375" customWidth="1"/>
    <col min="8" max="8" width="7.4609375" customWidth="1"/>
    <col min="9" max="9" width="7.84375" customWidth="1"/>
    <col min="10" max="10" width="8.84375" customWidth="1"/>
    <col min="11" max="11" width="9.07421875" customWidth="1"/>
    <col min="12" max="12" width="8.4609375" bestFit="1" customWidth="1"/>
    <col min="13" max="13" width="8.07421875" customWidth="1"/>
    <col min="14" max="14" width="10" bestFit="1" customWidth="1"/>
    <col min="15" max="16" width="9.4609375" bestFit="1" customWidth="1"/>
    <col min="17" max="18" width="8.84375" bestFit="1" customWidth="1"/>
    <col min="19" max="22" width="8.84375" customWidth="1"/>
    <col min="253" max="253" width="6.4609375" bestFit="1" customWidth="1"/>
    <col min="254" max="254" width="12.53515625" customWidth="1"/>
    <col min="255" max="255" width="10" customWidth="1"/>
    <col min="256" max="256" width="16" customWidth="1"/>
    <col min="257" max="257" width="15.4609375" customWidth="1"/>
    <col min="258" max="258" width="14.4609375" customWidth="1"/>
    <col min="259" max="259" width="10.4609375" customWidth="1"/>
    <col min="260" max="260" width="7.4609375" customWidth="1"/>
    <col min="261" max="261" width="10.07421875" customWidth="1"/>
    <col min="262" max="263" width="10.53515625" customWidth="1"/>
    <col min="264" max="264" width="8.4609375" bestFit="1" customWidth="1"/>
    <col min="265" max="265" width="7" bestFit="1" customWidth="1"/>
    <col min="266" max="266" width="10" bestFit="1" customWidth="1"/>
    <col min="267" max="267" width="11.07421875" bestFit="1" customWidth="1"/>
    <col min="268" max="268" width="8.53515625" bestFit="1" customWidth="1"/>
    <col min="269" max="270" width="7.53515625" bestFit="1" customWidth="1"/>
    <col min="271" max="271" width="7.53515625" customWidth="1"/>
    <col min="272" max="272" width="8" bestFit="1" customWidth="1"/>
    <col min="273" max="273" width="7.53515625" bestFit="1" customWidth="1"/>
    <col min="274" max="274" width="6.4609375" bestFit="1" customWidth="1"/>
    <col min="509" max="509" width="6.4609375" bestFit="1" customWidth="1"/>
    <col min="510" max="510" width="12.53515625" customWidth="1"/>
    <col min="511" max="511" width="10" customWidth="1"/>
    <col min="512" max="512" width="16" customWidth="1"/>
    <col min="513" max="513" width="15.4609375" customWidth="1"/>
    <col min="514" max="514" width="14.4609375" customWidth="1"/>
    <col min="515" max="515" width="10.4609375" customWidth="1"/>
    <col min="516" max="516" width="7.4609375" customWidth="1"/>
    <col min="517" max="517" width="10.07421875" customWidth="1"/>
    <col min="518" max="519" width="10.53515625" customWidth="1"/>
    <col min="520" max="520" width="8.4609375" bestFit="1" customWidth="1"/>
    <col min="521" max="521" width="7" bestFit="1" customWidth="1"/>
    <col min="522" max="522" width="10" bestFit="1" customWidth="1"/>
    <col min="523" max="523" width="11.07421875" bestFit="1" customWidth="1"/>
    <col min="524" max="524" width="8.53515625" bestFit="1" customWidth="1"/>
    <col min="525" max="526" width="7.53515625" bestFit="1" customWidth="1"/>
    <col min="527" max="527" width="7.53515625" customWidth="1"/>
    <col min="528" max="528" width="8" bestFit="1" customWidth="1"/>
    <col min="529" max="529" width="7.53515625" bestFit="1" customWidth="1"/>
    <col min="530" max="530" width="6.4609375" bestFit="1" customWidth="1"/>
    <col min="765" max="765" width="6.4609375" bestFit="1" customWidth="1"/>
    <col min="766" max="766" width="12.53515625" customWidth="1"/>
    <col min="767" max="767" width="10" customWidth="1"/>
    <col min="768" max="768" width="16" customWidth="1"/>
    <col min="769" max="769" width="15.4609375" customWidth="1"/>
    <col min="770" max="770" width="14.4609375" customWidth="1"/>
    <col min="771" max="771" width="10.4609375" customWidth="1"/>
    <col min="772" max="772" width="7.4609375" customWidth="1"/>
    <col min="773" max="773" width="10.07421875" customWidth="1"/>
    <col min="774" max="775" width="10.53515625" customWidth="1"/>
    <col min="776" max="776" width="8.4609375" bestFit="1" customWidth="1"/>
    <col min="777" max="777" width="7" bestFit="1" customWidth="1"/>
    <col min="778" max="778" width="10" bestFit="1" customWidth="1"/>
    <col min="779" max="779" width="11.07421875" bestFit="1" customWidth="1"/>
    <col min="780" max="780" width="8.53515625" bestFit="1" customWidth="1"/>
    <col min="781" max="782" width="7.53515625" bestFit="1" customWidth="1"/>
    <col min="783" max="783" width="7.53515625" customWidth="1"/>
    <col min="784" max="784" width="8" bestFit="1" customWidth="1"/>
    <col min="785" max="785" width="7.53515625" bestFit="1" customWidth="1"/>
    <col min="786" max="786" width="6.4609375" bestFit="1" customWidth="1"/>
    <col min="1021" max="1021" width="6.4609375" bestFit="1" customWidth="1"/>
    <col min="1022" max="1022" width="12.53515625" customWidth="1"/>
    <col min="1023" max="1023" width="10" customWidth="1"/>
    <col min="1024" max="1024" width="16" customWidth="1"/>
    <col min="1025" max="1025" width="15.4609375" customWidth="1"/>
    <col min="1026" max="1026" width="14.4609375" customWidth="1"/>
    <col min="1027" max="1027" width="10.4609375" customWidth="1"/>
    <col min="1028" max="1028" width="7.4609375" customWidth="1"/>
    <col min="1029" max="1029" width="10.07421875" customWidth="1"/>
    <col min="1030" max="1031" width="10.53515625" customWidth="1"/>
    <col min="1032" max="1032" width="8.4609375" bestFit="1" customWidth="1"/>
    <col min="1033" max="1033" width="7" bestFit="1" customWidth="1"/>
    <col min="1034" max="1034" width="10" bestFit="1" customWidth="1"/>
    <col min="1035" max="1035" width="11.07421875" bestFit="1" customWidth="1"/>
    <col min="1036" max="1036" width="8.53515625" bestFit="1" customWidth="1"/>
    <col min="1037" max="1038" width="7.53515625" bestFit="1" customWidth="1"/>
    <col min="1039" max="1039" width="7.53515625" customWidth="1"/>
    <col min="1040" max="1040" width="8" bestFit="1" customWidth="1"/>
    <col min="1041" max="1041" width="7.53515625" bestFit="1" customWidth="1"/>
    <col min="1042" max="1042" width="6.4609375" bestFit="1" customWidth="1"/>
    <col min="1277" max="1277" width="6.4609375" bestFit="1" customWidth="1"/>
    <col min="1278" max="1278" width="12.53515625" customWidth="1"/>
    <col min="1279" max="1279" width="10" customWidth="1"/>
    <col min="1280" max="1280" width="16" customWidth="1"/>
    <col min="1281" max="1281" width="15.4609375" customWidth="1"/>
    <col min="1282" max="1282" width="14.4609375" customWidth="1"/>
    <col min="1283" max="1283" width="10.4609375" customWidth="1"/>
    <col min="1284" max="1284" width="7.4609375" customWidth="1"/>
    <col min="1285" max="1285" width="10.07421875" customWidth="1"/>
    <col min="1286" max="1287" width="10.53515625" customWidth="1"/>
    <col min="1288" max="1288" width="8.4609375" bestFit="1" customWidth="1"/>
    <col min="1289" max="1289" width="7" bestFit="1" customWidth="1"/>
    <col min="1290" max="1290" width="10" bestFit="1" customWidth="1"/>
    <col min="1291" max="1291" width="11.07421875" bestFit="1" customWidth="1"/>
    <col min="1292" max="1292" width="8.53515625" bestFit="1" customWidth="1"/>
    <col min="1293" max="1294" width="7.53515625" bestFit="1" customWidth="1"/>
    <col min="1295" max="1295" width="7.53515625" customWidth="1"/>
    <col min="1296" max="1296" width="8" bestFit="1" customWidth="1"/>
    <col min="1297" max="1297" width="7.53515625" bestFit="1" customWidth="1"/>
    <col min="1298" max="1298" width="6.4609375" bestFit="1" customWidth="1"/>
    <col min="1533" max="1533" width="6.4609375" bestFit="1" customWidth="1"/>
    <col min="1534" max="1534" width="12.53515625" customWidth="1"/>
    <col min="1535" max="1535" width="10" customWidth="1"/>
    <col min="1536" max="1536" width="16" customWidth="1"/>
    <col min="1537" max="1537" width="15.4609375" customWidth="1"/>
    <col min="1538" max="1538" width="14.4609375" customWidth="1"/>
    <col min="1539" max="1539" width="10.4609375" customWidth="1"/>
    <col min="1540" max="1540" width="7.4609375" customWidth="1"/>
    <col min="1541" max="1541" width="10.07421875" customWidth="1"/>
    <col min="1542" max="1543" width="10.53515625" customWidth="1"/>
    <col min="1544" max="1544" width="8.4609375" bestFit="1" customWidth="1"/>
    <col min="1545" max="1545" width="7" bestFit="1" customWidth="1"/>
    <col min="1546" max="1546" width="10" bestFit="1" customWidth="1"/>
    <col min="1547" max="1547" width="11.07421875" bestFit="1" customWidth="1"/>
    <col min="1548" max="1548" width="8.53515625" bestFit="1" customWidth="1"/>
    <col min="1549" max="1550" width="7.53515625" bestFit="1" customWidth="1"/>
    <col min="1551" max="1551" width="7.53515625" customWidth="1"/>
    <col min="1552" max="1552" width="8" bestFit="1" customWidth="1"/>
    <col min="1553" max="1553" width="7.53515625" bestFit="1" customWidth="1"/>
    <col min="1554" max="1554" width="6.4609375" bestFit="1" customWidth="1"/>
    <col min="1789" max="1789" width="6.4609375" bestFit="1" customWidth="1"/>
    <col min="1790" max="1790" width="12.53515625" customWidth="1"/>
    <col min="1791" max="1791" width="10" customWidth="1"/>
    <col min="1792" max="1792" width="16" customWidth="1"/>
    <col min="1793" max="1793" width="15.4609375" customWidth="1"/>
    <col min="1794" max="1794" width="14.4609375" customWidth="1"/>
    <col min="1795" max="1795" width="10.4609375" customWidth="1"/>
    <col min="1796" max="1796" width="7.4609375" customWidth="1"/>
    <col min="1797" max="1797" width="10.07421875" customWidth="1"/>
    <col min="1798" max="1799" width="10.53515625" customWidth="1"/>
    <col min="1800" max="1800" width="8.4609375" bestFit="1" customWidth="1"/>
    <col min="1801" max="1801" width="7" bestFit="1" customWidth="1"/>
    <col min="1802" max="1802" width="10" bestFit="1" customWidth="1"/>
    <col min="1803" max="1803" width="11.07421875" bestFit="1" customWidth="1"/>
    <col min="1804" max="1804" width="8.53515625" bestFit="1" customWidth="1"/>
    <col min="1805" max="1806" width="7.53515625" bestFit="1" customWidth="1"/>
    <col min="1807" max="1807" width="7.53515625" customWidth="1"/>
    <col min="1808" max="1808" width="8" bestFit="1" customWidth="1"/>
    <col min="1809" max="1809" width="7.53515625" bestFit="1" customWidth="1"/>
    <col min="1810" max="1810" width="6.4609375" bestFit="1" customWidth="1"/>
    <col min="2045" max="2045" width="6.4609375" bestFit="1" customWidth="1"/>
    <col min="2046" max="2046" width="12.53515625" customWidth="1"/>
    <col min="2047" max="2047" width="10" customWidth="1"/>
    <col min="2048" max="2048" width="16" customWidth="1"/>
    <col min="2049" max="2049" width="15.4609375" customWidth="1"/>
    <col min="2050" max="2050" width="14.4609375" customWidth="1"/>
    <col min="2051" max="2051" width="10.4609375" customWidth="1"/>
    <col min="2052" max="2052" width="7.4609375" customWidth="1"/>
    <col min="2053" max="2053" width="10.07421875" customWidth="1"/>
    <col min="2054" max="2055" width="10.53515625" customWidth="1"/>
    <col min="2056" max="2056" width="8.4609375" bestFit="1" customWidth="1"/>
    <col min="2057" max="2057" width="7" bestFit="1" customWidth="1"/>
    <col min="2058" max="2058" width="10" bestFit="1" customWidth="1"/>
    <col min="2059" max="2059" width="11.07421875" bestFit="1" customWidth="1"/>
    <col min="2060" max="2060" width="8.53515625" bestFit="1" customWidth="1"/>
    <col min="2061" max="2062" width="7.53515625" bestFit="1" customWidth="1"/>
    <col min="2063" max="2063" width="7.53515625" customWidth="1"/>
    <col min="2064" max="2064" width="8" bestFit="1" customWidth="1"/>
    <col min="2065" max="2065" width="7.53515625" bestFit="1" customWidth="1"/>
    <col min="2066" max="2066" width="6.4609375" bestFit="1" customWidth="1"/>
    <col min="2301" max="2301" width="6.4609375" bestFit="1" customWidth="1"/>
    <col min="2302" max="2302" width="12.53515625" customWidth="1"/>
    <col min="2303" max="2303" width="10" customWidth="1"/>
    <col min="2304" max="2304" width="16" customWidth="1"/>
    <col min="2305" max="2305" width="15.4609375" customWidth="1"/>
    <col min="2306" max="2306" width="14.4609375" customWidth="1"/>
    <col min="2307" max="2307" width="10.4609375" customWidth="1"/>
    <col min="2308" max="2308" width="7.4609375" customWidth="1"/>
    <col min="2309" max="2309" width="10.07421875" customWidth="1"/>
    <col min="2310" max="2311" width="10.53515625" customWidth="1"/>
    <col min="2312" max="2312" width="8.4609375" bestFit="1" customWidth="1"/>
    <col min="2313" max="2313" width="7" bestFit="1" customWidth="1"/>
    <col min="2314" max="2314" width="10" bestFit="1" customWidth="1"/>
    <col min="2315" max="2315" width="11.07421875" bestFit="1" customWidth="1"/>
    <col min="2316" max="2316" width="8.53515625" bestFit="1" customWidth="1"/>
    <col min="2317" max="2318" width="7.53515625" bestFit="1" customWidth="1"/>
    <col min="2319" max="2319" width="7.53515625" customWidth="1"/>
    <col min="2320" max="2320" width="8" bestFit="1" customWidth="1"/>
    <col min="2321" max="2321" width="7.53515625" bestFit="1" customWidth="1"/>
    <col min="2322" max="2322" width="6.4609375" bestFit="1" customWidth="1"/>
    <col min="2557" max="2557" width="6.4609375" bestFit="1" customWidth="1"/>
    <col min="2558" max="2558" width="12.53515625" customWidth="1"/>
    <col min="2559" max="2559" width="10" customWidth="1"/>
    <col min="2560" max="2560" width="16" customWidth="1"/>
    <col min="2561" max="2561" width="15.4609375" customWidth="1"/>
    <col min="2562" max="2562" width="14.4609375" customWidth="1"/>
    <col min="2563" max="2563" width="10.4609375" customWidth="1"/>
    <col min="2564" max="2564" width="7.4609375" customWidth="1"/>
    <col min="2565" max="2565" width="10.07421875" customWidth="1"/>
    <col min="2566" max="2567" width="10.53515625" customWidth="1"/>
    <col min="2568" max="2568" width="8.4609375" bestFit="1" customWidth="1"/>
    <col min="2569" max="2569" width="7" bestFit="1" customWidth="1"/>
    <col min="2570" max="2570" width="10" bestFit="1" customWidth="1"/>
    <col min="2571" max="2571" width="11.07421875" bestFit="1" customWidth="1"/>
    <col min="2572" max="2572" width="8.53515625" bestFit="1" customWidth="1"/>
    <col min="2573" max="2574" width="7.53515625" bestFit="1" customWidth="1"/>
    <col min="2575" max="2575" width="7.53515625" customWidth="1"/>
    <col min="2576" max="2576" width="8" bestFit="1" customWidth="1"/>
    <col min="2577" max="2577" width="7.53515625" bestFit="1" customWidth="1"/>
    <col min="2578" max="2578" width="6.4609375" bestFit="1" customWidth="1"/>
    <col min="2813" max="2813" width="6.4609375" bestFit="1" customWidth="1"/>
    <col min="2814" max="2814" width="12.53515625" customWidth="1"/>
    <col min="2815" max="2815" width="10" customWidth="1"/>
    <col min="2816" max="2816" width="16" customWidth="1"/>
    <col min="2817" max="2817" width="15.4609375" customWidth="1"/>
    <col min="2818" max="2818" width="14.4609375" customWidth="1"/>
    <col min="2819" max="2819" width="10.4609375" customWidth="1"/>
    <col min="2820" max="2820" width="7.4609375" customWidth="1"/>
    <col min="2821" max="2821" width="10.07421875" customWidth="1"/>
    <col min="2822" max="2823" width="10.53515625" customWidth="1"/>
    <col min="2824" max="2824" width="8.4609375" bestFit="1" customWidth="1"/>
    <col min="2825" max="2825" width="7" bestFit="1" customWidth="1"/>
    <col min="2826" max="2826" width="10" bestFit="1" customWidth="1"/>
    <col min="2827" max="2827" width="11.07421875" bestFit="1" customWidth="1"/>
    <col min="2828" max="2828" width="8.53515625" bestFit="1" customWidth="1"/>
    <col min="2829" max="2830" width="7.53515625" bestFit="1" customWidth="1"/>
    <col min="2831" max="2831" width="7.53515625" customWidth="1"/>
    <col min="2832" max="2832" width="8" bestFit="1" customWidth="1"/>
    <col min="2833" max="2833" width="7.53515625" bestFit="1" customWidth="1"/>
    <col min="2834" max="2834" width="6.4609375" bestFit="1" customWidth="1"/>
    <col min="3069" max="3069" width="6.4609375" bestFit="1" customWidth="1"/>
    <col min="3070" max="3070" width="12.53515625" customWidth="1"/>
    <col min="3071" max="3071" width="10" customWidth="1"/>
    <col min="3072" max="3072" width="16" customWidth="1"/>
    <col min="3073" max="3073" width="15.4609375" customWidth="1"/>
    <col min="3074" max="3074" width="14.4609375" customWidth="1"/>
    <col min="3075" max="3075" width="10.4609375" customWidth="1"/>
    <col min="3076" max="3076" width="7.4609375" customWidth="1"/>
    <col min="3077" max="3077" width="10.07421875" customWidth="1"/>
    <col min="3078" max="3079" width="10.53515625" customWidth="1"/>
    <col min="3080" max="3080" width="8.4609375" bestFit="1" customWidth="1"/>
    <col min="3081" max="3081" width="7" bestFit="1" customWidth="1"/>
    <col min="3082" max="3082" width="10" bestFit="1" customWidth="1"/>
    <col min="3083" max="3083" width="11.07421875" bestFit="1" customWidth="1"/>
    <col min="3084" max="3084" width="8.53515625" bestFit="1" customWidth="1"/>
    <col min="3085" max="3086" width="7.53515625" bestFit="1" customWidth="1"/>
    <col min="3087" max="3087" width="7.53515625" customWidth="1"/>
    <col min="3088" max="3088" width="8" bestFit="1" customWidth="1"/>
    <col min="3089" max="3089" width="7.53515625" bestFit="1" customWidth="1"/>
    <col min="3090" max="3090" width="6.4609375" bestFit="1" customWidth="1"/>
    <col min="3325" max="3325" width="6.4609375" bestFit="1" customWidth="1"/>
    <col min="3326" max="3326" width="12.53515625" customWidth="1"/>
    <col min="3327" max="3327" width="10" customWidth="1"/>
    <col min="3328" max="3328" width="16" customWidth="1"/>
    <col min="3329" max="3329" width="15.4609375" customWidth="1"/>
    <col min="3330" max="3330" width="14.4609375" customWidth="1"/>
    <col min="3331" max="3331" width="10.4609375" customWidth="1"/>
    <col min="3332" max="3332" width="7.4609375" customWidth="1"/>
    <col min="3333" max="3333" width="10.07421875" customWidth="1"/>
    <col min="3334" max="3335" width="10.53515625" customWidth="1"/>
    <col min="3336" max="3336" width="8.4609375" bestFit="1" customWidth="1"/>
    <col min="3337" max="3337" width="7" bestFit="1" customWidth="1"/>
    <col min="3338" max="3338" width="10" bestFit="1" customWidth="1"/>
    <col min="3339" max="3339" width="11.07421875" bestFit="1" customWidth="1"/>
    <col min="3340" max="3340" width="8.53515625" bestFit="1" customWidth="1"/>
    <col min="3341" max="3342" width="7.53515625" bestFit="1" customWidth="1"/>
    <col min="3343" max="3343" width="7.53515625" customWidth="1"/>
    <col min="3344" max="3344" width="8" bestFit="1" customWidth="1"/>
    <col min="3345" max="3345" width="7.53515625" bestFit="1" customWidth="1"/>
    <col min="3346" max="3346" width="6.4609375" bestFit="1" customWidth="1"/>
    <col min="3581" max="3581" width="6.4609375" bestFit="1" customWidth="1"/>
    <col min="3582" max="3582" width="12.53515625" customWidth="1"/>
    <col min="3583" max="3583" width="10" customWidth="1"/>
    <col min="3584" max="3584" width="16" customWidth="1"/>
    <col min="3585" max="3585" width="15.4609375" customWidth="1"/>
    <col min="3586" max="3586" width="14.4609375" customWidth="1"/>
    <col min="3587" max="3587" width="10.4609375" customWidth="1"/>
    <col min="3588" max="3588" width="7.4609375" customWidth="1"/>
    <col min="3589" max="3589" width="10.07421875" customWidth="1"/>
    <col min="3590" max="3591" width="10.53515625" customWidth="1"/>
    <col min="3592" max="3592" width="8.4609375" bestFit="1" customWidth="1"/>
    <col min="3593" max="3593" width="7" bestFit="1" customWidth="1"/>
    <col min="3594" max="3594" width="10" bestFit="1" customWidth="1"/>
    <col min="3595" max="3595" width="11.07421875" bestFit="1" customWidth="1"/>
    <col min="3596" max="3596" width="8.53515625" bestFit="1" customWidth="1"/>
    <col min="3597" max="3598" width="7.53515625" bestFit="1" customWidth="1"/>
    <col min="3599" max="3599" width="7.53515625" customWidth="1"/>
    <col min="3600" max="3600" width="8" bestFit="1" customWidth="1"/>
    <col min="3601" max="3601" width="7.53515625" bestFit="1" customWidth="1"/>
    <col min="3602" max="3602" width="6.4609375" bestFit="1" customWidth="1"/>
    <col min="3837" max="3837" width="6.4609375" bestFit="1" customWidth="1"/>
    <col min="3838" max="3838" width="12.53515625" customWidth="1"/>
    <col min="3839" max="3839" width="10" customWidth="1"/>
    <col min="3840" max="3840" width="16" customWidth="1"/>
    <col min="3841" max="3841" width="15.4609375" customWidth="1"/>
    <col min="3842" max="3842" width="14.4609375" customWidth="1"/>
    <col min="3843" max="3843" width="10.4609375" customWidth="1"/>
    <col min="3844" max="3844" width="7.4609375" customWidth="1"/>
    <col min="3845" max="3845" width="10.07421875" customWidth="1"/>
    <col min="3846" max="3847" width="10.53515625" customWidth="1"/>
    <col min="3848" max="3848" width="8.4609375" bestFit="1" customWidth="1"/>
    <col min="3849" max="3849" width="7" bestFit="1" customWidth="1"/>
    <col min="3850" max="3850" width="10" bestFit="1" customWidth="1"/>
    <col min="3851" max="3851" width="11.07421875" bestFit="1" customWidth="1"/>
    <col min="3852" max="3852" width="8.53515625" bestFit="1" customWidth="1"/>
    <col min="3853" max="3854" width="7.53515625" bestFit="1" customWidth="1"/>
    <col min="3855" max="3855" width="7.53515625" customWidth="1"/>
    <col min="3856" max="3856" width="8" bestFit="1" customWidth="1"/>
    <col min="3857" max="3857" width="7.53515625" bestFit="1" customWidth="1"/>
    <col min="3858" max="3858" width="6.4609375" bestFit="1" customWidth="1"/>
    <col min="4093" max="4093" width="6.4609375" bestFit="1" customWidth="1"/>
    <col min="4094" max="4094" width="12.53515625" customWidth="1"/>
    <col min="4095" max="4095" width="10" customWidth="1"/>
    <col min="4096" max="4096" width="16" customWidth="1"/>
    <col min="4097" max="4097" width="15.4609375" customWidth="1"/>
    <col min="4098" max="4098" width="14.4609375" customWidth="1"/>
    <col min="4099" max="4099" width="10.4609375" customWidth="1"/>
    <col min="4100" max="4100" width="7.4609375" customWidth="1"/>
    <col min="4101" max="4101" width="10.07421875" customWidth="1"/>
    <col min="4102" max="4103" width="10.53515625" customWidth="1"/>
    <col min="4104" max="4104" width="8.4609375" bestFit="1" customWidth="1"/>
    <col min="4105" max="4105" width="7" bestFit="1" customWidth="1"/>
    <col min="4106" max="4106" width="10" bestFit="1" customWidth="1"/>
    <col min="4107" max="4107" width="11.07421875" bestFit="1" customWidth="1"/>
    <col min="4108" max="4108" width="8.53515625" bestFit="1" customWidth="1"/>
    <col min="4109" max="4110" width="7.53515625" bestFit="1" customWidth="1"/>
    <col min="4111" max="4111" width="7.53515625" customWidth="1"/>
    <col min="4112" max="4112" width="8" bestFit="1" customWidth="1"/>
    <col min="4113" max="4113" width="7.53515625" bestFit="1" customWidth="1"/>
    <col min="4114" max="4114" width="6.4609375" bestFit="1" customWidth="1"/>
    <col min="4349" max="4349" width="6.4609375" bestFit="1" customWidth="1"/>
    <col min="4350" max="4350" width="12.53515625" customWidth="1"/>
    <col min="4351" max="4351" width="10" customWidth="1"/>
    <col min="4352" max="4352" width="16" customWidth="1"/>
    <col min="4353" max="4353" width="15.4609375" customWidth="1"/>
    <col min="4354" max="4354" width="14.4609375" customWidth="1"/>
    <col min="4355" max="4355" width="10.4609375" customWidth="1"/>
    <col min="4356" max="4356" width="7.4609375" customWidth="1"/>
    <col min="4357" max="4357" width="10.07421875" customWidth="1"/>
    <col min="4358" max="4359" width="10.53515625" customWidth="1"/>
    <col min="4360" max="4360" width="8.4609375" bestFit="1" customWidth="1"/>
    <col min="4361" max="4361" width="7" bestFit="1" customWidth="1"/>
    <col min="4362" max="4362" width="10" bestFit="1" customWidth="1"/>
    <col min="4363" max="4363" width="11.07421875" bestFit="1" customWidth="1"/>
    <col min="4364" max="4364" width="8.53515625" bestFit="1" customWidth="1"/>
    <col min="4365" max="4366" width="7.53515625" bestFit="1" customWidth="1"/>
    <col min="4367" max="4367" width="7.53515625" customWidth="1"/>
    <col min="4368" max="4368" width="8" bestFit="1" customWidth="1"/>
    <col min="4369" max="4369" width="7.53515625" bestFit="1" customWidth="1"/>
    <col min="4370" max="4370" width="6.4609375" bestFit="1" customWidth="1"/>
    <col min="4605" max="4605" width="6.4609375" bestFit="1" customWidth="1"/>
    <col min="4606" max="4606" width="12.53515625" customWidth="1"/>
    <col min="4607" max="4607" width="10" customWidth="1"/>
    <col min="4608" max="4608" width="16" customWidth="1"/>
    <col min="4609" max="4609" width="15.4609375" customWidth="1"/>
    <col min="4610" max="4610" width="14.4609375" customWidth="1"/>
    <col min="4611" max="4611" width="10.4609375" customWidth="1"/>
    <col min="4612" max="4612" width="7.4609375" customWidth="1"/>
    <col min="4613" max="4613" width="10.07421875" customWidth="1"/>
    <col min="4614" max="4615" width="10.53515625" customWidth="1"/>
    <col min="4616" max="4616" width="8.4609375" bestFit="1" customWidth="1"/>
    <col min="4617" max="4617" width="7" bestFit="1" customWidth="1"/>
    <col min="4618" max="4618" width="10" bestFit="1" customWidth="1"/>
    <col min="4619" max="4619" width="11.07421875" bestFit="1" customWidth="1"/>
    <col min="4620" max="4620" width="8.53515625" bestFit="1" customWidth="1"/>
    <col min="4621" max="4622" width="7.53515625" bestFit="1" customWidth="1"/>
    <col min="4623" max="4623" width="7.53515625" customWidth="1"/>
    <col min="4624" max="4624" width="8" bestFit="1" customWidth="1"/>
    <col min="4625" max="4625" width="7.53515625" bestFit="1" customWidth="1"/>
    <col min="4626" max="4626" width="6.4609375" bestFit="1" customWidth="1"/>
    <col min="4861" max="4861" width="6.4609375" bestFit="1" customWidth="1"/>
    <col min="4862" max="4862" width="12.53515625" customWidth="1"/>
    <col min="4863" max="4863" width="10" customWidth="1"/>
    <col min="4864" max="4864" width="16" customWidth="1"/>
    <col min="4865" max="4865" width="15.4609375" customWidth="1"/>
    <col min="4866" max="4866" width="14.4609375" customWidth="1"/>
    <col min="4867" max="4867" width="10.4609375" customWidth="1"/>
    <col min="4868" max="4868" width="7.4609375" customWidth="1"/>
    <col min="4869" max="4869" width="10.07421875" customWidth="1"/>
    <col min="4870" max="4871" width="10.53515625" customWidth="1"/>
    <col min="4872" max="4872" width="8.4609375" bestFit="1" customWidth="1"/>
    <col min="4873" max="4873" width="7" bestFit="1" customWidth="1"/>
    <col min="4874" max="4874" width="10" bestFit="1" customWidth="1"/>
    <col min="4875" max="4875" width="11.07421875" bestFit="1" customWidth="1"/>
    <col min="4876" max="4876" width="8.53515625" bestFit="1" customWidth="1"/>
    <col min="4877" max="4878" width="7.53515625" bestFit="1" customWidth="1"/>
    <col min="4879" max="4879" width="7.53515625" customWidth="1"/>
    <col min="4880" max="4880" width="8" bestFit="1" customWidth="1"/>
    <col min="4881" max="4881" width="7.53515625" bestFit="1" customWidth="1"/>
    <col min="4882" max="4882" width="6.4609375" bestFit="1" customWidth="1"/>
    <col min="5117" max="5117" width="6.4609375" bestFit="1" customWidth="1"/>
    <col min="5118" max="5118" width="12.53515625" customWidth="1"/>
    <col min="5119" max="5119" width="10" customWidth="1"/>
    <col min="5120" max="5120" width="16" customWidth="1"/>
    <col min="5121" max="5121" width="15.4609375" customWidth="1"/>
    <col min="5122" max="5122" width="14.4609375" customWidth="1"/>
    <col min="5123" max="5123" width="10.4609375" customWidth="1"/>
    <col min="5124" max="5124" width="7.4609375" customWidth="1"/>
    <col min="5125" max="5125" width="10.07421875" customWidth="1"/>
    <col min="5126" max="5127" width="10.53515625" customWidth="1"/>
    <col min="5128" max="5128" width="8.4609375" bestFit="1" customWidth="1"/>
    <col min="5129" max="5129" width="7" bestFit="1" customWidth="1"/>
    <col min="5130" max="5130" width="10" bestFit="1" customWidth="1"/>
    <col min="5131" max="5131" width="11.07421875" bestFit="1" customWidth="1"/>
    <col min="5132" max="5132" width="8.53515625" bestFit="1" customWidth="1"/>
    <col min="5133" max="5134" width="7.53515625" bestFit="1" customWidth="1"/>
    <col min="5135" max="5135" width="7.53515625" customWidth="1"/>
    <col min="5136" max="5136" width="8" bestFit="1" customWidth="1"/>
    <col min="5137" max="5137" width="7.53515625" bestFit="1" customWidth="1"/>
    <col min="5138" max="5138" width="6.4609375" bestFit="1" customWidth="1"/>
    <col min="5373" max="5373" width="6.4609375" bestFit="1" customWidth="1"/>
    <col min="5374" max="5374" width="12.53515625" customWidth="1"/>
    <col min="5375" max="5375" width="10" customWidth="1"/>
    <col min="5376" max="5376" width="16" customWidth="1"/>
    <col min="5377" max="5377" width="15.4609375" customWidth="1"/>
    <col min="5378" max="5378" width="14.4609375" customWidth="1"/>
    <col min="5379" max="5379" width="10.4609375" customWidth="1"/>
    <col min="5380" max="5380" width="7.4609375" customWidth="1"/>
    <col min="5381" max="5381" width="10.07421875" customWidth="1"/>
    <col min="5382" max="5383" width="10.53515625" customWidth="1"/>
    <col min="5384" max="5384" width="8.4609375" bestFit="1" customWidth="1"/>
    <col min="5385" max="5385" width="7" bestFit="1" customWidth="1"/>
    <col min="5386" max="5386" width="10" bestFit="1" customWidth="1"/>
    <col min="5387" max="5387" width="11.07421875" bestFit="1" customWidth="1"/>
    <col min="5388" max="5388" width="8.53515625" bestFit="1" customWidth="1"/>
    <col min="5389" max="5390" width="7.53515625" bestFit="1" customWidth="1"/>
    <col min="5391" max="5391" width="7.53515625" customWidth="1"/>
    <col min="5392" max="5392" width="8" bestFit="1" customWidth="1"/>
    <col min="5393" max="5393" width="7.53515625" bestFit="1" customWidth="1"/>
    <col min="5394" max="5394" width="6.4609375" bestFit="1" customWidth="1"/>
    <col min="5629" max="5629" width="6.4609375" bestFit="1" customWidth="1"/>
    <col min="5630" max="5630" width="12.53515625" customWidth="1"/>
    <col min="5631" max="5631" width="10" customWidth="1"/>
    <col min="5632" max="5632" width="16" customWidth="1"/>
    <col min="5633" max="5633" width="15.4609375" customWidth="1"/>
    <col min="5634" max="5634" width="14.4609375" customWidth="1"/>
    <col min="5635" max="5635" width="10.4609375" customWidth="1"/>
    <col min="5636" max="5636" width="7.4609375" customWidth="1"/>
    <col min="5637" max="5637" width="10.07421875" customWidth="1"/>
    <col min="5638" max="5639" width="10.53515625" customWidth="1"/>
    <col min="5640" max="5640" width="8.4609375" bestFit="1" customWidth="1"/>
    <col min="5641" max="5641" width="7" bestFit="1" customWidth="1"/>
    <col min="5642" max="5642" width="10" bestFit="1" customWidth="1"/>
    <col min="5643" max="5643" width="11.07421875" bestFit="1" customWidth="1"/>
    <col min="5644" max="5644" width="8.53515625" bestFit="1" customWidth="1"/>
    <col min="5645" max="5646" width="7.53515625" bestFit="1" customWidth="1"/>
    <col min="5647" max="5647" width="7.53515625" customWidth="1"/>
    <col min="5648" max="5648" width="8" bestFit="1" customWidth="1"/>
    <col min="5649" max="5649" width="7.53515625" bestFit="1" customWidth="1"/>
    <col min="5650" max="5650" width="6.4609375" bestFit="1" customWidth="1"/>
    <col min="5885" max="5885" width="6.4609375" bestFit="1" customWidth="1"/>
    <col min="5886" max="5886" width="12.53515625" customWidth="1"/>
    <col min="5887" max="5887" width="10" customWidth="1"/>
    <col min="5888" max="5888" width="16" customWidth="1"/>
    <col min="5889" max="5889" width="15.4609375" customWidth="1"/>
    <col min="5890" max="5890" width="14.4609375" customWidth="1"/>
    <col min="5891" max="5891" width="10.4609375" customWidth="1"/>
    <col min="5892" max="5892" width="7.4609375" customWidth="1"/>
    <col min="5893" max="5893" width="10.07421875" customWidth="1"/>
    <col min="5894" max="5895" width="10.53515625" customWidth="1"/>
    <col min="5896" max="5896" width="8.4609375" bestFit="1" customWidth="1"/>
    <col min="5897" max="5897" width="7" bestFit="1" customWidth="1"/>
    <col min="5898" max="5898" width="10" bestFit="1" customWidth="1"/>
    <col min="5899" max="5899" width="11.07421875" bestFit="1" customWidth="1"/>
    <col min="5900" max="5900" width="8.53515625" bestFit="1" customWidth="1"/>
    <col min="5901" max="5902" width="7.53515625" bestFit="1" customWidth="1"/>
    <col min="5903" max="5903" width="7.53515625" customWidth="1"/>
    <col min="5904" max="5904" width="8" bestFit="1" customWidth="1"/>
    <col min="5905" max="5905" width="7.53515625" bestFit="1" customWidth="1"/>
    <col min="5906" max="5906" width="6.4609375" bestFit="1" customWidth="1"/>
    <col min="6141" max="6141" width="6.4609375" bestFit="1" customWidth="1"/>
    <col min="6142" max="6142" width="12.53515625" customWidth="1"/>
    <col min="6143" max="6143" width="10" customWidth="1"/>
    <col min="6144" max="6144" width="16" customWidth="1"/>
    <col min="6145" max="6145" width="15.4609375" customWidth="1"/>
    <col min="6146" max="6146" width="14.4609375" customWidth="1"/>
    <col min="6147" max="6147" width="10.4609375" customWidth="1"/>
    <col min="6148" max="6148" width="7.4609375" customWidth="1"/>
    <col min="6149" max="6149" width="10.07421875" customWidth="1"/>
    <col min="6150" max="6151" width="10.53515625" customWidth="1"/>
    <col min="6152" max="6152" width="8.4609375" bestFit="1" customWidth="1"/>
    <col min="6153" max="6153" width="7" bestFit="1" customWidth="1"/>
    <col min="6154" max="6154" width="10" bestFit="1" customWidth="1"/>
    <col min="6155" max="6155" width="11.07421875" bestFit="1" customWidth="1"/>
    <col min="6156" max="6156" width="8.53515625" bestFit="1" customWidth="1"/>
    <col min="6157" max="6158" width="7.53515625" bestFit="1" customWidth="1"/>
    <col min="6159" max="6159" width="7.53515625" customWidth="1"/>
    <col min="6160" max="6160" width="8" bestFit="1" customWidth="1"/>
    <col min="6161" max="6161" width="7.53515625" bestFit="1" customWidth="1"/>
    <col min="6162" max="6162" width="6.4609375" bestFit="1" customWidth="1"/>
    <col min="6397" max="6397" width="6.4609375" bestFit="1" customWidth="1"/>
    <col min="6398" max="6398" width="12.53515625" customWidth="1"/>
    <col min="6399" max="6399" width="10" customWidth="1"/>
    <col min="6400" max="6400" width="16" customWidth="1"/>
    <col min="6401" max="6401" width="15.4609375" customWidth="1"/>
    <col min="6402" max="6402" width="14.4609375" customWidth="1"/>
    <col min="6403" max="6403" width="10.4609375" customWidth="1"/>
    <col min="6404" max="6404" width="7.4609375" customWidth="1"/>
    <col min="6405" max="6405" width="10.07421875" customWidth="1"/>
    <col min="6406" max="6407" width="10.53515625" customWidth="1"/>
    <col min="6408" max="6408" width="8.4609375" bestFit="1" customWidth="1"/>
    <col min="6409" max="6409" width="7" bestFit="1" customWidth="1"/>
    <col min="6410" max="6410" width="10" bestFit="1" customWidth="1"/>
    <col min="6411" max="6411" width="11.07421875" bestFit="1" customWidth="1"/>
    <col min="6412" max="6412" width="8.53515625" bestFit="1" customWidth="1"/>
    <col min="6413" max="6414" width="7.53515625" bestFit="1" customWidth="1"/>
    <col min="6415" max="6415" width="7.53515625" customWidth="1"/>
    <col min="6416" max="6416" width="8" bestFit="1" customWidth="1"/>
    <col min="6417" max="6417" width="7.53515625" bestFit="1" customWidth="1"/>
    <col min="6418" max="6418" width="6.4609375" bestFit="1" customWidth="1"/>
    <col min="6653" max="6653" width="6.4609375" bestFit="1" customWidth="1"/>
    <col min="6654" max="6654" width="12.53515625" customWidth="1"/>
    <col min="6655" max="6655" width="10" customWidth="1"/>
    <col min="6656" max="6656" width="16" customWidth="1"/>
    <col min="6657" max="6657" width="15.4609375" customWidth="1"/>
    <col min="6658" max="6658" width="14.4609375" customWidth="1"/>
    <col min="6659" max="6659" width="10.4609375" customWidth="1"/>
    <col min="6660" max="6660" width="7.4609375" customWidth="1"/>
    <col min="6661" max="6661" width="10.07421875" customWidth="1"/>
    <col min="6662" max="6663" width="10.53515625" customWidth="1"/>
    <col min="6664" max="6664" width="8.4609375" bestFit="1" customWidth="1"/>
    <col min="6665" max="6665" width="7" bestFit="1" customWidth="1"/>
    <col min="6666" max="6666" width="10" bestFit="1" customWidth="1"/>
    <col min="6667" max="6667" width="11.07421875" bestFit="1" customWidth="1"/>
    <col min="6668" max="6668" width="8.53515625" bestFit="1" customWidth="1"/>
    <col min="6669" max="6670" width="7.53515625" bestFit="1" customWidth="1"/>
    <col min="6671" max="6671" width="7.53515625" customWidth="1"/>
    <col min="6672" max="6672" width="8" bestFit="1" customWidth="1"/>
    <col min="6673" max="6673" width="7.53515625" bestFit="1" customWidth="1"/>
    <col min="6674" max="6674" width="6.4609375" bestFit="1" customWidth="1"/>
    <col min="6909" max="6909" width="6.4609375" bestFit="1" customWidth="1"/>
    <col min="6910" max="6910" width="12.53515625" customWidth="1"/>
    <col min="6911" max="6911" width="10" customWidth="1"/>
    <col min="6912" max="6912" width="16" customWidth="1"/>
    <col min="6913" max="6913" width="15.4609375" customWidth="1"/>
    <col min="6914" max="6914" width="14.4609375" customWidth="1"/>
    <col min="6915" max="6915" width="10.4609375" customWidth="1"/>
    <col min="6916" max="6916" width="7.4609375" customWidth="1"/>
    <col min="6917" max="6917" width="10.07421875" customWidth="1"/>
    <col min="6918" max="6919" width="10.53515625" customWidth="1"/>
    <col min="6920" max="6920" width="8.4609375" bestFit="1" customWidth="1"/>
    <col min="6921" max="6921" width="7" bestFit="1" customWidth="1"/>
    <col min="6922" max="6922" width="10" bestFit="1" customWidth="1"/>
    <col min="6923" max="6923" width="11.07421875" bestFit="1" customWidth="1"/>
    <col min="6924" max="6924" width="8.53515625" bestFit="1" customWidth="1"/>
    <col min="6925" max="6926" width="7.53515625" bestFit="1" customWidth="1"/>
    <col min="6927" max="6927" width="7.53515625" customWidth="1"/>
    <col min="6928" max="6928" width="8" bestFit="1" customWidth="1"/>
    <col min="6929" max="6929" width="7.53515625" bestFit="1" customWidth="1"/>
    <col min="6930" max="6930" width="6.4609375" bestFit="1" customWidth="1"/>
    <col min="7165" max="7165" width="6.4609375" bestFit="1" customWidth="1"/>
    <col min="7166" max="7166" width="12.53515625" customWidth="1"/>
    <col min="7167" max="7167" width="10" customWidth="1"/>
    <col min="7168" max="7168" width="16" customWidth="1"/>
    <col min="7169" max="7169" width="15.4609375" customWidth="1"/>
    <col min="7170" max="7170" width="14.4609375" customWidth="1"/>
    <col min="7171" max="7171" width="10.4609375" customWidth="1"/>
    <col min="7172" max="7172" width="7.4609375" customWidth="1"/>
    <col min="7173" max="7173" width="10.07421875" customWidth="1"/>
    <col min="7174" max="7175" width="10.53515625" customWidth="1"/>
    <col min="7176" max="7176" width="8.4609375" bestFit="1" customWidth="1"/>
    <col min="7177" max="7177" width="7" bestFit="1" customWidth="1"/>
    <col min="7178" max="7178" width="10" bestFit="1" customWidth="1"/>
    <col min="7179" max="7179" width="11.07421875" bestFit="1" customWidth="1"/>
    <col min="7180" max="7180" width="8.53515625" bestFit="1" customWidth="1"/>
    <col min="7181" max="7182" width="7.53515625" bestFit="1" customWidth="1"/>
    <col min="7183" max="7183" width="7.53515625" customWidth="1"/>
    <col min="7184" max="7184" width="8" bestFit="1" customWidth="1"/>
    <col min="7185" max="7185" width="7.53515625" bestFit="1" customWidth="1"/>
    <col min="7186" max="7186" width="6.4609375" bestFit="1" customWidth="1"/>
    <col min="7421" max="7421" width="6.4609375" bestFit="1" customWidth="1"/>
    <col min="7422" max="7422" width="12.53515625" customWidth="1"/>
    <col min="7423" max="7423" width="10" customWidth="1"/>
    <col min="7424" max="7424" width="16" customWidth="1"/>
    <col min="7425" max="7425" width="15.4609375" customWidth="1"/>
    <col min="7426" max="7426" width="14.4609375" customWidth="1"/>
    <col min="7427" max="7427" width="10.4609375" customWidth="1"/>
    <col min="7428" max="7428" width="7.4609375" customWidth="1"/>
    <col min="7429" max="7429" width="10.07421875" customWidth="1"/>
    <col min="7430" max="7431" width="10.53515625" customWidth="1"/>
    <col min="7432" max="7432" width="8.4609375" bestFit="1" customWidth="1"/>
    <col min="7433" max="7433" width="7" bestFit="1" customWidth="1"/>
    <col min="7434" max="7434" width="10" bestFit="1" customWidth="1"/>
    <col min="7435" max="7435" width="11.07421875" bestFit="1" customWidth="1"/>
    <col min="7436" max="7436" width="8.53515625" bestFit="1" customWidth="1"/>
    <col min="7437" max="7438" width="7.53515625" bestFit="1" customWidth="1"/>
    <col min="7439" max="7439" width="7.53515625" customWidth="1"/>
    <col min="7440" max="7440" width="8" bestFit="1" customWidth="1"/>
    <col min="7441" max="7441" width="7.53515625" bestFit="1" customWidth="1"/>
    <col min="7442" max="7442" width="6.4609375" bestFit="1" customWidth="1"/>
    <col min="7677" max="7677" width="6.4609375" bestFit="1" customWidth="1"/>
    <col min="7678" max="7678" width="12.53515625" customWidth="1"/>
    <col min="7679" max="7679" width="10" customWidth="1"/>
    <col min="7680" max="7680" width="16" customWidth="1"/>
    <col min="7681" max="7681" width="15.4609375" customWidth="1"/>
    <col min="7682" max="7682" width="14.4609375" customWidth="1"/>
    <col min="7683" max="7683" width="10.4609375" customWidth="1"/>
    <col min="7684" max="7684" width="7.4609375" customWidth="1"/>
    <col min="7685" max="7685" width="10.07421875" customWidth="1"/>
    <col min="7686" max="7687" width="10.53515625" customWidth="1"/>
    <col min="7688" max="7688" width="8.4609375" bestFit="1" customWidth="1"/>
    <col min="7689" max="7689" width="7" bestFit="1" customWidth="1"/>
    <col min="7690" max="7690" width="10" bestFit="1" customWidth="1"/>
    <col min="7691" max="7691" width="11.07421875" bestFit="1" customWidth="1"/>
    <col min="7692" max="7692" width="8.53515625" bestFit="1" customWidth="1"/>
    <col min="7693" max="7694" width="7.53515625" bestFit="1" customWidth="1"/>
    <col min="7695" max="7695" width="7.53515625" customWidth="1"/>
    <col min="7696" max="7696" width="8" bestFit="1" customWidth="1"/>
    <col min="7697" max="7697" width="7.53515625" bestFit="1" customWidth="1"/>
    <col min="7698" max="7698" width="6.4609375" bestFit="1" customWidth="1"/>
    <col min="7933" max="7933" width="6.4609375" bestFit="1" customWidth="1"/>
    <col min="7934" max="7934" width="12.53515625" customWidth="1"/>
    <col min="7935" max="7935" width="10" customWidth="1"/>
    <col min="7936" max="7936" width="16" customWidth="1"/>
    <col min="7937" max="7937" width="15.4609375" customWidth="1"/>
    <col min="7938" max="7938" width="14.4609375" customWidth="1"/>
    <col min="7939" max="7939" width="10.4609375" customWidth="1"/>
    <col min="7940" max="7940" width="7.4609375" customWidth="1"/>
    <col min="7941" max="7941" width="10.07421875" customWidth="1"/>
    <col min="7942" max="7943" width="10.53515625" customWidth="1"/>
    <col min="7944" max="7944" width="8.4609375" bestFit="1" customWidth="1"/>
    <col min="7945" max="7945" width="7" bestFit="1" customWidth="1"/>
    <col min="7946" max="7946" width="10" bestFit="1" customWidth="1"/>
    <col min="7947" max="7947" width="11.07421875" bestFit="1" customWidth="1"/>
    <col min="7948" max="7948" width="8.53515625" bestFit="1" customWidth="1"/>
    <col min="7949" max="7950" width="7.53515625" bestFit="1" customWidth="1"/>
    <col min="7951" max="7951" width="7.53515625" customWidth="1"/>
    <col min="7952" max="7952" width="8" bestFit="1" customWidth="1"/>
    <col min="7953" max="7953" width="7.53515625" bestFit="1" customWidth="1"/>
    <col min="7954" max="7954" width="6.4609375" bestFit="1" customWidth="1"/>
    <col min="8189" max="8189" width="6.4609375" bestFit="1" customWidth="1"/>
    <col min="8190" max="8190" width="12.53515625" customWidth="1"/>
    <col min="8191" max="8191" width="10" customWidth="1"/>
    <col min="8192" max="8192" width="16" customWidth="1"/>
    <col min="8193" max="8193" width="15.4609375" customWidth="1"/>
    <col min="8194" max="8194" width="14.4609375" customWidth="1"/>
    <col min="8195" max="8195" width="10.4609375" customWidth="1"/>
    <col min="8196" max="8196" width="7.4609375" customWidth="1"/>
    <col min="8197" max="8197" width="10.07421875" customWidth="1"/>
    <col min="8198" max="8199" width="10.53515625" customWidth="1"/>
    <col min="8200" max="8200" width="8.4609375" bestFit="1" customWidth="1"/>
    <col min="8201" max="8201" width="7" bestFit="1" customWidth="1"/>
    <col min="8202" max="8202" width="10" bestFit="1" customWidth="1"/>
    <col min="8203" max="8203" width="11.07421875" bestFit="1" customWidth="1"/>
    <col min="8204" max="8204" width="8.53515625" bestFit="1" customWidth="1"/>
    <col min="8205" max="8206" width="7.53515625" bestFit="1" customWidth="1"/>
    <col min="8207" max="8207" width="7.53515625" customWidth="1"/>
    <col min="8208" max="8208" width="8" bestFit="1" customWidth="1"/>
    <col min="8209" max="8209" width="7.53515625" bestFit="1" customWidth="1"/>
    <col min="8210" max="8210" width="6.4609375" bestFit="1" customWidth="1"/>
    <col min="8445" max="8445" width="6.4609375" bestFit="1" customWidth="1"/>
    <col min="8446" max="8446" width="12.53515625" customWidth="1"/>
    <col min="8447" max="8447" width="10" customWidth="1"/>
    <col min="8448" max="8448" width="16" customWidth="1"/>
    <col min="8449" max="8449" width="15.4609375" customWidth="1"/>
    <col min="8450" max="8450" width="14.4609375" customWidth="1"/>
    <col min="8451" max="8451" width="10.4609375" customWidth="1"/>
    <col min="8452" max="8452" width="7.4609375" customWidth="1"/>
    <col min="8453" max="8453" width="10.07421875" customWidth="1"/>
    <col min="8454" max="8455" width="10.53515625" customWidth="1"/>
    <col min="8456" max="8456" width="8.4609375" bestFit="1" customWidth="1"/>
    <col min="8457" max="8457" width="7" bestFit="1" customWidth="1"/>
    <col min="8458" max="8458" width="10" bestFit="1" customWidth="1"/>
    <col min="8459" max="8459" width="11.07421875" bestFit="1" customWidth="1"/>
    <col min="8460" max="8460" width="8.53515625" bestFit="1" customWidth="1"/>
    <col min="8461" max="8462" width="7.53515625" bestFit="1" customWidth="1"/>
    <col min="8463" max="8463" width="7.53515625" customWidth="1"/>
    <col min="8464" max="8464" width="8" bestFit="1" customWidth="1"/>
    <col min="8465" max="8465" width="7.53515625" bestFit="1" customWidth="1"/>
    <col min="8466" max="8466" width="6.4609375" bestFit="1" customWidth="1"/>
    <col min="8701" max="8701" width="6.4609375" bestFit="1" customWidth="1"/>
    <col min="8702" max="8702" width="12.53515625" customWidth="1"/>
    <col min="8703" max="8703" width="10" customWidth="1"/>
    <col min="8704" max="8704" width="16" customWidth="1"/>
    <col min="8705" max="8705" width="15.4609375" customWidth="1"/>
    <col min="8706" max="8706" width="14.4609375" customWidth="1"/>
    <col min="8707" max="8707" width="10.4609375" customWidth="1"/>
    <col min="8708" max="8708" width="7.4609375" customWidth="1"/>
    <col min="8709" max="8709" width="10.07421875" customWidth="1"/>
    <col min="8710" max="8711" width="10.53515625" customWidth="1"/>
    <col min="8712" max="8712" width="8.4609375" bestFit="1" customWidth="1"/>
    <col min="8713" max="8713" width="7" bestFit="1" customWidth="1"/>
    <col min="8714" max="8714" width="10" bestFit="1" customWidth="1"/>
    <col min="8715" max="8715" width="11.07421875" bestFit="1" customWidth="1"/>
    <col min="8716" max="8716" width="8.53515625" bestFit="1" customWidth="1"/>
    <col min="8717" max="8718" width="7.53515625" bestFit="1" customWidth="1"/>
    <col min="8719" max="8719" width="7.53515625" customWidth="1"/>
    <col min="8720" max="8720" width="8" bestFit="1" customWidth="1"/>
    <col min="8721" max="8721" width="7.53515625" bestFit="1" customWidth="1"/>
    <col min="8722" max="8722" width="6.4609375" bestFit="1" customWidth="1"/>
    <col min="8957" max="8957" width="6.4609375" bestFit="1" customWidth="1"/>
    <col min="8958" max="8958" width="12.53515625" customWidth="1"/>
    <col min="8959" max="8959" width="10" customWidth="1"/>
    <col min="8960" max="8960" width="16" customWidth="1"/>
    <col min="8961" max="8961" width="15.4609375" customWidth="1"/>
    <col min="8962" max="8962" width="14.4609375" customWidth="1"/>
    <col min="8963" max="8963" width="10.4609375" customWidth="1"/>
    <col min="8964" max="8964" width="7.4609375" customWidth="1"/>
    <col min="8965" max="8965" width="10.07421875" customWidth="1"/>
    <col min="8966" max="8967" width="10.53515625" customWidth="1"/>
    <col min="8968" max="8968" width="8.4609375" bestFit="1" customWidth="1"/>
    <col min="8969" max="8969" width="7" bestFit="1" customWidth="1"/>
    <col min="8970" max="8970" width="10" bestFit="1" customWidth="1"/>
    <col min="8971" max="8971" width="11.07421875" bestFit="1" customWidth="1"/>
    <col min="8972" max="8972" width="8.53515625" bestFit="1" customWidth="1"/>
    <col min="8973" max="8974" width="7.53515625" bestFit="1" customWidth="1"/>
    <col min="8975" max="8975" width="7.53515625" customWidth="1"/>
    <col min="8976" max="8976" width="8" bestFit="1" customWidth="1"/>
    <col min="8977" max="8977" width="7.53515625" bestFit="1" customWidth="1"/>
    <col min="8978" max="8978" width="6.4609375" bestFit="1" customWidth="1"/>
    <col min="9213" max="9213" width="6.4609375" bestFit="1" customWidth="1"/>
    <col min="9214" max="9214" width="12.53515625" customWidth="1"/>
    <col min="9215" max="9215" width="10" customWidth="1"/>
    <col min="9216" max="9216" width="16" customWidth="1"/>
    <col min="9217" max="9217" width="15.4609375" customWidth="1"/>
    <col min="9218" max="9218" width="14.4609375" customWidth="1"/>
    <col min="9219" max="9219" width="10.4609375" customWidth="1"/>
    <col min="9220" max="9220" width="7.4609375" customWidth="1"/>
    <col min="9221" max="9221" width="10.07421875" customWidth="1"/>
    <col min="9222" max="9223" width="10.53515625" customWidth="1"/>
    <col min="9224" max="9224" width="8.4609375" bestFit="1" customWidth="1"/>
    <col min="9225" max="9225" width="7" bestFit="1" customWidth="1"/>
    <col min="9226" max="9226" width="10" bestFit="1" customWidth="1"/>
    <col min="9227" max="9227" width="11.07421875" bestFit="1" customWidth="1"/>
    <col min="9228" max="9228" width="8.53515625" bestFit="1" customWidth="1"/>
    <col min="9229" max="9230" width="7.53515625" bestFit="1" customWidth="1"/>
    <col min="9231" max="9231" width="7.53515625" customWidth="1"/>
    <col min="9232" max="9232" width="8" bestFit="1" customWidth="1"/>
    <col min="9233" max="9233" width="7.53515625" bestFit="1" customWidth="1"/>
    <col min="9234" max="9234" width="6.4609375" bestFit="1" customWidth="1"/>
    <col min="9469" max="9469" width="6.4609375" bestFit="1" customWidth="1"/>
    <col min="9470" max="9470" width="12.53515625" customWidth="1"/>
    <col min="9471" max="9471" width="10" customWidth="1"/>
    <col min="9472" max="9472" width="16" customWidth="1"/>
    <col min="9473" max="9473" width="15.4609375" customWidth="1"/>
    <col min="9474" max="9474" width="14.4609375" customWidth="1"/>
    <col min="9475" max="9475" width="10.4609375" customWidth="1"/>
    <col min="9476" max="9476" width="7.4609375" customWidth="1"/>
    <col min="9477" max="9477" width="10.07421875" customWidth="1"/>
    <col min="9478" max="9479" width="10.53515625" customWidth="1"/>
    <col min="9480" max="9480" width="8.4609375" bestFit="1" customWidth="1"/>
    <col min="9481" max="9481" width="7" bestFit="1" customWidth="1"/>
    <col min="9482" max="9482" width="10" bestFit="1" customWidth="1"/>
    <col min="9483" max="9483" width="11.07421875" bestFit="1" customWidth="1"/>
    <col min="9484" max="9484" width="8.53515625" bestFit="1" customWidth="1"/>
    <col min="9485" max="9486" width="7.53515625" bestFit="1" customWidth="1"/>
    <col min="9487" max="9487" width="7.53515625" customWidth="1"/>
    <col min="9488" max="9488" width="8" bestFit="1" customWidth="1"/>
    <col min="9489" max="9489" width="7.53515625" bestFit="1" customWidth="1"/>
    <col min="9490" max="9490" width="6.4609375" bestFit="1" customWidth="1"/>
    <col min="9725" max="9725" width="6.4609375" bestFit="1" customWidth="1"/>
    <col min="9726" max="9726" width="12.53515625" customWidth="1"/>
    <col min="9727" max="9727" width="10" customWidth="1"/>
    <col min="9728" max="9728" width="16" customWidth="1"/>
    <col min="9729" max="9729" width="15.4609375" customWidth="1"/>
    <col min="9730" max="9730" width="14.4609375" customWidth="1"/>
    <col min="9731" max="9731" width="10.4609375" customWidth="1"/>
    <col min="9732" max="9732" width="7.4609375" customWidth="1"/>
    <col min="9733" max="9733" width="10.07421875" customWidth="1"/>
    <col min="9734" max="9735" width="10.53515625" customWidth="1"/>
    <col min="9736" max="9736" width="8.4609375" bestFit="1" customWidth="1"/>
    <col min="9737" max="9737" width="7" bestFit="1" customWidth="1"/>
    <col min="9738" max="9738" width="10" bestFit="1" customWidth="1"/>
    <col min="9739" max="9739" width="11.07421875" bestFit="1" customWidth="1"/>
    <col min="9740" max="9740" width="8.53515625" bestFit="1" customWidth="1"/>
    <col min="9741" max="9742" width="7.53515625" bestFit="1" customWidth="1"/>
    <col min="9743" max="9743" width="7.53515625" customWidth="1"/>
    <col min="9744" max="9744" width="8" bestFit="1" customWidth="1"/>
    <col min="9745" max="9745" width="7.53515625" bestFit="1" customWidth="1"/>
    <col min="9746" max="9746" width="6.4609375" bestFit="1" customWidth="1"/>
    <col min="9981" max="9981" width="6.4609375" bestFit="1" customWidth="1"/>
    <col min="9982" max="9982" width="12.53515625" customWidth="1"/>
    <col min="9983" max="9983" width="10" customWidth="1"/>
    <col min="9984" max="9984" width="16" customWidth="1"/>
    <col min="9985" max="9985" width="15.4609375" customWidth="1"/>
    <col min="9986" max="9986" width="14.4609375" customWidth="1"/>
    <col min="9987" max="9987" width="10.4609375" customWidth="1"/>
    <col min="9988" max="9988" width="7.4609375" customWidth="1"/>
    <col min="9989" max="9989" width="10.07421875" customWidth="1"/>
    <col min="9990" max="9991" width="10.53515625" customWidth="1"/>
    <col min="9992" max="9992" width="8.4609375" bestFit="1" customWidth="1"/>
    <col min="9993" max="9993" width="7" bestFit="1" customWidth="1"/>
    <col min="9994" max="9994" width="10" bestFit="1" customWidth="1"/>
    <col min="9995" max="9995" width="11.07421875" bestFit="1" customWidth="1"/>
    <col min="9996" max="9996" width="8.53515625" bestFit="1" customWidth="1"/>
    <col min="9997" max="9998" width="7.53515625" bestFit="1" customWidth="1"/>
    <col min="9999" max="9999" width="7.53515625" customWidth="1"/>
    <col min="10000" max="10000" width="8" bestFit="1" customWidth="1"/>
    <col min="10001" max="10001" width="7.53515625" bestFit="1" customWidth="1"/>
    <col min="10002" max="10002" width="6.4609375" bestFit="1" customWidth="1"/>
    <col min="10237" max="10237" width="6.4609375" bestFit="1" customWidth="1"/>
    <col min="10238" max="10238" width="12.53515625" customWidth="1"/>
    <col min="10239" max="10239" width="10" customWidth="1"/>
    <col min="10240" max="10240" width="16" customWidth="1"/>
    <col min="10241" max="10241" width="15.4609375" customWidth="1"/>
    <col min="10242" max="10242" width="14.4609375" customWidth="1"/>
    <col min="10243" max="10243" width="10.4609375" customWidth="1"/>
    <col min="10244" max="10244" width="7.4609375" customWidth="1"/>
    <col min="10245" max="10245" width="10.07421875" customWidth="1"/>
    <col min="10246" max="10247" width="10.53515625" customWidth="1"/>
    <col min="10248" max="10248" width="8.4609375" bestFit="1" customWidth="1"/>
    <col min="10249" max="10249" width="7" bestFit="1" customWidth="1"/>
    <col min="10250" max="10250" width="10" bestFit="1" customWidth="1"/>
    <col min="10251" max="10251" width="11.07421875" bestFit="1" customWidth="1"/>
    <col min="10252" max="10252" width="8.53515625" bestFit="1" customWidth="1"/>
    <col min="10253" max="10254" width="7.53515625" bestFit="1" customWidth="1"/>
    <col min="10255" max="10255" width="7.53515625" customWidth="1"/>
    <col min="10256" max="10256" width="8" bestFit="1" customWidth="1"/>
    <col min="10257" max="10257" width="7.53515625" bestFit="1" customWidth="1"/>
    <col min="10258" max="10258" width="6.4609375" bestFit="1" customWidth="1"/>
    <col min="10493" max="10493" width="6.4609375" bestFit="1" customWidth="1"/>
    <col min="10494" max="10494" width="12.53515625" customWidth="1"/>
    <col min="10495" max="10495" width="10" customWidth="1"/>
    <col min="10496" max="10496" width="16" customWidth="1"/>
    <col min="10497" max="10497" width="15.4609375" customWidth="1"/>
    <col min="10498" max="10498" width="14.4609375" customWidth="1"/>
    <col min="10499" max="10499" width="10.4609375" customWidth="1"/>
    <col min="10500" max="10500" width="7.4609375" customWidth="1"/>
    <col min="10501" max="10501" width="10.07421875" customWidth="1"/>
    <col min="10502" max="10503" width="10.53515625" customWidth="1"/>
    <col min="10504" max="10504" width="8.4609375" bestFit="1" customWidth="1"/>
    <col min="10505" max="10505" width="7" bestFit="1" customWidth="1"/>
    <col min="10506" max="10506" width="10" bestFit="1" customWidth="1"/>
    <col min="10507" max="10507" width="11.07421875" bestFit="1" customWidth="1"/>
    <col min="10508" max="10508" width="8.53515625" bestFit="1" customWidth="1"/>
    <col min="10509" max="10510" width="7.53515625" bestFit="1" customWidth="1"/>
    <col min="10511" max="10511" width="7.53515625" customWidth="1"/>
    <col min="10512" max="10512" width="8" bestFit="1" customWidth="1"/>
    <col min="10513" max="10513" width="7.53515625" bestFit="1" customWidth="1"/>
    <col min="10514" max="10514" width="6.4609375" bestFit="1" customWidth="1"/>
    <col min="10749" max="10749" width="6.4609375" bestFit="1" customWidth="1"/>
    <col min="10750" max="10750" width="12.53515625" customWidth="1"/>
    <col min="10751" max="10751" width="10" customWidth="1"/>
    <col min="10752" max="10752" width="16" customWidth="1"/>
    <col min="10753" max="10753" width="15.4609375" customWidth="1"/>
    <col min="10754" max="10754" width="14.4609375" customWidth="1"/>
    <col min="10755" max="10755" width="10.4609375" customWidth="1"/>
    <col min="10756" max="10756" width="7.4609375" customWidth="1"/>
    <col min="10757" max="10757" width="10.07421875" customWidth="1"/>
    <col min="10758" max="10759" width="10.53515625" customWidth="1"/>
    <col min="10760" max="10760" width="8.4609375" bestFit="1" customWidth="1"/>
    <col min="10761" max="10761" width="7" bestFit="1" customWidth="1"/>
    <col min="10762" max="10762" width="10" bestFit="1" customWidth="1"/>
    <col min="10763" max="10763" width="11.07421875" bestFit="1" customWidth="1"/>
    <col min="10764" max="10764" width="8.53515625" bestFit="1" customWidth="1"/>
    <col min="10765" max="10766" width="7.53515625" bestFit="1" customWidth="1"/>
    <col min="10767" max="10767" width="7.53515625" customWidth="1"/>
    <col min="10768" max="10768" width="8" bestFit="1" customWidth="1"/>
    <col min="10769" max="10769" width="7.53515625" bestFit="1" customWidth="1"/>
    <col min="10770" max="10770" width="6.4609375" bestFit="1" customWidth="1"/>
    <col min="11005" max="11005" width="6.4609375" bestFit="1" customWidth="1"/>
    <col min="11006" max="11006" width="12.53515625" customWidth="1"/>
    <col min="11007" max="11007" width="10" customWidth="1"/>
    <col min="11008" max="11008" width="16" customWidth="1"/>
    <col min="11009" max="11009" width="15.4609375" customWidth="1"/>
    <col min="11010" max="11010" width="14.4609375" customWidth="1"/>
    <col min="11011" max="11011" width="10.4609375" customWidth="1"/>
    <col min="11012" max="11012" width="7.4609375" customWidth="1"/>
    <col min="11013" max="11013" width="10.07421875" customWidth="1"/>
    <col min="11014" max="11015" width="10.53515625" customWidth="1"/>
    <col min="11016" max="11016" width="8.4609375" bestFit="1" customWidth="1"/>
    <col min="11017" max="11017" width="7" bestFit="1" customWidth="1"/>
    <col min="11018" max="11018" width="10" bestFit="1" customWidth="1"/>
    <col min="11019" max="11019" width="11.07421875" bestFit="1" customWidth="1"/>
    <col min="11020" max="11020" width="8.53515625" bestFit="1" customWidth="1"/>
    <col min="11021" max="11022" width="7.53515625" bestFit="1" customWidth="1"/>
    <col min="11023" max="11023" width="7.53515625" customWidth="1"/>
    <col min="11024" max="11024" width="8" bestFit="1" customWidth="1"/>
    <col min="11025" max="11025" width="7.53515625" bestFit="1" customWidth="1"/>
    <col min="11026" max="11026" width="6.4609375" bestFit="1" customWidth="1"/>
    <col min="11261" max="11261" width="6.4609375" bestFit="1" customWidth="1"/>
    <col min="11262" max="11262" width="12.53515625" customWidth="1"/>
    <col min="11263" max="11263" width="10" customWidth="1"/>
    <col min="11264" max="11264" width="16" customWidth="1"/>
    <col min="11265" max="11265" width="15.4609375" customWidth="1"/>
    <col min="11266" max="11266" width="14.4609375" customWidth="1"/>
    <col min="11267" max="11267" width="10.4609375" customWidth="1"/>
    <col min="11268" max="11268" width="7.4609375" customWidth="1"/>
    <col min="11269" max="11269" width="10.07421875" customWidth="1"/>
    <col min="11270" max="11271" width="10.53515625" customWidth="1"/>
    <col min="11272" max="11272" width="8.4609375" bestFit="1" customWidth="1"/>
    <col min="11273" max="11273" width="7" bestFit="1" customWidth="1"/>
    <col min="11274" max="11274" width="10" bestFit="1" customWidth="1"/>
    <col min="11275" max="11275" width="11.07421875" bestFit="1" customWidth="1"/>
    <col min="11276" max="11276" width="8.53515625" bestFit="1" customWidth="1"/>
    <col min="11277" max="11278" width="7.53515625" bestFit="1" customWidth="1"/>
    <col min="11279" max="11279" width="7.53515625" customWidth="1"/>
    <col min="11280" max="11280" width="8" bestFit="1" customWidth="1"/>
    <col min="11281" max="11281" width="7.53515625" bestFit="1" customWidth="1"/>
    <col min="11282" max="11282" width="6.4609375" bestFit="1" customWidth="1"/>
    <col min="11517" max="11517" width="6.4609375" bestFit="1" customWidth="1"/>
    <col min="11518" max="11518" width="12.53515625" customWidth="1"/>
    <col min="11519" max="11519" width="10" customWidth="1"/>
    <col min="11520" max="11520" width="16" customWidth="1"/>
    <col min="11521" max="11521" width="15.4609375" customWidth="1"/>
    <col min="11522" max="11522" width="14.4609375" customWidth="1"/>
    <col min="11523" max="11523" width="10.4609375" customWidth="1"/>
    <col min="11524" max="11524" width="7.4609375" customWidth="1"/>
    <col min="11525" max="11525" width="10.07421875" customWidth="1"/>
    <col min="11526" max="11527" width="10.53515625" customWidth="1"/>
    <col min="11528" max="11528" width="8.4609375" bestFit="1" customWidth="1"/>
    <col min="11529" max="11529" width="7" bestFit="1" customWidth="1"/>
    <col min="11530" max="11530" width="10" bestFit="1" customWidth="1"/>
    <col min="11531" max="11531" width="11.07421875" bestFit="1" customWidth="1"/>
    <col min="11532" max="11532" width="8.53515625" bestFit="1" customWidth="1"/>
    <col min="11533" max="11534" width="7.53515625" bestFit="1" customWidth="1"/>
    <col min="11535" max="11535" width="7.53515625" customWidth="1"/>
    <col min="11536" max="11536" width="8" bestFit="1" customWidth="1"/>
    <col min="11537" max="11537" width="7.53515625" bestFit="1" customWidth="1"/>
    <col min="11538" max="11538" width="6.4609375" bestFit="1" customWidth="1"/>
    <col min="11773" max="11773" width="6.4609375" bestFit="1" customWidth="1"/>
    <col min="11774" max="11774" width="12.53515625" customWidth="1"/>
    <col min="11775" max="11775" width="10" customWidth="1"/>
    <col min="11776" max="11776" width="16" customWidth="1"/>
    <col min="11777" max="11777" width="15.4609375" customWidth="1"/>
    <col min="11778" max="11778" width="14.4609375" customWidth="1"/>
    <col min="11779" max="11779" width="10.4609375" customWidth="1"/>
    <col min="11780" max="11780" width="7.4609375" customWidth="1"/>
    <col min="11781" max="11781" width="10.07421875" customWidth="1"/>
    <col min="11782" max="11783" width="10.53515625" customWidth="1"/>
    <col min="11784" max="11784" width="8.4609375" bestFit="1" customWidth="1"/>
    <col min="11785" max="11785" width="7" bestFit="1" customWidth="1"/>
    <col min="11786" max="11786" width="10" bestFit="1" customWidth="1"/>
    <col min="11787" max="11787" width="11.07421875" bestFit="1" customWidth="1"/>
    <col min="11788" max="11788" width="8.53515625" bestFit="1" customWidth="1"/>
    <col min="11789" max="11790" width="7.53515625" bestFit="1" customWidth="1"/>
    <col min="11791" max="11791" width="7.53515625" customWidth="1"/>
    <col min="11792" max="11792" width="8" bestFit="1" customWidth="1"/>
    <col min="11793" max="11793" width="7.53515625" bestFit="1" customWidth="1"/>
    <col min="11794" max="11794" width="6.4609375" bestFit="1" customWidth="1"/>
    <col min="12029" max="12029" width="6.4609375" bestFit="1" customWidth="1"/>
    <col min="12030" max="12030" width="12.53515625" customWidth="1"/>
    <col min="12031" max="12031" width="10" customWidth="1"/>
    <col min="12032" max="12032" width="16" customWidth="1"/>
    <col min="12033" max="12033" width="15.4609375" customWidth="1"/>
    <col min="12034" max="12034" width="14.4609375" customWidth="1"/>
    <col min="12035" max="12035" width="10.4609375" customWidth="1"/>
    <col min="12036" max="12036" width="7.4609375" customWidth="1"/>
    <col min="12037" max="12037" width="10.07421875" customWidth="1"/>
    <col min="12038" max="12039" width="10.53515625" customWidth="1"/>
    <col min="12040" max="12040" width="8.4609375" bestFit="1" customWidth="1"/>
    <col min="12041" max="12041" width="7" bestFit="1" customWidth="1"/>
    <col min="12042" max="12042" width="10" bestFit="1" customWidth="1"/>
    <col min="12043" max="12043" width="11.07421875" bestFit="1" customWidth="1"/>
    <col min="12044" max="12044" width="8.53515625" bestFit="1" customWidth="1"/>
    <col min="12045" max="12046" width="7.53515625" bestFit="1" customWidth="1"/>
    <col min="12047" max="12047" width="7.53515625" customWidth="1"/>
    <col min="12048" max="12048" width="8" bestFit="1" customWidth="1"/>
    <col min="12049" max="12049" width="7.53515625" bestFit="1" customWidth="1"/>
    <col min="12050" max="12050" width="6.4609375" bestFit="1" customWidth="1"/>
    <col min="12285" max="12285" width="6.4609375" bestFit="1" customWidth="1"/>
    <col min="12286" max="12286" width="12.53515625" customWidth="1"/>
    <col min="12287" max="12287" width="10" customWidth="1"/>
    <col min="12288" max="12288" width="16" customWidth="1"/>
    <col min="12289" max="12289" width="15.4609375" customWidth="1"/>
    <col min="12290" max="12290" width="14.4609375" customWidth="1"/>
    <col min="12291" max="12291" width="10.4609375" customWidth="1"/>
    <col min="12292" max="12292" width="7.4609375" customWidth="1"/>
    <col min="12293" max="12293" width="10.07421875" customWidth="1"/>
    <col min="12294" max="12295" width="10.53515625" customWidth="1"/>
    <col min="12296" max="12296" width="8.4609375" bestFit="1" customWidth="1"/>
    <col min="12297" max="12297" width="7" bestFit="1" customWidth="1"/>
    <col min="12298" max="12298" width="10" bestFit="1" customWidth="1"/>
    <col min="12299" max="12299" width="11.07421875" bestFit="1" customWidth="1"/>
    <col min="12300" max="12300" width="8.53515625" bestFit="1" customWidth="1"/>
    <col min="12301" max="12302" width="7.53515625" bestFit="1" customWidth="1"/>
    <col min="12303" max="12303" width="7.53515625" customWidth="1"/>
    <col min="12304" max="12304" width="8" bestFit="1" customWidth="1"/>
    <col min="12305" max="12305" width="7.53515625" bestFit="1" customWidth="1"/>
    <col min="12306" max="12306" width="6.4609375" bestFit="1" customWidth="1"/>
    <col min="12541" max="12541" width="6.4609375" bestFit="1" customWidth="1"/>
    <col min="12542" max="12542" width="12.53515625" customWidth="1"/>
    <col min="12543" max="12543" width="10" customWidth="1"/>
    <col min="12544" max="12544" width="16" customWidth="1"/>
    <col min="12545" max="12545" width="15.4609375" customWidth="1"/>
    <col min="12546" max="12546" width="14.4609375" customWidth="1"/>
    <col min="12547" max="12547" width="10.4609375" customWidth="1"/>
    <col min="12548" max="12548" width="7.4609375" customWidth="1"/>
    <col min="12549" max="12549" width="10.07421875" customWidth="1"/>
    <col min="12550" max="12551" width="10.53515625" customWidth="1"/>
    <col min="12552" max="12552" width="8.4609375" bestFit="1" customWidth="1"/>
    <col min="12553" max="12553" width="7" bestFit="1" customWidth="1"/>
    <col min="12554" max="12554" width="10" bestFit="1" customWidth="1"/>
    <col min="12555" max="12555" width="11.07421875" bestFit="1" customWidth="1"/>
    <col min="12556" max="12556" width="8.53515625" bestFit="1" customWidth="1"/>
    <col min="12557" max="12558" width="7.53515625" bestFit="1" customWidth="1"/>
    <col min="12559" max="12559" width="7.53515625" customWidth="1"/>
    <col min="12560" max="12560" width="8" bestFit="1" customWidth="1"/>
    <col min="12561" max="12561" width="7.53515625" bestFit="1" customWidth="1"/>
    <col min="12562" max="12562" width="6.4609375" bestFit="1" customWidth="1"/>
    <col min="12797" max="12797" width="6.4609375" bestFit="1" customWidth="1"/>
    <col min="12798" max="12798" width="12.53515625" customWidth="1"/>
    <col min="12799" max="12799" width="10" customWidth="1"/>
    <col min="12800" max="12800" width="16" customWidth="1"/>
    <col min="12801" max="12801" width="15.4609375" customWidth="1"/>
    <col min="12802" max="12802" width="14.4609375" customWidth="1"/>
    <col min="12803" max="12803" width="10.4609375" customWidth="1"/>
    <col min="12804" max="12804" width="7.4609375" customWidth="1"/>
    <col min="12805" max="12805" width="10.07421875" customWidth="1"/>
    <col min="12806" max="12807" width="10.53515625" customWidth="1"/>
    <col min="12808" max="12808" width="8.4609375" bestFit="1" customWidth="1"/>
    <col min="12809" max="12809" width="7" bestFit="1" customWidth="1"/>
    <col min="12810" max="12810" width="10" bestFit="1" customWidth="1"/>
    <col min="12811" max="12811" width="11.07421875" bestFit="1" customWidth="1"/>
    <col min="12812" max="12812" width="8.53515625" bestFit="1" customWidth="1"/>
    <col min="12813" max="12814" width="7.53515625" bestFit="1" customWidth="1"/>
    <col min="12815" max="12815" width="7.53515625" customWidth="1"/>
    <col min="12816" max="12816" width="8" bestFit="1" customWidth="1"/>
    <col min="12817" max="12817" width="7.53515625" bestFit="1" customWidth="1"/>
    <col min="12818" max="12818" width="6.4609375" bestFit="1" customWidth="1"/>
    <col min="13053" max="13053" width="6.4609375" bestFit="1" customWidth="1"/>
    <col min="13054" max="13054" width="12.53515625" customWidth="1"/>
    <col min="13055" max="13055" width="10" customWidth="1"/>
    <col min="13056" max="13056" width="16" customWidth="1"/>
    <col min="13057" max="13057" width="15.4609375" customWidth="1"/>
    <col min="13058" max="13058" width="14.4609375" customWidth="1"/>
    <col min="13059" max="13059" width="10.4609375" customWidth="1"/>
    <col min="13060" max="13060" width="7.4609375" customWidth="1"/>
    <col min="13061" max="13061" width="10.07421875" customWidth="1"/>
    <col min="13062" max="13063" width="10.53515625" customWidth="1"/>
    <col min="13064" max="13064" width="8.4609375" bestFit="1" customWidth="1"/>
    <col min="13065" max="13065" width="7" bestFit="1" customWidth="1"/>
    <col min="13066" max="13066" width="10" bestFit="1" customWidth="1"/>
    <col min="13067" max="13067" width="11.07421875" bestFit="1" customWidth="1"/>
    <col min="13068" max="13068" width="8.53515625" bestFit="1" customWidth="1"/>
    <col min="13069" max="13070" width="7.53515625" bestFit="1" customWidth="1"/>
    <col min="13071" max="13071" width="7.53515625" customWidth="1"/>
    <col min="13072" max="13072" width="8" bestFit="1" customWidth="1"/>
    <col min="13073" max="13073" width="7.53515625" bestFit="1" customWidth="1"/>
    <col min="13074" max="13074" width="6.4609375" bestFit="1" customWidth="1"/>
    <col min="13309" max="13309" width="6.4609375" bestFit="1" customWidth="1"/>
    <col min="13310" max="13310" width="12.53515625" customWidth="1"/>
    <col min="13311" max="13311" width="10" customWidth="1"/>
    <col min="13312" max="13312" width="16" customWidth="1"/>
    <col min="13313" max="13313" width="15.4609375" customWidth="1"/>
    <col min="13314" max="13314" width="14.4609375" customWidth="1"/>
    <col min="13315" max="13315" width="10.4609375" customWidth="1"/>
    <col min="13316" max="13316" width="7.4609375" customWidth="1"/>
    <col min="13317" max="13317" width="10.07421875" customWidth="1"/>
    <col min="13318" max="13319" width="10.53515625" customWidth="1"/>
    <col min="13320" max="13320" width="8.4609375" bestFit="1" customWidth="1"/>
    <col min="13321" max="13321" width="7" bestFit="1" customWidth="1"/>
    <col min="13322" max="13322" width="10" bestFit="1" customWidth="1"/>
    <col min="13323" max="13323" width="11.07421875" bestFit="1" customWidth="1"/>
    <col min="13324" max="13324" width="8.53515625" bestFit="1" customWidth="1"/>
    <col min="13325" max="13326" width="7.53515625" bestFit="1" customWidth="1"/>
    <col min="13327" max="13327" width="7.53515625" customWidth="1"/>
    <col min="13328" max="13328" width="8" bestFit="1" customWidth="1"/>
    <col min="13329" max="13329" width="7.53515625" bestFit="1" customWidth="1"/>
    <col min="13330" max="13330" width="6.4609375" bestFit="1" customWidth="1"/>
    <col min="13565" max="13565" width="6.4609375" bestFit="1" customWidth="1"/>
    <col min="13566" max="13566" width="12.53515625" customWidth="1"/>
    <col min="13567" max="13567" width="10" customWidth="1"/>
    <col min="13568" max="13568" width="16" customWidth="1"/>
    <col min="13569" max="13569" width="15.4609375" customWidth="1"/>
    <col min="13570" max="13570" width="14.4609375" customWidth="1"/>
    <col min="13571" max="13571" width="10.4609375" customWidth="1"/>
    <col min="13572" max="13572" width="7.4609375" customWidth="1"/>
    <col min="13573" max="13573" width="10.07421875" customWidth="1"/>
    <col min="13574" max="13575" width="10.53515625" customWidth="1"/>
    <col min="13576" max="13576" width="8.4609375" bestFit="1" customWidth="1"/>
    <col min="13577" max="13577" width="7" bestFit="1" customWidth="1"/>
    <col min="13578" max="13578" width="10" bestFit="1" customWidth="1"/>
    <col min="13579" max="13579" width="11.07421875" bestFit="1" customWidth="1"/>
    <col min="13580" max="13580" width="8.53515625" bestFit="1" customWidth="1"/>
    <col min="13581" max="13582" width="7.53515625" bestFit="1" customWidth="1"/>
    <col min="13583" max="13583" width="7.53515625" customWidth="1"/>
    <col min="13584" max="13584" width="8" bestFit="1" customWidth="1"/>
    <col min="13585" max="13585" width="7.53515625" bestFit="1" customWidth="1"/>
    <col min="13586" max="13586" width="6.4609375" bestFit="1" customWidth="1"/>
    <col min="13821" max="13821" width="6.4609375" bestFit="1" customWidth="1"/>
    <col min="13822" max="13822" width="12.53515625" customWidth="1"/>
    <col min="13823" max="13823" width="10" customWidth="1"/>
    <col min="13824" max="13824" width="16" customWidth="1"/>
    <col min="13825" max="13825" width="15.4609375" customWidth="1"/>
    <col min="13826" max="13826" width="14.4609375" customWidth="1"/>
    <col min="13827" max="13827" width="10.4609375" customWidth="1"/>
    <col min="13828" max="13828" width="7.4609375" customWidth="1"/>
    <col min="13829" max="13829" width="10.07421875" customWidth="1"/>
    <col min="13830" max="13831" width="10.53515625" customWidth="1"/>
    <col min="13832" max="13832" width="8.4609375" bestFit="1" customWidth="1"/>
    <col min="13833" max="13833" width="7" bestFit="1" customWidth="1"/>
    <col min="13834" max="13834" width="10" bestFit="1" customWidth="1"/>
    <col min="13835" max="13835" width="11.07421875" bestFit="1" customWidth="1"/>
    <col min="13836" max="13836" width="8.53515625" bestFit="1" customWidth="1"/>
    <col min="13837" max="13838" width="7.53515625" bestFit="1" customWidth="1"/>
    <col min="13839" max="13839" width="7.53515625" customWidth="1"/>
    <col min="13840" max="13840" width="8" bestFit="1" customWidth="1"/>
    <col min="13841" max="13841" width="7.53515625" bestFit="1" customWidth="1"/>
    <col min="13842" max="13842" width="6.4609375" bestFit="1" customWidth="1"/>
    <col min="14077" max="14077" width="6.4609375" bestFit="1" customWidth="1"/>
    <col min="14078" max="14078" width="12.53515625" customWidth="1"/>
    <col min="14079" max="14079" width="10" customWidth="1"/>
    <col min="14080" max="14080" width="16" customWidth="1"/>
    <col min="14081" max="14081" width="15.4609375" customWidth="1"/>
    <col min="14082" max="14082" width="14.4609375" customWidth="1"/>
    <col min="14083" max="14083" width="10.4609375" customWidth="1"/>
    <col min="14084" max="14084" width="7.4609375" customWidth="1"/>
    <col min="14085" max="14085" width="10.07421875" customWidth="1"/>
    <col min="14086" max="14087" width="10.53515625" customWidth="1"/>
    <col min="14088" max="14088" width="8.4609375" bestFit="1" customWidth="1"/>
    <col min="14089" max="14089" width="7" bestFit="1" customWidth="1"/>
    <col min="14090" max="14090" width="10" bestFit="1" customWidth="1"/>
    <col min="14091" max="14091" width="11.07421875" bestFit="1" customWidth="1"/>
    <col min="14092" max="14092" width="8.53515625" bestFit="1" customWidth="1"/>
    <col min="14093" max="14094" width="7.53515625" bestFit="1" customWidth="1"/>
    <col min="14095" max="14095" width="7.53515625" customWidth="1"/>
    <col min="14096" max="14096" width="8" bestFit="1" customWidth="1"/>
    <col min="14097" max="14097" width="7.53515625" bestFit="1" customWidth="1"/>
    <col min="14098" max="14098" width="6.4609375" bestFit="1" customWidth="1"/>
    <col min="14333" max="14333" width="6.4609375" bestFit="1" customWidth="1"/>
    <col min="14334" max="14334" width="12.53515625" customWidth="1"/>
    <col min="14335" max="14335" width="10" customWidth="1"/>
    <col min="14336" max="14336" width="16" customWidth="1"/>
    <col min="14337" max="14337" width="15.4609375" customWidth="1"/>
    <col min="14338" max="14338" width="14.4609375" customWidth="1"/>
    <col min="14339" max="14339" width="10.4609375" customWidth="1"/>
    <col min="14340" max="14340" width="7.4609375" customWidth="1"/>
    <col min="14341" max="14341" width="10.07421875" customWidth="1"/>
    <col min="14342" max="14343" width="10.53515625" customWidth="1"/>
    <col min="14344" max="14344" width="8.4609375" bestFit="1" customWidth="1"/>
    <col min="14345" max="14345" width="7" bestFit="1" customWidth="1"/>
    <col min="14346" max="14346" width="10" bestFit="1" customWidth="1"/>
    <col min="14347" max="14347" width="11.07421875" bestFit="1" customWidth="1"/>
    <col min="14348" max="14348" width="8.53515625" bestFit="1" customWidth="1"/>
    <col min="14349" max="14350" width="7.53515625" bestFit="1" customWidth="1"/>
    <col min="14351" max="14351" width="7.53515625" customWidth="1"/>
    <col min="14352" max="14352" width="8" bestFit="1" customWidth="1"/>
    <col min="14353" max="14353" width="7.53515625" bestFit="1" customWidth="1"/>
    <col min="14354" max="14354" width="6.4609375" bestFit="1" customWidth="1"/>
    <col min="14589" max="14589" width="6.4609375" bestFit="1" customWidth="1"/>
    <col min="14590" max="14590" width="12.53515625" customWidth="1"/>
    <col min="14591" max="14591" width="10" customWidth="1"/>
    <col min="14592" max="14592" width="16" customWidth="1"/>
    <col min="14593" max="14593" width="15.4609375" customWidth="1"/>
    <col min="14594" max="14594" width="14.4609375" customWidth="1"/>
    <col min="14595" max="14595" width="10.4609375" customWidth="1"/>
    <col min="14596" max="14596" width="7.4609375" customWidth="1"/>
    <col min="14597" max="14597" width="10.07421875" customWidth="1"/>
    <col min="14598" max="14599" width="10.53515625" customWidth="1"/>
    <col min="14600" max="14600" width="8.4609375" bestFit="1" customWidth="1"/>
    <col min="14601" max="14601" width="7" bestFit="1" customWidth="1"/>
    <col min="14602" max="14602" width="10" bestFit="1" customWidth="1"/>
    <col min="14603" max="14603" width="11.07421875" bestFit="1" customWidth="1"/>
    <col min="14604" max="14604" width="8.53515625" bestFit="1" customWidth="1"/>
    <col min="14605" max="14606" width="7.53515625" bestFit="1" customWidth="1"/>
    <col min="14607" max="14607" width="7.53515625" customWidth="1"/>
    <col min="14608" max="14608" width="8" bestFit="1" customWidth="1"/>
    <col min="14609" max="14609" width="7.53515625" bestFit="1" customWidth="1"/>
    <col min="14610" max="14610" width="6.4609375" bestFit="1" customWidth="1"/>
    <col min="14845" max="14845" width="6.4609375" bestFit="1" customWidth="1"/>
    <col min="14846" max="14846" width="12.53515625" customWidth="1"/>
    <col min="14847" max="14847" width="10" customWidth="1"/>
    <col min="14848" max="14848" width="16" customWidth="1"/>
    <col min="14849" max="14849" width="15.4609375" customWidth="1"/>
    <col min="14850" max="14850" width="14.4609375" customWidth="1"/>
    <col min="14851" max="14851" width="10.4609375" customWidth="1"/>
    <col min="14852" max="14852" width="7.4609375" customWidth="1"/>
    <col min="14853" max="14853" width="10.07421875" customWidth="1"/>
    <col min="14854" max="14855" width="10.53515625" customWidth="1"/>
    <col min="14856" max="14856" width="8.4609375" bestFit="1" customWidth="1"/>
    <col min="14857" max="14857" width="7" bestFit="1" customWidth="1"/>
    <col min="14858" max="14858" width="10" bestFit="1" customWidth="1"/>
    <col min="14859" max="14859" width="11.07421875" bestFit="1" customWidth="1"/>
    <col min="14860" max="14860" width="8.53515625" bestFit="1" customWidth="1"/>
    <col min="14861" max="14862" width="7.53515625" bestFit="1" customWidth="1"/>
    <col min="14863" max="14863" width="7.53515625" customWidth="1"/>
    <col min="14864" max="14864" width="8" bestFit="1" customWidth="1"/>
    <col min="14865" max="14865" width="7.53515625" bestFit="1" customWidth="1"/>
    <col min="14866" max="14866" width="6.4609375" bestFit="1" customWidth="1"/>
    <col min="15101" max="15101" width="6.4609375" bestFit="1" customWidth="1"/>
    <col min="15102" max="15102" width="12.53515625" customWidth="1"/>
    <col min="15103" max="15103" width="10" customWidth="1"/>
    <col min="15104" max="15104" width="16" customWidth="1"/>
    <col min="15105" max="15105" width="15.4609375" customWidth="1"/>
    <col min="15106" max="15106" width="14.4609375" customWidth="1"/>
    <col min="15107" max="15107" width="10.4609375" customWidth="1"/>
    <col min="15108" max="15108" width="7.4609375" customWidth="1"/>
    <col min="15109" max="15109" width="10.07421875" customWidth="1"/>
    <col min="15110" max="15111" width="10.53515625" customWidth="1"/>
    <col min="15112" max="15112" width="8.4609375" bestFit="1" customWidth="1"/>
    <col min="15113" max="15113" width="7" bestFit="1" customWidth="1"/>
    <col min="15114" max="15114" width="10" bestFit="1" customWidth="1"/>
    <col min="15115" max="15115" width="11.07421875" bestFit="1" customWidth="1"/>
    <col min="15116" max="15116" width="8.53515625" bestFit="1" customWidth="1"/>
    <col min="15117" max="15118" width="7.53515625" bestFit="1" customWidth="1"/>
    <col min="15119" max="15119" width="7.53515625" customWidth="1"/>
    <col min="15120" max="15120" width="8" bestFit="1" customWidth="1"/>
    <col min="15121" max="15121" width="7.53515625" bestFit="1" customWidth="1"/>
    <col min="15122" max="15122" width="6.4609375" bestFit="1" customWidth="1"/>
    <col min="15357" max="15357" width="6.4609375" bestFit="1" customWidth="1"/>
    <col min="15358" max="15358" width="12.53515625" customWidth="1"/>
    <col min="15359" max="15359" width="10" customWidth="1"/>
    <col min="15360" max="15360" width="16" customWidth="1"/>
    <col min="15361" max="15361" width="15.4609375" customWidth="1"/>
    <col min="15362" max="15362" width="14.4609375" customWidth="1"/>
    <col min="15363" max="15363" width="10.4609375" customWidth="1"/>
    <col min="15364" max="15364" width="7.4609375" customWidth="1"/>
    <col min="15365" max="15365" width="10.07421875" customWidth="1"/>
    <col min="15366" max="15367" width="10.53515625" customWidth="1"/>
    <col min="15368" max="15368" width="8.4609375" bestFit="1" customWidth="1"/>
    <col min="15369" max="15369" width="7" bestFit="1" customWidth="1"/>
    <col min="15370" max="15370" width="10" bestFit="1" customWidth="1"/>
    <col min="15371" max="15371" width="11.07421875" bestFit="1" customWidth="1"/>
    <col min="15372" max="15372" width="8.53515625" bestFit="1" customWidth="1"/>
    <col min="15373" max="15374" width="7.53515625" bestFit="1" customWidth="1"/>
    <col min="15375" max="15375" width="7.53515625" customWidth="1"/>
    <col min="15376" max="15376" width="8" bestFit="1" customWidth="1"/>
    <col min="15377" max="15377" width="7.53515625" bestFit="1" customWidth="1"/>
    <col min="15378" max="15378" width="6.4609375" bestFit="1" customWidth="1"/>
    <col min="15613" max="15613" width="6.4609375" bestFit="1" customWidth="1"/>
    <col min="15614" max="15614" width="12.53515625" customWidth="1"/>
    <col min="15615" max="15615" width="10" customWidth="1"/>
    <col min="15616" max="15616" width="16" customWidth="1"/>
    <col min="15617" max="15617" width="15.4609375" customWidth="1"/>
    <col min="15618" max="15618" width="14.4609375" customWidth="1"/>
    <col min="15619" max="15619" width="10.4609375" customWidth="1"/>
    <col min="15620" max="15620" width="7.4609375" customWidth="1"/>
    <col min="15621" max="15621" width="10.07421875" customWidth="1"/>
    <col min="15622" max="15623" width="10.53515625" customWidth="1"/>
    <col min="15624" max="15624" width="8.4609375" bestFit="1" customWidth="1"/>
    <col min="15625" max="15625" width="7" bestFit="1" customWidth="1"/>
    <col min="15626" max="15626" width="10" bestFit="1" customWidth="1"/>
    <col min="15627" max="15627" width="11.07421875" bestFit="1" customWidth="1"/>
    <col min="15628" max="15628" width="8.53515625" bestFit="1" customWidth="1"/>
    <col min="15629" max="15630" width="7.53515625" bestFit="1" customWidth="1"/>
    <col min="15631" max="15631" width="7.53515625" customWidth="1"/>
    <col min="15632" max="15632" width="8" bestFit="1" customWidth="1"/>
    <col min="15633" max="15633" width="7.53515625" bestFit="1" customWidth="1"/>
    <col min="15634" max="15634" width="6.4609375" bestFit="1" customWidth="1"/>
    <col min="15869" max="15869" width="6.4609375" bestFit="1" customWidth="1"/>
    <col min="15870" max="15870" width="12.53515625" customWidth="1"/>
    <col min="15871" max="15871" width="10" customWidth="1"/>
    <col min="15872" max="15872" width="16" customWidth="1"/>
    <col min="15873" max="15873" width="15.4609375" customWidth="1"/>
    <col min="15874" max="15874" width="14.4609375" customWidth="1"/>
    <col min="15875" max="15875" width="10.4609375" customWidth="1"/>
    <col min="15876" max="15876" width="7.4609375" customWidth="1"/>
    <col min="15877" max="15877" width="10.07421875" customWidth="1"/>
    <col min="15878" max="15879" width="10.53515625" customWidth="1"/>
    <col min="15880" max="15880" width="8.4609375" bestFit="1" customWidth="1"/>
    <col min="15881" max="15881" width="7" bestFit="1" customWidth="1"/>
    <col min="15882" max="15882" width="10" bestFit="1" customWidth="1"/>
    <col min="15883" max="15883" width="11.07421875" bestFit="1" customWidth="1"/>
    <col min="15884" max="15884" width="8.53515625" bestFit="1" customWidth="1"/>
    <col min="15885" max="15886" width="7.53515625" bestFit="1" customWidth="1"/>
    <col min="15887" max="15887" width="7.53515625" customWidth="1"/>
    <col min="15888" max="15888" width="8" bestFit="1" customWidth="1"/>
    <col min="15889" max="15889" width="7.53515625" bestFit="1" customWidth="1"/>
    <col min="15890" max="15890" width="6.4609375" bestFit="1" customWidth="1"/>
    <col min="16125" max="16125" width="6.4609375" bestFit="1" customWidth="1"/>
    <col min="16126" max="16126" width="12.53515625" customWidth="1"/>
    <col min="16127" max="16127" width="10" customWidth="1"/>
    <col min="16128" max="16128" width="16" customWidth="1"/>
    <col min="16129" max="16129" width="15.4609375" customWidth="1"/>
    <col min="16130" max="16130" width="14.4609375" customWidth="1"/>
    <col min="16131" max="16131" width="10.4609375" customWidth="1"/>
    <col min="16132" max="16132" width="7.4609375" customWidth="1"/>
    <col min="16133" max="16133" width="10.07421875" customWidth="1"/>
    <col min="16134" max="16135" width="10.53515625" customWidth="1"/>
    <col min="16136" max="16136" width="8.4609375" bestFit="1" customWidth="1"/>
    <col min="16137" max="16137" width="7" bestFit="1" customWidth="1"/>
    <col min="16138" max="16138" width="10" bestFit="1" customWidth="1"/>
    <col min="16139" max="16139" width="11.07421875" bestFit="1" customWidth="1"/>
    <col min="16140" max="16140" width="8.53515625" bestFit="1" customWidth="1"/>
    <col min="16141" max="16142" width="7.53515625" bestFit="1" customWidth="1"/>
    <col min="16143" max="16143" width="7.53515625" customWidth="1"/>
    <col min="16144" max="16144" width="8" bestFit="1" customWidth="1"/>
    <col min="16145" max="16145" width="7.53515625" bestFit="1" customWidth="1"/>
    <col min="16146" max="16146" width="6.4609375" bestFit="1" customWidth="1"/>
  </cols>
  <sheetData>
    <row r="1" spans="1:35">
      <c r="A1" s="75" t="s">
        <v>69</v>
      </c>
      <c r="B1" s="75" t="s">
        <v>79</v>
      </c>
      <c r="C1" s="75" t="s">
        <v>69</v>
      </c>
      <c r="D1" s="75" t="s">
        <v>70</v>
      </c>
      <c r="E1" s="75" t="s">
        <v>80</v>
      </c>
      <c r="F1" s="76" t="s">
        <v>81</v>
      </c>
      <c r="G1" s="77" t="s">
        <v>82</v>
      </c>
      <c r="H1" s="78"/>
      <c r="I1" s="79"/>
      <c r="J1" s="79"/>
      <c r="K1" s="79"/>
      <c r="L1" s="79"/>
      <c r="M1" s="79"/>
      <c r="N1" s="79"/>
      <c r="O1" s="77" t="s">
        <v>105</v>
      </c>
      <c r="P1" s="78"/>
      <c r="Q1" s="78"/>
      <c r="R1" s="78"/>
      <c r="S1" s="78"/>
      <c r="T1" s="78"/>
      <c r="U1" s="78"/>
      <c r="V1" s="78"/>
      <c r="W1" s="78"/>
      <c r="X1" s="78"/>
      <c r="Y1" s="78"/>
      <c r="Z1" s="78"/>
      <c r="AA1" s="79"/>
      <c r="AB1" s="79"/>
      <c r="AC1" s="79"/>
      <c r="AD1" s="79"/>
      <c r="AE1" s="79"/>
      <c r="AF1" s="79"/>
      <c r="AG1" s="79"/>
      <c r="AH1" s="79"/>
      <c r="AI1" s="4"/>
    </row>
    <row r="2" spans="1:35">
      <c r="A2" s="75"/>
      <c r="B2" s="75"/>
      <c r="C2" s="75"/>
      <c r="D2" s="75"/>
      <c r="E2" s="75"/>
      <c r="F2" s="80" t="s">
        <v>83</v>
      </c>
      <c r="G2" s="81" t="s">
        <v>6</v>
      </c>
      <c r="H2" s="81" t="s">
        <v>4</v>
      </c>
      <c r="I2" s="82" t="s">
        <v>7</v>
      </c>
      <c r="J2" s="82" t="s">
        <v>2</v>
      </c>
      <c r="K2" s="82" t="s">
        <v>5</v>
      </c>
      <c r="L2" s="82" t="s">
        <v>3</v>
      </c>
      <c r="M2" s="81" t="s">
        <v>71</v>
      </c>
      <c r="N2" s="82" t="s">
        <v>8</v>
      </c>
      <c r="O2" s="114" t="s">
        <v>18</v>
      </c>
      <c r="P2" s="115" t="s">
        <v>106</v>
      </c>
      <c r="Q2" s="115" t="s">
        <v>184</v>
      </c>
      <c r="R2" s="115" t="s">
        <v>20</v>
      </c>
      <c r="S2" s="115" t="s">
        <v>188</v>
      </c>
      <c r="T2" s="115" t="s">
        <v>189</v>
      </c>
      <c r="U2" s="115" t="s">
        <v>190</v>
      </c>
      <c r="V2" s="115" t="s">
        <v>191</v>
      </c>
      <c r="W2" s="115" t="s">
        <v>107</v>
      </c>
      <c r="X2" s="115" t="s">
        <v>21</v>
      </c>
      <c r="Y2" s="115" t="s">
        <v>22</v>
      </c>
      <c r="Z2" s="91" t="s">
        <v>9</v>
      </c>
      <c r="AA2" s="91" t="s">
        <v>10</v>
      </c>
      <c r="AB2" s="91" t="s">
        <v>11</v>
      </c>
      <c r="AC2" s="91" t="s">
        <v>12</v>
      </c>
      <c r="AD2" s="91" t="s">
        <v>13</v>
      </c>
      <c r="AE2" s="91" t="s">
        <v>14</v>
      </c>
      <c r="AF2" s="91" t="s">
        <v>15</v>
      </c>
      <c r="AG2" s="91" t="s">
        <v>16</v>
      </c>
      <c r="AH2" s="91" t="s">
        <v>17</v>
      </c>
      <c r="AI2" s="4"/>
    </row>
    <row r="3" spans="1:35">
      <c r="A3" s="83" t="s">
        <v>72</v>
      </c>
      <c r="B3" s="84" t="s">
        <v>73</v>
      </c>
      <c r="C3" s="85" t="s">
        <v>84</v>
      </c>
      <c r="D3" s="86" t="s">
        <v>85</v>
      </c>
      <c r="E3" s="1"/>
      <c r="F3" s="101">
        <f>SUM(F4:F47)</f>
        <v>1239209798.4186504</v>
      </c>
      <c r="I3" s="43"/>
      <c r="J3" s="43"/>
      <c r="K3" s="43"/>
      <c r="L3" s="43"/>
      <c r="M3" s="43"/>
      <c r="N3" s="87"/>
      <c r="O3" s="4"/>
      <c r="AA3" s="43"/>
      <c r="AB3" s="43"/>
      <c r="AC3" s="43"/>
      <c r="AD3" s="43"/>
      <c r="AE3" s="43"/>
      <c r="AF3" s="43"/>
      <c r="AG3" s="43"/>
      <c r="AH3" s="43"/>
      <c r="AI3" s="4"/>
    </row>
    <row r="4" spans="1:35">
      <c r="A4" s="69"/>
      <c r="B4" s="1"/>
      <c r="C4" s="1"/>
      <c r="E4" s="88" t="s">
        <v>86</v>
      </c>
      <c r="F4" s="100">
        <v>0</v>
      </c>
      <c r="G4" s="491">
        <v>93.395221404523681</v>
      </c>
      <c r="H4" s="133">
        <v>0.2</v>
      </c>
      <c r="I4" s="133">
        <v>1.5E-3</v>
      </c>
      <c r="J4" s="132">
        <v>0.05</v>
      </c>
      <c r="K4" s="132">
        <v>5</v>
      </c>
      <c r="L4" s="513">
        <v>0.2</v>
      </c>
      <c r="M4" s="491">
        <v>0.64552945034458353</v>
      </c>
      <c r="N4" s="485">
        <v>4.8000000000000001E-4</v>
      </c>
      <c r="O4" s="560">
        <v>439</v>
      </c>
      <c r="P4" s="513">
        <v>432.41500000000002</v>
      </c>
      <c r="Q4" s="513">
        <v>27.674560000000003</v>
      </c>
      <c r="R4" s="132">
        <v>0.19585363523454669</v>
      </c>
      <c r="S4" s="132">
        <v>4.7769179325499185E-2</v>
      </c>
      <c r="T4" s="132">
        <v>1.5923059775166397E-3</v>
      </c>
      <c r="U4" s="132">
        <v>9.553835865099837E-2</v>
      </c>
      <c r="V4" s="132">
        <v>5.0953791280532471E-2</v>
      </c>
      <c r="W4" s="132">
        <v>0.31846119550332791</v>
      </c>
      <c r="X4" s="132">
        <v>1.4330753797649757E-4</v>
      </c>
      <c r="Y4" s="132">
        <v>5.0953791280532467E-7</v>
      </c>
      <c r="Z4" s="181">
        <v>3.2000000000000002E-3</v>
      </c>
      <c r="AA4" s="181">
        <v>1E-4</v>
      </c>
      <c r="AB4" s="181">
        <v>1.6999999999999999E-3</v>
      </c>
      <c r="AC4" s="181">
        <v>4.2000000000000006E-3</v>
      </c>
      <c r="AD4" s="181">
        <v>9.5999999999999992E-3</v>
      </c>
      <c r="AE4" s="181">
        <v>4.2000000000000006E-3</v>
      </c>
      <c r="AF4" s="181">
        <v>7.6E-3</v>
      </c>
      <c r="AG4" s="181">
        <v>1.9E-3</v>
      </c>
      <c r="AH4" s="181">
        <v>1.6800000000000002E-2</v>
      </c>
      <c r="AI4" s="4"/>
    </row>
    <row r="5" spans="1:35">
      <c r="A5" s="69"/>
      <c r="B5" s="1"/>
      <c r="C5" s="89"/>
      <c r="E5" s="69" t="s">
        <v>87</v>
      </c>
      <c r="F5" s="101">
        <v>0</v>
      </c>
      <c r="G5" s="491">
        <v>111.31127847722257</v>
      </c>
      <c r="H5" s="133">
        <v>1.4999999999999999E-2</v>
      </c>
      <c r="I5" s="133">
        <v>1.5E-3</v>
      </c>
      <c r="J5" s="132">
        <v>7.0000000000000007E-2</v>
      </c>
      <c r="K5" s="132">
        <v>5</v>
      </c>
      <c r="L5" s="513">
        <v>5.0000000000000001E-3</v>
      </c>
      <c r="M5" s="491">
        <v>0.68241684750713127</v>
      </c>
      <c r="N5" s="134">
        <v>0</v>
      </c>
      <c r="O5" s="560">
        <v>439</v>
      </c>
      <c r="P5" s="513">
        <v>432.41500000000002</v>
      </c>
      <c r="Q5" s="513">
        <v>27.674560000000003</v>
      </c>
      <c r="R5" s="132"/>
      <c r="S5" s="132"/>
      <c r="T5" s="132"/>
      <c r="U5" s="132"/>
      <c r="V5" s="132"/>
      <c r="W5" s="132">
        <v>0.34120842375356564</v>
      </c>
      <c r="X5" s="132"/>
      <c r="Y5" s="132"/>
      <c r="Z5" s="181">
        <v>0</v>
      </c>
      <c r="AA5" s="181">
        <v>0</v>
      </c>
      <c r="AB5" s="181">
        <v>0</v>
      </c>
      <c r="AC5" s="181">
        <v>0</v>
      </c>
      <c r="AD5" s="181">
        <v>0</v>
      </c>
      <c r="AE5" s="181">
        <v>0</v>
      </c>
      <c r="AF5" s="181">
        <v>0</v>
      </c>
      <c r="AG5" s="181">
        <v>0</v>
      </c>
      <c r="AH5" s="181">
        <v>0</v>
      </c>
      <c r="AI5" s="4"/>
    </row>
    <row r="6" spans="1:35">
      <c r="A6" s="69"/>
      <c r="B6" s="1"/>
      <c r="C6" s="89"/>
      <c r="E6" s="69" t="s">
        <v>88</v>
      </c>
      <c r="F6" s="101">
        <v>3092045</v>
      </c>
      <c r="G6" s="491">
        <v>94.6</v>
      </c>
      <c r="H6" s="492">
        <v>0.32</v>
      </c>
      <c r="I6" s="491">
        <v>1.4E-2</v>
      </c>
      <c r="J6" s="491">
        <v>6.5532605989411657E-2</v>
      </c>
      <c r="K6" s="491">
        <v>4.6086098486546856</v>
      </c>
      <c r="L6" s="491">
        <v>0.5332493070921106</v>
      </c>
      <c r="M6" s="491">
        <v>1.392481787374599E-2</v>
      </c>
      <c r="N6" s="491">
        <v>4.8616966720255407E-3</v>
      </c>
      <c r="O6" s="561">
        <v>352.16085301917013</v>
      </c>
      <c r="P6" s="491">
        <v>347.72601587506023</v>
      </c>
      <c r="Q6" s="491">
        <v>31.313994084462305</v>
      </c>
      <c r="R6" s="491">
        <v>0.19142113019948215</v>
      </c>
      <c r="S6" s="491">
        <v>5.7996642607123353E-2</v>
      </c>
      <c r="T6" s="491">
        <v>6.6023238518216787E-2</v>
      </c>
      <c r="U6" s="491">
        <v>2.9582292853666058E-2</v>
      </c>
      <c r="V6" s="491">
        <v>3.7818956220475958E-2</v>
      </c>
      <c r="W6" s="491">
        <v>0.36523850547302616</v>
      </c>
      <c r="X6" s="491">
        <v>5.9000006966566265E-5</v>
      </c>
      <c r="Y6" s="491">
        <v>5.9000006966566261E-6</v>
      </c>
      <c r="Z6" s="562">
        <v>4.9166672472138553E-4</v>
      </c>
      <c r="AA6" s="562">
        <v>1.3117314486295727E-3</v>
      </c>
      <c r="AB6" s="562">
        <v>3.3258404665087115E-3</v>
      </c>
      <c r="AC6" s="562">
        <v>5.272265120536474E-3</v>
      </c>
      <c r="AD6" s="562">
        <v>3.9333337977710847E-4</v>
      </c>
      <c r="AE6" s="562">
        <v>1.9666668988855421E-3</v>
      </c>
      <c r="AF6" s="562">
        <v>3.38467301242453E-2</v>
      </c>
      <c r="AG6" s="562">
        <v>4.9166672472138553E-4</v>
      </c>
      <c r="AH6" s="562">
        <v>9.0150378185640548E-2</v>
      </c>
      <c r="AI6" s="4"/>
    </row>
    <row r="7" spans="1:35">
      <c r="A7" s="69"/>
      <c r="B7" s="1"/>
      <c r="C7" s="89"/>
      <c r="E7" s="69" t="s">
        <v>89</v>
      </c>
      <c r="F7" s="101">
        <v>59070597.29130023</v>
      </c>
      <c r="G7" s="492">
        <v>97.743938032680035</v>
      </c>
      <c r="H7" s="492">
        <v>5.365195342997192E-3</v>
      </c>
      <c r="I7" s="492">
        <v>8.9718985668849373E-3</v>
      </c>
      <c r="J7" s="492">
        <v>0.10576690230009463</v>
      </c>
      <c r="K7" s="492">
        <v>2.4237091751380835E-2</v>
      </c>
      <c r="L7" s="492">
        <v>0.29331222836484305</v>
      </c>
      <c r="M7" s="492">
        <v>4.7422829883239259E-2</v>
      </c>
      <c r="N7" s="319">
        <v>1.5846716244284184E-4</v>
      </c>
      <c r="O7" s="561">
        <v>0.58967406416663182</v>
      </c>
      <c r="P7" s="491">
        <v>0.37564597323325705</v>
      </c>
      <c r="Q7" s="491">
        <v>1.3147609063163999E-2</v>
      </c>
      <c r="R7" s="491">
        <v>1.0116997629833176E-4</v>
      </c>
      <c r="S7" s="491">
        <v>3.3781405431439405E-5</v>
      </c>
      <c r="T7" s="491">
        <v>1.4705749067984053E-5</v>
      </c>
      <c r="U7" s="491">
        <v>4.0076294029272E-5</v>
      </c>
      <c r="V7" s="491">
        <v>1.2607961220118816E-5</v>
      </c>
      <c r="W7" s="491">
        <v>1.6298725107395728E-2</v>
      </c>
      <c r="X7" s="491">
        <v>3.3021213678148358E-2</v>
      </c>
      <c r="Y7" s="491">
        <v>1.978646314601441E-2</v>
      </c>
      <c r="Z7" s="562">
        <v>1.1910034262659424E-3</v>
      </c>
      <c r="AA7" s="562">
        <v>9.0168474939065471E-4</v>
      </c>
      <c r="AB7" s="562">
        <v>5.911627382491993E-3</v>
      </c>
      <c r="AC7" s="562">
        <v>4.7447862261456343E-3</v>
      </c>
      <c r="AD7" s="562">
        <v>1.9697001673560544E-3</v>
      </c>
      <c r="AE7" s="562">
        <v>5.8660475456400667E-4</v>
      </c>
      <c r="AF7" s="562">
        <v>5.9668204397113546E-2</v>
      </c>
      <c r="AG7" s="562">
        <v>7.3102322893601535E-4</v>
      </c>
      <c r="AH7" s="562">
        <v>4.6626956183927086E-2</v>
      </c>
      <c r="AI7" s="4"/>
    </row>
    <row r="8" spans="1:35">
      <c r="A8" s="69"/>
      <c r="B8" s="1"/>
      <c r="C8" s="89"/>
      <c r="E8" s="69" t="s">
        <v>90</v>
      </c>
      <c r="F8" s="101">
        <v>24643490.823232289</v>
      </c>
      <c r="G8" s="492">
        <v>83.887251600374213</v>
      </c>
      <c r="H8" s="492">
        <v>5.3651953429971954E-3</v>
      </c>
      <c r="I8" s="492">
        <v>8.9718985668849442E-3</v>
      </c>
      <c r="J8" s="492"/>
      <c r="K8" s="491"/>
      <c r="L8" s="491"/>
      <c r="M8" s="491"/>
      <c r="N8" s="491"/>
      <c r="O8" s="560"/>
      <c r="P8" s="132"/>
      <c r="Q8" s="132"/>
      <c r="R8" s="132"/>
      <c r="S8" s="132"/>
      <c r="T8" s="132"/>
      <c r="U8" s="132"/>
      <c r="V8" s="132"/>
      <c r="W8" s="132"/>
      <c r="X8" s="132"/>
      <c r="Y8" s="132"/>
      <c r="Z8" s="563"/>
      <c r="AA8" s="563"/>
      <c r="AB8" s="563"/>
      <c r="AC8" s="563"/>
      <c r="AD8" s="563"/>
      <c r="AE8" s="563"/>
      <c r="AF8" s="563"/>
      <c r="AG8" s="563"/>
      <c r="AH8" s="563"/>
      <c r="AI8" s="4"/>
    </row>
    <row r="9" spans="1:35">
      <c r="A9" s="69"/>
      <c r="B9" s="1"/>
      <c r="C9" s="89"/>
      <c r="E9" s="69" t="s">
        <v>91</v>
      </c>
      <c r="F9" s="101">
        <v>0</v>
      </c>
      <c r="G9" s="492">
        <v>79.599999999999994</v>
      </c>
      <c r="H9" s="136">
        <v>1.2E-2</v>
      </c>
      <c r="I9" s="136">
        <v>2E-3</v>
      </c>
      <c r="J9" s="135">
        <v>1.3</v>
      </c>
      <c r="K9" s="132">
        <v>0.41</v>
      </c>
      <c r="L9" s="132">
        <v>8.7999999999999995E-2</v>
      </c>
      <c r="M9" s="491">
        <v>4.6864093846660126E-2</v>
      </c>
      <c r="N9" s="134">
        <v>0</v>
      </c>
      <c r="O9" s="560"/>
      <c r="P9" s="132"/>
      <c r="Q9" s="132"/>
      <c r="R9" s="132"/>
      <c r="S9" s="132"/>
      <c r="T9" s="132"/>
      <c r="U9" s="132"/>
      <c r="V9" s="132"/>
      <c r="W9" s="132"/>
      <c r="X9" s="132"/>
      <c r="Y9" s="132"/>
      <c r="Z9" s="564"/>
      <c r="AA9" s="564"/>
      <c r="AB9" s="564"/>
      <c r="AC9" s="564"/>
      <c r="AD9" s="564"/>
      <c r="AE9" s="564"/>
      <c r="AF9" s="564"/>
      <c r="AG9" s="564"/>
      <c r="AH9" s="564"/>
      <c r="AI9" s="4"/>
    </row>
    <row r="10" spans="1:35">
      <c r="A10" s="69"/>
      <c r="B10" s="1"/>
      <c r="C10" s="89"/>
      <c r="E10" s="69" t="s">
        <v>92</v>
      </c>
      <c r="F10" s="101">
        <v>0</v>
      </c>
      <c r="G10" s="491">
        <v>76.426944003278678</v>
      </c>
      <c r="H10" s="133">
        <v>3.0000000000000001E-3</v>
      </c>
      <c r="I10" s="133">
        <v>2E-3</v>
      </c>
      <c r="J10" s="132">
        <v>0.15</v>
      </c>
      <c r="K10" s="132">
        <v>1.6E-2</v>
      </c>
      <c r="L10" s="513">
        <v>1.4999999999999999E-2</v>
      </c>
      <c r="M10" s="491">
        <v>0.14623218160867099</v>
      </c>
      <c r="N10" s="134">
        <v>0</v>
      </c>
      <c r="O10" s="560">
        <v>58.7</v>
      </c>
      <c r="P10" s="513">
        <v>46.960000000000008</v>
      </c>
      <c r="Q10" s="513">
        <v>26.297600000000006</v>
      </c>
      <c r="R10" s="132">
        <v>3.6338697129754738E-4</v>
      </c>
      <c r="S10" s="132">
        <v>8.3596063819623581E-5</v>
      </c>
      <c r="T10" s="132">
        <v>6.8972845658756484E-5</v>
      </c>
      <c r="U10" s="132">
        <v>1.6670468703388491E-4</v>
      </c>
      <c r="V10" s="132">
        <v>4.4113374785282415E-5</v>
      </c>
      <c r="W10" s="132">
        <v>2.4372030268111831E-2</v>
      </c>
      <c r="X10" s="132">
        <v>8.7739308965202592E-5</v>
      </c>
      <c r="Y10" s="132"/>
      <c r="Z10" s="181">
        <v>2.4399999999999998E-2</v>
      </c>
      <c r="AA10" s="181">
        <v>2.4399999999999998E-2</v>
      </c>
      <c r="AB10" s="181">
        <v>6.0899999999999996E-2</v>
      </c>
      <c r="AC10" s="181">
        <v>2.4399999999999998E-2</v>
      </c>
      <c r="AD10" s="181">
        <v>4.9000000000000007E-3</v>
      </c>
      <c r="AE10" s="181">
        <v>0.85299999999999998</v>
      </c>
      <c r="AF10" s="181">
        <v>3.1699999999999999E-2</v>
      </c>
      <c r="AG10" s="181">
        <v>1.1999999999999999E-3</v>
      </c>
      <c r="AH10" s="181">
        <v>2.4399999999999998E-2</v>
      </c>
      <c r="AI10" s="4"/>
    </row>
    <row r="11" spans="1:35">
      <c r="A11" s="69"/>
      <c r="B11" s="1"/>
      <c r="C11" s="89"/>
      <c r="E11" s="69" t="s">
        <v>93</v>
      </c>
      <c r="F11" s="101">
        <v>2432130.4584960002</v>
      </c>
      <c r="G11" s="491">
        <v>73.926512687586879</v>
      </c>
      <c r="H11" s="133">
        <v>7.0000000000000001E-3</v>
      </c>
      <c r="I11" s="133">
        <v>2E-3</v>
      </c>
      <c r="J11" s="132">
        <v>0.05</v>
      </c>
      <c r="K11" s="132">
        <v>0.02</v>
      </c>
      <c r="L11" s="513">
        <v>5.0000000000000001E-3</v>
      </c>
      <c r="M11" s="491">
        <v>4.6864093846660126E-2</v>
      </c>
      <c r="N11" s="134">
        <v>0</v>
      </c>
      <c r="O11" s="565">
        <v>3.6</v>
      </c>
      <c r="P11" s="513">
        <v>3.6</v>
      </c>
      <c r="Q11" s="513">
        <v>2.0160000000000005</v>
      </c>
      <c r="R11" s="132"/>
      <c r="S11" s="132"/>
      <c r="T11" s="132"/>
      <c r="U11" s="132"/>
      <c r="V11" s="132"/>
      <c r="W11" s="132">
        <v>2.3416264375244699E-2</v>
      </c>
      <c r="X11" s="132"/>
      <c r="Y11" s="132"/>
      <c r="Z11" s="181">
        <v>1.1999999999999999E-3</v>
      </c>
      <c r="AA11" s="181">
        <v>1.1999999999999999E-3</v>
      </c>
      <c r="AB11" s="181">
        <v>5.0000000000000001E-4</v>
      </c>
      <c r="AC11" s="181">
        <v>1.1999999999999999E-3</v>
      </c>
      <c r="AD11" s="181">
        <v>0</v>
      </c>
      <c r="AE11" s="181">
        <v>1.1999999999999999E-3</v>
      </c>
      <c r="AF11" s="181">
        <v>4.7000000000000002E-3</v>
      </c>
      <c r="AG11" s="181">
        <v>2.0000000000000002E-5</v>
      </c>
      <c r="AH11" s="181">
        <v>2.3E-3</v>
      </c>
      <c r="AI11" s="4"/>
    </row>
    <row r="12" spans="1:35">
      <c r="A12" s="69"/>
      <c r="B12" s="1"/>
      <c r="C12" s="89"/>
      <c r="E12" s="69" t="s">
        <v>94</v>
      </c>
      <c r="F12" s="101">
        <v>0</v>
      </c>
      <c r="G12" s="132">
        <v>71.900000000000006</v>
      </c>
      <c r="H12" s="133">
        <v>7.0000000000000001E-3</v>
      </c>
      <c r="I12" s="133">
        <v>2E-3</v>
      </c>
      <c r="J12" s="132">
        <v>0.05</v>
      </c>
      <c r="K12" s="132">
        <v>0.06</v>
      </c>
      <c r="L12" s="513">
        <v>5.0000000000000001E-3</v>
      </c>
      <c r="M12" s="132">
        <v>1.8372761279038148E-2</v>
      </c>
      <c r="N12" s="134">
        <v>0</v>
      </c>
      <c r="O12" s="565">
        <v>3.6</v>
      </c>
      <c r="P12" s="513">
        <v>3.6</v>
      </c>
      <c r="Q12" s="513">
        <v>2.0160000000000005</v>
      </c>
      <c r="R12" s="132"/>
      <c r="S12" s="132"/>
      <c r="T12" s="132"/>
      <c r="U12" s="132"/>
      <c r="V12" s="132"/>
      <c r="W12" s="132">
        <v>2.3188922002669508E-2</v>
      </c>
      <c r="X12" s="132"/>
      <c r="Y12" s="132"/>
      <c r="Z12" s="181">
        <v>0</v>
      </c>
      <c r="AA12" s="181">
        <v>0</v>
      </c>
      <c r="AB12" s="181">
        <v>0</v>
      </c>
      <c r="AC12" s="181">
        <v>0</v>
      </c>
      <c r="AD12" s="181">
        <v>0</v>
      </c>
      <c r="AE12" s="181">
        <v>0</v>
      </c>
      <c r="AF12" s="181">
        <v>0</v>
      </c>
      <c r="AG12" s="181">
        <v>0</v>
      </c>
      <c r="AH12" s="181">
        <v>0</v>
      </c>
      <c r="AI12" s="4"/>
    </row>
    <row r="13" spans="1:35">
      <c r="A13" s="69"/>
      <c r="B13" s="1"/>
      <c r="C13" s="89"/>
      <c r="E13" s="69" t="s">
        <v>95</v>
      </c>
      <c r="F13" s="101">
        <v>232988844.60000002</v>
      </c>
      <c r="G13" s="491">
        <v>59.182058931934002</v>
      </c>
      <c r="H13" s="133">
        <v>2.5000000000000001E-3</v>
      </c>
      <c r="I13" s="133">
        <v>1E-3</v>
      </c>
      <c r="J13" s="491">
        <v>2.7305875221140072E-2</v>
      </c>
      <c r="K13" s="132">
        <v>2.5000000000000001E-2</v>
      </c>
      <c r="L13" s="513">
        <v>2E-3</v>
      </c>
      <c r="M13" s="504">
        <v>2.9999999999999997E-4</v>
      </c>
      <c r="N13" s="134">
        <v>0</v>
      </c>
      <c r="O13" s="565">
        <v>0.2</v>
      </c>
      <c r="P13" s="513">
        <v>0.2</v>
      </c>
      <c r="Q13" s="513">
        <v>8.0000000000000002E-3</v>
      </c>
      <c r="R13" s="132"/>
      <c r="S13" s="132"/>
      <c r="T13" s="132"/>
      <c r="U13" s="132"/>
      <c r="V13" s="132"/>
      <c r="W13" s="132"/>
      <c r="X13" s="132"/>
      <c r="Y13" s="132"/>
      <c r="Z13" s="181">
        <v>0</v>
      </c>
      <c r="AA13" s="181">
        <v>0</v>
      </c>
      <c r="AB13" s="181">
        <v>0</v>
      </c>
      <c r="AC13" s="181">
        <v>0</v>
      </c>
      <c r="AD13" s="181">
        <v>2.0000000000000001E-4</v>
      </c>
      <c r="AE13" s="181">
        <v>0</v>
      </c>
      <c r="AF13" s="181">
        <v>0</v>
      </c>
      <c r="AG13" s="181">
        <v>0</v>
      </c>
      <c r="AH13" s="181">
        <v>0</v>
      </c>
      <c r="AI13" s="4"/>
    </row>
    <row r="14" spans="1:35">
      <c r="A14" s="69"/>
      <c r="B14" s="1"/>
      <c r="C14" s="89"/>
      <c r="E14" s="69" t="s">
        <v>53</v>
      </c>
      <c r="F14" s="101">
        <v>18650135.890537199</v>
      </c>
      <c r="G14" s="491">
        <v>65.98436196093148</v>
      </c>
      <c r="H14" s="133">
        <v>1E-3</v>
      </c>
      <c r="I14" s="133">
        <v>2E-3</v>
      </c>
      <c r="J14" s="491">
        <v>2.7305875221140072E-2</v>
      </c>
      <c r="K14" s="132">
        <v>0.01</v>
      </c>
      <c r="L14" s="513">
        <v>2E-3</v>
      </c>
      <c r="M14" s="491">
        <v>2.2000000000000001E-3</v>
      </c>
      <c r="N14" s="134">
        <v>0</v>
      </c>
      <c r="O14" s="565">
        <v>2</v>
      </c>
      <c r="P14" s="513">
        <v>2</v>
      </c>
      <c r="Q14" s="513">
        <v>1.1200000000000001</v>
      </c>
      <c r="R14" s="132"/>
      <c r="S14" s="132"/>
      <c r="T14" s="132"/>
      <c r="U14" s="132"/>
      <c r="V14" s="132"/>
      <c r="W14" s="132">
        <v>2.1713263329772359E-2</v>
      </c>
      <c r="X14" s="132"/>
      <c r="Y14" s="132"/>
      <c r="Z14" s="181">
        <v>0</v>
      </c>
      <c r="AA14" s="181">
        <v>0</v>
      </c>
      <c r="AB14" s="181">
        <v>0</v>
      </c>
      <c r="AC14" s="181">
        <v>0</v>
      </c>
      <c r="AD14" s="181">
        <v>0</v>
      </c>
      <c r="AE14" s="181">
        <v>0</v>
      </c>
      <c r="AF14" s="181">
        <v>0</v>
      </c>
      <c r="AG14" s="181">
        <v>0</v>
      </c>
      <c r="AH14" s="181">
        <v>0</v>
      </c>
      <c r="AI14" s="4"/>
    </row>
    <row r="15" spans="1:35">
      <c r="A15" s="69"/>
      <c r="B15" s="1"/>
      <c r="C15" s="89"/>
      <c r="E15" s="73" t="s">
        <v>96</v>
      </c>
      <c r="F15" s="102">
        <v>0</v>
      </c>
      <c r="G15" s="132">
        <v>56.1</v>
      </c>
      <c r="H15" s="133">
        <v>5.0000000000000001E-3</v>
      </c>
      <c r="I15" s="133">
        <v>1E-3</v>
      </c>
      <c r="J15" s="132">
        <v>0.05</v>
      </c>
      <c r="K15" s="132">
        <v>6.5000000000000002E-2</v>
      </c>
      <c r="L15" s="513">
        <v>2E-3</v>
      </c>
      <c r="M15" s="132">
        <v>1.1239806900117456E-2</v>
      </c>
      <c r="N15" s="512">
        <v>0</v>
      </c>
      <c r="O15" s="566">
        <v>0</v>
      </c>
      <c r="P15" s="567">
        <v>0</v>
      </c>
      <c r="Q15" s="567">
        <v>0</v>
      </c>
      <c r="R15" s="132"/>
      <c r="S15" s="132"/>
      <c r="T15" s="132"/>
      <c r="U15" s="132"/>
      <c r="V15" s="132"/>
      <c r="W15" s="132"/>
      <c r="X15" s="132"/>
      <c r="Y15" s="132"/>
      <c r="Z15" s="181">
        <v>0</v>
      </c>
      <c r="AA15" s="181">
        <v>0</v>
      </c>
      <c r="AB15" s="181">
        <v>0</v>
      </c>
      <c r="AC15" s="181">
        <v>0</v>
      </c>
      <c r="AD15" s="181">
        <v>0</v>
      </c>
      <c r="AE15" s="181">
        <v>0</v>
      </c>
      <c r="AF15" s="181">
        <v>0</v>
      </c>
      <c r="AG15" s="181">
        <v>0</v>
      </c>
      <c r="AH15" s="181">
        <v>0</v>
      </c>
      <c r="AI15" s="4"/>
    </row>
    <row r="16" spans="1:35">
      <c r="A16" s="69"/>
      <c r="B16" s="1"/>
      <c r="C16" s="90" t="s">
        <v>97</v>
      </c>
      <c r="D16" s="91" t="s">
        <v>98</v>
      </c>
      <c r="E16" s="69"/>
      <c r="F16" s="103"/>
      <c r="G16" s="495"/>
      <c r="H16" s="138"/>
      <c r="I16" s="138"/>
      <c r="J16" s="137"/>
      <c r="K16" s="137"/>
      <c r="L16" s="514"/>
      <c r="M16" s="495"/>
      <c r="N16" s="139"/>
      <c r="O16" s="568"/>
      <c r="P16" s="569"/>
      <c r="Q16" s="569"/>
      <c r="R16" s="569"/>
      <c r="S16" s="569"/>
      <c r="T16" s="569"/>
      <c r="U16" s="569"/>
      <c r="V16" s="569"/>
      <c r="W16" s="569"/>
      <c r="X16" s="569"/>
      <c r="Y16" s="569"/>
      <c r="Z16" s="181"/>
      <c r="AA16" s="181"/>
      <c r="AB16" s="181"/>
      <c r="AC16" s="181"/>
      <c r="AD16" s="181"/>
      <c r="AE16" s="181"/>
      <c r="AF16" s="181"/>
      <c r="AG16" s="181"/>
      <c r="AH16" s="181"/>
      <c r="AI16" s="4"/>
    </row>
    <row r="17" spans="1:35">
      <c r="A17" s="69"/>
      <c r="B17" s="1"/>
      <c r="C17" s="1"/>
      <c r="E17" s="88" t="s">
        <v>93</v>
      </c>
      <c r="F17" s="104">
        <v>33186</v>
      </c>
      <c r="G17" s="491">
        <v>73.926512687586879</v>
      </c>
      <c r="H17" s="140">
        <v>1.2E-2</v>
      </c>
      <c r="I17" s="140">
        <v>2E-3</v>
      </c>
      <c r="J17" s="141">
        <v>1.3</v>
      </c>
      <c r="K17" s="141">
        <v>0.41</v>
      </c>
      <c r="L17" s="515">
        <v>0.05</v>
      </c>
      <c r="M17" s="491">
        <v>4.6864093846660126E-2</v>
      </c>
      <c r="N17" s="142">
        <v>0</v>
      </c>
      <c r="O17" s="565">
        <v>14</v>
      </c>
      <c r="P17" s="513">
        <v>14</v>
      </c>
      <c r="Q17" s="513">
        <v>7.8400000000000007</v>
      </c>
      <c r="R17" s="132"/>
      <c r="S17" s="132"/>
      <c r="T17" s="132"/>
      <c r="U17" s="132"/>
      <c r="V17" s="132"/>
      <c r="W17" s="132">
        <v>2.3416264375244699E-2</v>
      </c>
      <c r="X17" s="132"/>
      <c r="Y17" s="132"/>
      <c r="Z17" s="181">
        <v>1.1999999999999999E-3</v>
      </c>
      <c r="AA17" s="181">
        <v>1.1999999999999999E-3</v>
      </c>
      <c r="AB17" s="181">
        <v>5.0000000000000001E-4</v>
      </c>
      <c r="AC17" s="181">
        <v>1.1999999999999999E-3</v>
      </c>
      <c r="AD17" s="181">
        <v>0</v>
      </c>
      <c r="AE17" s="181">
        <v>1.1999999999999999E-3</v>
      </c>
      <c r="AF17" s="181">
        <v>4.7000000000000002E-3</v>
      </c>
      <c r="AG17" s="181">
        <v>2.0000000000000002E-5</v>
      </c>
      <c r="AH17" s="181">
        <v>2.3E-3</v>
      </c>
      <c r="AI17" s="4"/>
    </row>
    <row r="18" spans="1:35">
      <c r="A18" s="69"/>
      <c r="B18" s="1"/>
      <c r="C18" s="1"/>
      <c r="E18" s="69" t="s">
        <v>99</v>
      </c>
      <c r="F18" s="105">
        <v>11475374.911862174</v>
      </c>
      <c r="G18" s="493">
        <v>50.67095190048051</v>
      </c>
      <c r="H18" s="144">
        <v>0.153</v>
      </c>
      <c r="I18" s="144">
        <v>3.0000000000000001E-3</v>
      </c>
      <c r="J18" s="143">
        <v>1</v>
      </c>
      <c r="K18" s="143">
        <v>0.3</v>
      </c>
      <c r="L18" s="516">
        <v>8.8999999999999996E-2</v>
      </c>
      <c r="M18" s="505">
        <v>0</v>
      </c>
      <c r="N18" s="145">
        <v>0</v>
      </c>
      <c r="O18" s="570">
        <v>10</v>
      </c>
      <c r="P18" s="571">
        <v>10</v>
      </c>
      <c r="Q18" s="571">
        <v>0.4</v>
      </c>
      <c r="R18" s="572"/>
      <c r="S18" s="572"/>
      <c r="T18" s="572"/>
      <c r="U18" s="572"/>
      <c r="V18" s="572"/>
      <c r="W18" s="572"/>
      <c r="X18" s="572"/>
      <c r="Y18" s="572"/>
      <c r="Z18" s="181">
        <v>0</v>
      </c>
      <c r="AA18" s="181">
        <v>0</v>
      </c>
      <c r="AB18" s="181">
        <v>0</v>
      </c>
      <c r="AC18" s="181">
        <v>0</v>
      </c>
      <c r="AD18" s="181">
        <v>0</v>
      </c>
      <c r="AE18" s="181">
        <v>0</v>
      </c>
      <c r="AF18" s="181">
        <v>0</v>
      </c>
      <c r="AG18" s="181">
        <v>0</v>
      </c>
      <c r="AH18" s="181">
        <v>0</v>
      </c>
      <c r="AI18" s="4"/>
    </row>
    <row r="19" spans="1:35">
      <c r="A19" s="73"/>
      <c r="B19" s="84"/>
      <c r="C19" s="84"/>
      <c r="D19" s="92"/>
      <c r="E19" s="73" t="s">
        <v>100</v>
      </c>
      <c r="F19" s="106">
        <v>0</v>
      </c>
      <c r="G19" s="494">
        <v>73.080939201699294</v>
      </c>
      <c r="H19" s="146">
        <v>9.2999999999999999E-2</v>
      </c>
      <c r="I19" s="146">
        <v>2.3E-3</v>
      </c>
      <c r="J19" s="147">
        <v>0.7</v>
      </c>
      <c r="K19" s="148">
        <v>26.946999999999999</v>
      </c>
      <c r="L19" s="517">
        <v>0.05</v>
      </c>
      <c r="M19" s="506">
        <v>2.274722825023771E-2</v>
      </c>
      <c r="N19" s="149">
        <v>0</v>
      </c>
      <c r="O19" s="573">
        <v>44</v>
      </c>
      <c r="P19" s="517">
        <v>44</v>
      </c>
      <c r="Q19" s="517">
        <v>24.64</v>
      </c>
      <c r="R19" s="148"/>
      <c r="S19" s="148"/>
      <c r="T19" s="148"/>
      <c r="U19" s="148"/>
      <c r="V19" s="148"/>
      <c r="W19" s="148"/>
      <c r="X19" s="132"/>
      <c r="Y19" s="132"/>
      <c r="Z19" s="181">
        <v>0</v>
      </c>
      <c r="AA19" s="181">
        <v>1.7100000000000001E-2</v>
      </c>
      <c r="AB19" s="181">
        <v>1.14E-2</v>
      </c>
      <c r="AC19" s="181">
        <v>3.9799999999999995E-2</v>
      </c>
      <c r="AD19" s="181">
        <v>0</v>
      </c>
      <c r="AE19" s="181">
        <v>1.14E-2</v>
      </c>
      <c r="AF19" s="181">
        <v>1.7060999999999999</v>
      </c>
      <c r="AG19" s="181">
        <v>1.1000000000000001E-3</v>
      </c>
      <c r="AH19" s="181">
        <v>0.11370000000000001</v>
      </c>
      <c r="AI19" s="4"/>
    </row>
    <row r="20" spans="1:35">
      <c r="F20" s="107"/>
      <c r="G20" s="496"/>
      <c r="H20" s="150"/>
      <c r="I20" s="151"/>
      <c r="J20" s="152"/>
      <c r="K20" s="153"/>
      <c r="L20" s="518"/>
      <c r="M20" s="507"/>
      <c r="N20" s="153"/>
      <c r="O20" s="175"/>
      <c r="P20" s="153"/>
      <c r="Q20" s="153"/>
      <c r="R20" s="237"/>
      <c r="S20" s="237"/>
      <c r="T20" s="237"/>
      <c r="U20" s="237"/>
      <c r="V20" s="237"/>
      <c r="W20" s="176"/>
      <c r="X20" s="176"/>
      <c r="Y20" s="176"/>
      <c r="Z20" s="177"/>
      <c r="AA20" s="177"/>
      <c r="AB20" s="178"/>
      <c r="AC20" s="177"/>
      <c r="AD20" s="177"/>
      <c r="AE20" s="177"/>
      <c r="AF20" s="177"/>
      <c r="AG20" s="177"/>
      <c r="AH20" s="177"/>
      <c r="AI20" s="4"/>
    </row>
    <row r="21" spans="1:35">
      <c r="A21" s="93" t="s">
        <v>74</v>
      </c>
      <c r="B21" s="86" t="s">
        <v>75</v>
      </c>
      <c r="C21" s="90" t="s">
        <v>101</v>
      </c>
      <c r="D21" s="86" t="s">
        <v>85</v>
      </c>
      <c r="E21" s="86"/>
      <c r="F21" s="108"/>
      <c r="G21" s="497"/>
      <c r="H21" s="155"/>
      <c r="I21" s="156"/>
      <c r="J21" s="157"/>
      <c r="K21" s="157"/>
      <c r="L21" s="519"/>
      <c r="M21" s="508"/>
      <c r="N21" s="157"/>
      <c r="O21" s="179"/>
      <c r="P21" s="154"/>
      <c r="Q21" s="154"/>
      <c r="R21" s="238"/>
      <c r="S21" s="238"/>
      <c r="T21" s="238"/>
      <c r="U21" s="238"/>
      <c r="V21" s="238"/>
      <c r="W21" s="154"/>
      <c r="X21" s="154"/>
      <c r="Y21" s="154"/>
      <c r="Z21" s="180"/>
      <c r="AA21" s="160"/>
      <c r="AB21" s="160"/>
      <c r="AC21" s="160"/>
      <c r="AD21" s="180"/>
      <c r="AE21" s="180"/>
      <c r="AF21" s="180"/>
      <c r="AG21" s="180"/>
      <c r="AH21" s="160"/>
      <c r="AI21" s="4"/>
    </row>
    <row r="22" spans="1:35">
      <c r="A22" s="93"/>
      <c r="B22" s="88"/>
      <c r="C22" s="93"/>
      <c r="D22" s="88"/>
      <c r="E22" s="88" t="s">
        <v>86</v>
      </c>
      <c r="F22" s="100">
        <v>0</v>
      </c>
      <c r="G22" s="491">
        <v>93.395221404523681</v>
      </c>
      <c r="H22" s="132">
        <v>0.2</v>
      </c>
      <c r="I22" s="132">
        <v>1.5E-3</v>
      </c>
      <c r="J22" s="513">
        <v>0.1</v>
      </c>
      <c r="K22" s="132">
        <v>5</v>
      </c>
      <c r="L22" s="513">
        <v>0.17399999999999999</v>
      </c>
      <c r="M22" s="491">
        <v>0.64552945034458353</v>
      </c>
      <c r="N22" s="158">
        <v>4.8000000000000001E-4</v>
      </c>
      <c r="O22" s="565">
        <v>404</v>
      </c>
      <c r="P22" s="513">
        <v>397.94</v>
      </c>
      <c r="Q22" s="513">
        <v>25.468160000000001</v>
      </c>
      <c r="R22" s="132">
        <v>0.19585363523454669</v>
      </c>
      <c r="S22" s="132">
        <v>4.7769179325499185E-2</v>
      </c>
      <c r="T22" s="132">
        <v>1.5923059775166397E-3</v>
      </c>
      <c r="U22" s="132">
        <v>9.553835865099837E-2</v>
      </c>
      <c r="V22" s="132">
        <v>5.0953791280532471E-2</v>
      </c>
      <c r="W22" s="132">
        <v>0.31846119550332791</v>
      </c>
      <c r="X22" s="132">
        <v>1.4330753797649757E-4</v>
      </c>
      <c r="Y22" s="132">
        <v>5.0953791280532467E-7</v>
      </c>
      <c r="Z22" s="181">
        <v>3.2000000000000002E-3</v>
      </c>
      <c r="AA22" s="181">
        <v>1E-4</v>
      </c>
      <c r="AB22" s="181">
        <v>1.6999999999999999E-3</v>
      </c>
      <c r="AC22" s="181">
        <v>4.2000000000000006E-3</v>
      </c>
      <c r="AD22" s="181">
        <v>9.5999999999999992E-3</v>
      </c>
      <c r="AE22" s="181">
        <v>4.2000000000000006E-3</v>
      </c>
      <c r="AF22" s="181">
        <v>7.6E-3</v>
      </c>
      <c r="AG22" s="181">
        <v>1.9E-3</v>
      </c>
      <c r="AH22" s="181">
        <v>1.6800000000000002E-2</v>
      </c>
      <c r="AI22" s="4"/>
    </row>
    <row r="23" spans="1:35">
      <c r="A23" s="94"/>
      <c r="B23" s="69"/>
      <c r="C23" s="94"/>
      <c r="D23" s="69"/>
      <c r="E23" s="69" t="s">
        <v>87</v>
      </c>
      <c r="F23" s="101">
        <v>0</v>
      </c>
      <c r="G23" s="491">
        <v>111.31127847722257</v>
      </c>
      <c r="H23" s="132">
        <v>1.4999999999999999E-2</v>
      </c>
      <c r="I23" s="132">
        <v>1.5E-3</v>
      </c>
      <c r="J23" s="513">
        <v>0.1</v>
      </c>
      <c r="K23" s="132">
        <v>5</v>
      </c>
      <c r="L23" s="513">
        <v>0.48399999999999999</v>
      </c>
      <c r="M23" s="491">
        <v>0.68241684750713127</v>
      </c>
      <c r="N23" s="159">
        <v>0</v>
      </c>
      <c r="O23" s="565">
        <v>404</v>
      </c>
      <c r="P23" s="513">
        <v>397.94</v>
      </c>
      <c r="Q23" s="513">
        <v>25.468160000000001</v>
      </c>
      <c r="R23" s="132"/>
      <c r="S23" s="132"/>
      <c r="T23" s="132"/>
      <c r="U23" s="132"/>
      <c r="V23" s="132"/>
      <c r="W23" s="132">
        <v>0.34120842375356564</v>
      </c>
      <c r="X23" s="132"/>
      <c r="Y23" s="132"/>
      <c r="Z23" s="181">
        <v>0</v>
      </c>
      <c r="AA23" s="181">
        <v>0</v>
      </c>
      <c r="AB23" s="181">
        <v>0</v>
      </c>
      <c r="AC23" s="181">
        <v>0</v>
      </c>
      <c r="AD23" s="181">
        <v>0</v>
      </c>
      <c r="AE23" s="181">
        <v>0</v>
      </c>
      <c r="AF23" s="181">
        <v>0</v>
      </c>
      <c r="AG23" s="181">
        <v>0</v>
      </c>
      <c r="AH23" s="181">
        <v>0</v>
      </c>
      <c r="AI23" s="4"/>
    </row>
    <row r="24" spans="1:35">
      <c r="A24" s="94"/>
      <c r="B24" s="69"/>
      <c r="C24" s="94"/>
      <c r="D24" s="69"/>
      <c r="E24" s="69" t="s">
        <v>88</v>
      </c>
      <c r="F24" s="101">
        <v>251060701.39999998</v>
      </c>
      <c r="G24" s="491">
        <v>94.6</v>
      </c>
      <c r="H24" s="492">
        <v>0.32</v>
      </c>
      <c r="I24" s="492">
        <v>1.4E-2</v>
      </c>
      <c r="J24" s="492">
        <v>6.5532605989411657E-2</v>
      </c>
      <c r="K24" s="492">
        <v>4.6086098486546856</v>
      </c>
      <c r="L24" s="492">
        <v>0.5332493070921106</v>
      </c>
      <c r="M24" s="492">
        <v>1.392481787374599E-2</v>
      </c>
      <c r="N24" s="511">
        <v>4.8616966720255407E-3</v>
      </c>
      <c r="O24" s="561">
        <v>352.16085301917013</v>
      </c>
      <c r="P24" s="491">
        <v>347.72601587506023</v>
      </c>
      <c r="Q24" s="491">
        <v>31.313994084462305</v>
      </c>
      <c r="R24" s="491">
        <v>0.19142113019948215</v>
      </c>
      <c r="S24" s="491">
        <v>5.7996642607123353E-2</v>
      </c>
      <c r="T24" s="491">
        <v>6.6023238518216787E-2</v>
      </c>
      <c r="U24" s="491">
        <v>2.9582292853666058E-2</v>
      </c>
      <c r="V24" s="491">
        <v>3.7818956220475958E-2</v>
      </c>
      <c r="W24" s="491">
        <v>0.36523850547302616</v>
      </c>
      <c r="X24" s="491">
        <v>5.9000006966566265E-5</v>
      </c>
      <c r="Y24" s="491">
        <v>5.9000006966566261E-6</v>
      </c>
      <c r="Z24" s="562">
        <v>4.9166672472138553E-4</v>
      </c>
      <c r="AA24" s="562">
        <v>1.3117314486295727E-3</v>
      </c>
      <c r="AB24" s="562">
        <v>3.3258404665087115E-3</v>
      </c>
      <c r="AC24" s="562">
        <v>5.272265120536474E-3</v>
      </c>
      <c r="AD24" s="562">
        <v>3.9333337977710847E-4</v>
      </c>
      <c r="AE24" s="562">
        <v>1.9666668988855421E-3</v>
      </c>
      <c r="AF24" s="562">
        <v>3.38467301242453E-2</v>
      </c>
      <c r="AG24" s="562">
        <v>4.9166672472138553E-4</v>
      </c>
      <c r="AH24" s="562">
        <v>9.0150378185640548E-2</v>
      </c>
      <c r="AI24" s="4"/>
    </row>
    <row r="25" spans="1:35">
      <c r="A25" s="94"/>
      <c r="B25" s="69"/>
      <c r="C25" s="94"/>
      <c r="D25" s="69"/>
      <c r="E25" s="69" t="s">
        <v>89</v>
      </c>
      <c r="F25" s="101">
        <v>0</v>
      </c>
      <c r="G25" s="491">
        <v>97.743938032680035</v>
      </c>
      <c r="H25" s="492">
        <v>5.365195342997192E-3</v>
      </c>
      <c r="I25" s="492">
        <v>8.9718985668849373E-3</v>
      </c>
      <c r="J25" s="492">
        <v>0.124864277</v>
      </c>
      <c r="K25" s="491">
        <v>7.6E-3</v>
      </c>
      <c r="L25" s="491">
        <v>4.9399999999999999E-2</v>
      </c>
      <c r="M25" s="491">
        <v>4.2340000000000003E-2</v>
      </c>
      <c r="N25" s="319">
        <v>0</v>
      </c>
      <c r="O25" s="574">
        <v>0.58967406416663182</v>
      </c>
      <c r="P25" s="575">
        <v>0.37564597323325705</v>
      </c>
      <c r="Q25" s="575">
        <v>1.3147609063163999E-2</v>
      </c>
      <c r="R25" s="575">
        <v>1.0116997629833176E-4</v>
      </c>
      <c r="S25" s="575">
        <v>3.3781405431439405E-5</v>
      </c>
      <c r="T25" s="575">
        <v>1.4705749067984053E-5</v>
      </c>
      <c r="U25" s="575">
        <v>4.0076294029272E-5</v>
      </c>
      <c r="V25" s="575">
        <v>1.2607961220118816E-5</v>
      </c>
      <c r="W25" s="491">
        <v>1.6298725107395728E-2</v>
      </c>
      <c r="X25" s="491">
        <v>3.3021213678148358E-2</v>
      </c>
      <c r="Y25" s="491">
        <v>1.978646314601441E-2</v>
      </c>
      <c r="Z25" s="576">
        <v>1.1910034262659424E-3</v>
      </c>
      <c r="AA25" s="576">
        <v>9.0168474939065471E-4</v>
      </c>
      <c r="AB25" s="576">
        <v>5.911627382491993E-3</v>
      </c>
      <c r="AC25" s="576">
        <v>4.7447862261456343E-3</v>
      </c>
      <c r="AD25" s="576">
        <v>1.9697001673560544E-3</v>
      </c>
      <c r="AE25" s="576">
        <v>5.8660475456400667E-4</v>
      </c>
      <c r="AF25" s="576">
        <v>5.9668204397113546E-2</v>
      </c>
      <c r="AG25" s="576">
        <v>7.3102322893601535E-4</v>
      </c>
      <c r="AH25" s="576">
        <v>4.6626956183927086E-2</v>
      </c>
      <c r="AI25" s="4"/>
    </row>
    <row r="26" spans="1:35">
      <c r="A26" s="94"/>
      <c r="B26" s="69"/>
      <c r="C26" s="94"/>
      <c r="D26" s="69"/>
      <c r="E26" s="69" t="s">
        <v>90</v>
      </c>
      <c r="F26" s="101">
        <v>0</v>
      </c>
      <c r="G26" s="491">
        <v>83.887251600374213</v>
      </c>
      <c r="H26" s="492">
        <v>5.3651953429971954E-3</v>
      </c>
      <c r="I26" s="492">
        <v>8.9718985668849442E-3</v>
      </c>
      <c r="J26" s="492"/>
      <c r="K26" s="491"/>
      <c r="L26" s="491"/>
      <c r="M26" s="491"/>
      <c r="N26" s="319"/>
      <c r="O26" s="560"/>
      <c r="P26" s="132"/>
      <c r="Q26" s="132"/>
      <c r="R26" s="132"/>
      <c r="S26" s="132"/>
      <c r="T26" s="132"/>
      <c r="U26" s="132"/>
      <c r="V26" s="132"/>
      <c r="W26" s="132"/>
      <c r="X26" s="132"/>
      <c r="Y26" s="132"/>
      <c r="Z26" s="563"/>
      <c r="AA26" s="563"/>
      <c r="AB26" s="563"/>
      <c r="AC26" s="563"/>
      <c r="AD26" s="563"/>
      <c r="AE26" s="563"/>
      <c r="AF26" s="563"/>
      <c r="AG26" s="563"/>
      <c r="AH26" s="563"/>
      <c r="AI26" s="4"/>
    </row>
    <row r="27" spans="1:35">
      <c r="A27" s="94"/>
      <c r="B27" s="69"/>
      <c r="C27" s="94"/>
      <c r="D27" s="69"/>
      <c r="E27" s="69" t="s">
        <v>91</v>
      </c>
      <c r="F27" s="101">
        <v>0</v>
      </c>
      <c r="G27" s="491">
        <v>79.599999999999994</v>
      </c>
      <c r="H27" s="135">
        <v>1.2E-2</v>
      </c>
      <c r="I27" s="135">
        <v>2E-3</v>
      </c>
      <c r="J27" s="135">
        <v>1.3</v>
      </c>
      <c r="K27" s="132">
        <v>0.41</v>
      </c>
      <c r="L27" s="132">
        <v>8.7999999999999995E-2</v>
      </c>
      <c r="M27" s="491">
        <v>4.6864093846660126E-2</v>
      </c>
      <c r="N27" s="159">
        <v>0</v>
      </c>
      <c r="O27" s="560"/>
      <c r="P27" s="132"/>
      <c r="Q27" s="132"/>
      <c r="R27" s="132"/>
      <c r="S27" s="132"/>
      <c r="T27" s="132"/>
      <c r="U27" s="132"/>
      <c r="V27" s="132"/>
      <c r="W27" s="132"/>
      <c r="X27" s="132"/>
      <c r="Y27" s="132"/>
      <c r="Z27" s="564"/>
      <c r="AA27" s="564"/>
      <c r="AB27" s="564"/>
      <c r="AC27" s="564"/>
      <c r="AD27" s="564"/>
      <c r="AE27" s="564"/>
      <c r="AF27" s="564"/>
      <c r="AG27" s="564"/>
      <c r="AH27" s="564"/>
      <c r="AI27" s="4"/>
    </row>
    <row r="28" spans="1:35">
      <c r="A28" s="94"/>
      <c r="B28" s="69"/>
      <c r="C28" s="94"/>
      <c r="D28" s="69"/>
      <c r="E28" s="69" t="s">
        <v>92</v>
      </c>
      <c r="F28" s="101">
        <v>0</v>
      </c>
      <c r="G28" s="491">
        <v>76.426944003278678</v>
      </c>
      <c r="H28" s="132">
        <v>3.0000000000000001E-3</v>
      </c>
      <c r="I28" s="132">
        <v>2E-3</v>
      </c>
      <c r="J28" s="513">
        <v>6.9000000000000006E-2</v>
      </c>
      <c r="K28" s="132">
        <v>1.6E-2</v>
      </c>
      <c r="L28" s="513">
        <v>1.1999999999999999E-3</v>
      </c>
      <c r="M28" s="491">
        <v>0.14623218160867099</v>
      </c>
      <c r="N28" s="159">
        <v>0</v>
      </c>
      <c r="O28" s="565">
        <v>1.9</v>
      </c>
      <c r="P28" s="513">
        <v>1.52</v>
      </c>
      <c r="Q28" s="513">
        <v>0.12920000000000001</v>
      </c>
      <c r="R28" s="132">
        <v>3.6338697129754738E-4</v>
      </c>
      <c r="S28" s="132">
        <v>8.3596063819623581E-5</v>
      </c>
      <c r="T28" s="132">
        <v>6.8972845658756484E-5</v>
      </c>
      <c r="U28" s="132">
        <v>1.6670468703388491E-4</v>
      </c>
      <c r="V28" s="132">
        <v>4.4113374785282415E-5</v>
      </c>
      <c r="W28" s="132">
        <v>2.4372030268111831E-2</v>
      </c>
      <c r="X28" s="132">
        <v>8.7739308965202592E-5</v>
      </c>
      <c r="Y28" s="132"/>
      <c r="Z28" s="181">
        <v>2.4399999999999998E-2</v>
      </c>
      <c r="AA28" s="181">
        <v>2.4399999999999998E-2</v>
      </c>
      <c r="AB28" s="181">
        <v>6.0899999999999996E-2</v>
      </c>
      <c r="AC28" s="181">
        <v>2.4399999999999998E-2</v>
      </c>
      <c r="AD28" s="181">
        <v>4.9000000000000007E-3</v>
      </c>
      <c r="AE28" s="181">
        <v>0.85299999999999998</v>
      </c>
      <c r="AF28" s="181">
        <v>3.1699999999999999E-2</v>
      </c>
      <c r="AG28" s="181">
        <v>1.1999999999999999E-3</v>
      </c>
      <c r="AH28" s="181">
        <v>2.4399999999999998E-2</v>
      </c>
      <c r="AI28" s="4"/>
    </row>
    <row r="29" spans="1:35">
      <c r="A29" s="94"/>
      <c r="B29" s="69"/>
      <c r="C29" s="94"/>
      <c r="D29" s="69"/>
      <c r="E29" s="69" t="s">
        <v>93</v>
      </c>
      <c r="F29" s="101">
        <v>22183902.126464002</v>
      </c>
      <c r="G29" s="491">
        <v>73.926512687586879</v>
      </c>
      <c r="H29" s="132">
        <v>7.0000000000000001E-3</v>
      </c>
      <c r="I29" s="132">
        <v>2E-3</v>
      </c>
      <c r="J29" s="513">
        <v>3.4000000000000002E-2</v>
      </c>
      <c r="K29" s="132">
        <v>0.02</v>
      </c>
      <c r="L29" s="513">
        <v>1.7000000000000001E-4</v>
      </c>
      <c r="M29" s="491">
        <v>4.6864093846660126E-2</v>
      </c>
      <c r="N29" s="159">
        <v>0</v>
      </c>
      <c r="O29" s="565">
        <v>2.2000000000000002</v>
      </c>
      <c r="P29" s="513">
        <v>2.2000000000000002</v>
      </c>
      <c r="Q29" s="513">
        <v>0.18700000000000003</v>
      </c>
      <c r="R29" s="132"/>
      <c r="S29" s="132"/>
      <c r="T29" s="132"/>
      <c r="U29" s="132"/>
      <c r="V29" s="132"/>
      <c r="W29" s="132">
        <v>2.3416264375244699E-2</v>
      </c>
      <c r="X29" s="132"/>
      <c r="Y29" s="132"/>
      <c r="Z29" s="181">
        <v>1.1999999999999999E-3</v>
      </c>
      <c r="AA29" s="181">
        <v>1.1999999999999999E-3</v>
      </c>
      <c r="AB29" s="181">
        <v>5.0000000000000001E-4</v>
      </c>
      <c r="AC29" s="181">
        <v>1.1999999999999999E-3</v>
      </c>
      <c r="AD29" s="181">
        <v>0</v>
      </c>
      <c r="AE29" s="181">
        <v>1.1999999999999999E-3</v>
      </c>
      <c r="AF29" s="181">
        <v>4.7000000000000002E-3</v>
      </c>
      <c r="AG29" s="181">
        <v>2.0000000000000002E-5</v>
      </c>
      <c r="AH29" s="181">
        <v>2.3E-3</v>
      </c>
      <c r="AI29" s="4"/>
    </row>
    <row r="30" spans="1:35">
      <c r="A30" s="94"/>
      <c r="B30" s="69"/>
      <c r="C30" s="94"/>
      <c r="D30" s="69"/>
      <c r="E30" s="69" t="s">
        <v>94</v>
      </c>
      <c r="F30" s="101">
        <v>60934.268520000005</v>
      </c>
      <c r="G30" s="132">
        <v>71.900000000000006</v>
      </c>
      <c r="H30" s="132">
        <v>7.0000000000000001E-3</v>
      </c>
      <c r="I30" s="132">
        <v>2E-3</v>
      </c>
      <c r="J30" s="513">
        <v>3.4000000000000002E-2</v>
      </c>
      <c r="K30" s="132">
        <v>0.06</v>
      </c>
      <c r="L30" s="513">
        <v>1.7000000000000001E-4</v>
      </c>
      <c r="M30" s="132">
        <v>1.8372761279038148E-2</v>
      </c>
      <c r="N30" s="159">
        <v>0</v>
      </c>
      <c r="O30" s="565">
        <v>2.2000000000000002</v>
      </c>
      <c r="P30" s="513">
        <v>2.2000000000000002</v>
      </c>
      <c r="Q30" s="513">
        <v>0.18700000000000003</v>
      </c>
      <c r="R30" s="132"/>
      <c r="S30" s="132"/>
      <c r="T30" s="132"/>
      <c r="U30" s="132"/>
      <c r="V30" s="132"/>
      <c r="W30" s="132">
        <v>2.3188922002669508E-2</v>
      </c>
      <c r="X30" s="132"/>
      <c r="Y30" s="132"/>
      <c r="Z30" s="181">
        <v>0</v>
      </c>
      <c r="AA30" s="181">
        <v>0</v>
      </c>
      <c r="AB30" s="181">
        <v>0</v>
      </c>
      <c r="AC30" s="181">
        <v>0</v>
      </c>
      <c r="AD30" s="181">
        <v>0</v>
      </c>
      <c r="AE30" s="181">
        <v>0</v>
      </c>
      <c r="AF30" s="181">
        <v>0</v>
      </c>
      <c r="AG30" s="181">
        <v>0</v>
      </c>
      <c r="AH30" s="181">
        <v>0</v>
      </c>
      <c r="AI30" s="4"/>
    </row>
    <row r="31" spans="1:35">
      <c r="A31" s="94"/>
      <c r="B31" s="69"/>
      <c r="C31" s="94"/>
      <c r="D31" s="69"/>
      <c r="E31" s="69" t="s">
        <v>95</v>
      </c>
      <c r="F31" s="101">
        <v>539367151.49999988</v>
      </c>
      <c r="G31" s="491">
        <v>59.182058931934002</v>
      </c>
      <c r="H31" s="132">
        <v>2.5000000000000001E-3</v>
      </c>
      <c r="I31" s="132">
        <v>1E-3</v>
      </c>
      <c r="J31" s="491">
        <v>2.9131470365881661E-2</v>
      </c>
      <c r="K31" s="132">
        <v>2.5000000000000001E-2</v>
      </c>
      <c r="L31" s="513">
        <v>1.8E-3</v>
      </c>
      <c r="M31" s="504">
        <v>2.9999999999999997E-4</v>
      </c>
      <c r="N31" s="159">
        <v>0</v>
      </c>
      <c r="O31" s="561">
        <v>0.2</v>
      </c>
      <c r="P31" s="491">
        <v>0.2</v>
      </c>
      <c r="Q31" s="513">
        <v>1.0800000000000001E-2</v>
      </c>
      <c r="R31" s="132"/>
      <c r="S31" s="132"/>
      <c r="T31" s="132"/>
      <c r="U31" s="132"/>
      <c r="V31" s="132"/>
      <c r="W31" s="132"/>
      <c r="X31" s="132"/>
      <c r="Y31" s="132"/>
      <c r="Z31" s="181">
        <v>0</v>
      </c>
      <c r="AA31" s="181">
        <v>0</v>
      </c>
      <c r="AB31" s="181">
        <v>0</v>
      </c>
      <c r="AC31" s="181">
        <v>0</v>
      </c>
      <c r="AD31" s="181">
        <v>2.0000000000000001E-4</v>
      </c>
      <c r="AE31" s="181">
        <v>0</v>
      </c>
      <c r="AF31" s="181">
        <v>0</v>
      </c>
      <c r="AG31" s="181">
        <v>0</v>
      </c>
      <c r="AH31" s="181">
        <v>0</v>
      </c>
      <c r="AI31" s="4"/>
    </row>
    <row r="32" spans="1:35">
      <c r="A32" s="94"/>
      <c r="B32" s="69"/>
      <c r="C32" s="94"/>
      <c r="D32" s="69"/>
      <c r="E32" s="69" t="s">
        <v>53</v>
      </c>
      <c r="F32" s="101">
        <v>44560467.712782003</v>
      </c>
      <c r="G32" s="491">
        <v>65.98436196093148</v>
      </c>
      <c r="H32" s="132">
        <v>1E-3</v>
      </c>
      <c r="I32" s="132">
        <v>2E-3</v>
      </c>
      <c r="J32" s="491">
        <v>2.9131470365881661E-2</v>
      </c>
      <c r="K32" s="132">
        <v>0.01</v>
      </c>
      <c r="L32" s="513">
        <v>1.8E-3</v>
      </c>
      <c r="M32" s="491">
        <v>2.2000000000000001E-3</v>
      </c>
      <c r="N32" s="159">
        <v>0</v>
      </c>
      <c r="O32" s="561">
        <v>2</v>
      </c>
      <c r="P32" s="491">
        <v>2</v>
      </c>
      <c r="Q32" s="513">
        <v>0.17</v>
      </c>
      <c r="R32" s="132"/>
      <c r="S32" s="132"/>
      <c r="T32" s="132"/>
      <c r="U32" s="132"/>
      <c r="V32" s="132"/>
      <c r="W32" s="132">
        <v>2.1713263329772359E-2</v>
      </c>
      <c r="X32" s="132"/>
      <c r="Y32" s="132"/>
      <c r="Z32" s="181">
        <v>0</v>
      </c>
      <c r="AA32" s="181">
        <v>0</v>
      </c>
      <c r="AB32" s="181">
        <v>0</v>
      </c>
      <c r="AC32" s="181">
        <v>0</v>
      </c>
      <c r="AD32" s="181">
        <v>0</v>
      </c>
      <c r="AE32" s="181">
        <v>0</v>
      </c>
      <c r="AF32" s="181">
        <v>0</v>
      </c>
      <c r="AG32" s="181">
        <v>0</v>
      </c>
      <c r="AH32" s="181">
        <v>0</v>
      </c>
      <c r="AI32" s="4"/>
    </row>
    <row r="33" spans="1:35">
      <c r="A33" s="94"/>
      <c r="B33" s="69"/>
      <c r="C33" s="83"/>
      <c r="D33" s="73"/>
      <c r="E33" s="73" t="s">
        <v>96</v>
      </c>
      <c r="F33" s="102">
        <v>0</v>
      </c>
      <c r="G33" s="132">
        <v>56.1</v>
      </c>
      <c r="H33" s="132">
        <v>5.0000000000000001E-3</v>
      </c>
      <c r="I33" s="132">
        <v>1E-3</v>
      </c>
      <c r="J33" s="513">
        <v>4.2000000000000003E-2</v>
      </c>
      <c r="K33" s="132">
        <v>6.5000000000000002E-2</v>
      </c>
      <c r="L33" s="513">
        <v>1.9E-3</v>
      </c>
      <c r="M33" s="132">
        <v>1.1239806900117456E-2</v>
      </c>
      <c r="N33" s="159">
        <v>0</v>
      </c>
      <c r="O33" s="577">
        <v>0</v>
      </c>
      <c r="P33" s="563">
        <v>0</v>
      </c>
      <c r="Q33" s="563">
        <v>0</v>
      </c>
      <c r="R33" s="132"/>
      <c r="S33" s="132"/>
      <c r="T33" s="132"/>
      <c r="U33" s="132"/>
      <c r="V33" s="132"/>
      <c r="W33" s="132"/>
      <c r="X33" s="132"/>
      <c r="Y33" s="132"/>
      <c r="Z33" s="181">
        <v>0</v>
      </c>
      <c r="AA33" s="181">
        <v>0</v>
      </c>
      <c r="AB33" s="181">
        <v>0</v>
      </c>
      <c r="AC33" s="181">
        <v>0</v>
      </c>
      <c r="AD33" s="181">
        <v>0</v>
      </c>
      <c r="AE33" s="181">
        <v>0</v>
      </c>
      <c r="AF33" s="181">
        <v>0</v>
      </c>
      <c r="AG33" s="181">
        <v>0</v>
      </c>
      <c r="AH33" s="181">
        <v>0</v>
      </c>
      <c r="AI33" s="4"/>
    </row>
    <row r="34" spans="1:35">
      <c r="A34" s="69"/>
      <c r="B34" s="69"/>
      <c r="C34" s="90" t="s">
        <v>102</v>
      </c>
      <c r="D34" s="91" t="s">
        <v>98</v>
      </c>
      <c r="E34" s="86"/>
      <c r="F34" s="109"/>
      <c r="G34" s="497"/>
      <c r="H34" s="154"/>
      <c r="I34" s="157"/>
      <c r="J34" s="254"/>
      <c r="K34" s="157"/>
      <c r="L34" s="520"/>
      <c r="M34" s="497"/>
      <c r="N34" s="160"/>
      <c r="O34" s="578"/>
      <c r="P34" s="579"/>
      <c r="Q34" s="579"/>
      <c r="R34" s="579"/>
      <c r="S34" s="579"/>
      <c r="T34" s="579"/>
      <c r="U34" s="579"/>
      <c r="V34" s="579"/>
      <c r="W34" s="579"/>
      <c r="X34" s="579"/>
      <c r="Y34" s="579"/>
      <c r="Z34" s="181"/>
      <c r="AA34" s="181"/>
      <c r="AB34" s="181"/>
      <c r="AC34" s="181"/>
      <c r="AD34" s="181"/>
      <c r="AE34" s="181"/>
      <c r="AF34" s="181"/>
      <c r="AG34" s="181"/>
      <c r="AH34" s="181"/>
      <c r="AI34" s="4"/>
    </row>
    <row r="35" spans="1:35">
      <c r="A35" s="69"/>
      <c r="B35" s="69"/>
      <c r="C35" s="88"/>
      <c r="D35" s="88"/>
      <c r="E35" s="88" t="s">
        <v>93</v>
      </c>
      <c r="F35" s="100">
        <v>3946</v>
      </c>
      <c r="G35" s="491">
        <v>73.926512687586879</v>
      </c>
      <c r="H35" s="141">
        <v>1.2E-2</v>
      </c>
      <c r="I35" s="141">
        <v>2E-3</v>
      </c>
      <c r="J35" s="515">
        <v>0.94199999999999995</v>
      </c>
      <c r="K35" s="141">
        <v>0.41</v>
      </c>
      <c r="L35" s="515">
        <v>0.05</v>
      </c>
      <c r="M35" s="491">
        <v>4.6864093846660126E-2</v>
      </c>
      <c r="N35" s="161">
        <v>0</v>
      </c>
      <c r="O35" s="565">
        <v>30</v>
      </c>
      <c r="P35" s="513">
        <v>30</v>
      </c>
      <c r="Q35" s="513">
        <v>2.5500000000000003</v>
      </c>
      <c r="R35" s="132"/>
      <c r="S35" s="132"/>
      <c r="T35" s="132"/>
      <c r="U35" s="132"/>
      <c r="V35" s="132"/>
      <c r="W35" s="132">
        <v>2.3416264375244699E-2</v>
      </c>
      <c r="X35" s="132"/>
      <c r="Y35" s="132"/>
      <c r="Z35" s="181">
        <v>1.1999999999999999E-3</v>
      </c>
      <c r="AA35" s="181">
        <v>1.1999999999999999E-3</v>
      </c>
      <c r="AB35" s="181">
        <v>5.0000000000000001E-4</v>
      </c>
      <c r="AC35" s="181">
        <v>1.1999999999999999E-3</v>
      </c>
      <c r="AD35" s="181">
        <v>0</v>
      </c>
      <c r="AE35" s="181">
        <v>1.1999999999999999E-3</v>
      </c>
      <c r="AF35" s="181">
        <v>4.7000000000000002E-3</v>
      </c>
      <c r="AG35" s="181">
        <v>2.0000000000000002E-5</v>
      </c>
      <c r="AH35" s="181">
        <v>2.3E-3</v>
      </c>
      <c r="AI35" s="4"/>
    </row>
    <row r="36" spans="1:35">
      <c r="A36" s="73"/>
      <c r="B36" s="73"/>
      <c r="C36" s="73"/>
      <c r="D36" s="73"/>
      <c r="E36" s="73" t="s">
        <v>100</v>
      </c>
      <c r="F36" s="102">
        <v>0</v>
      </c>
      <c r="G36" s="494">
        <v>73.080939201699294</v>
      </c>
      <c r="H36" s="148">
        <v>9.2999999999999999E-2</v>
      </c>
      <c r="I36" s="148">
        <v>2.3E-3</v>
      </c>
      <c r="J36" s="522">
        <v>0.94199999999999995</v>
      </c>
      <c r="K36" s="148">
        <v>26.946999999999999</v>
      </c>
      <c r="L36" s="517">
        <v>0.05</v>
      </c>
      <c r="M36" s="506">
        <v>2.274722825023771E-2</v>
      </c>
      <c r="N36" s="162">
        <v>0</v>
      </c>
      <c r="O36" s="573">
        <v>30</v>
      </c>
      <c r="P36" s="517">
        <v>30</v>
      </c>
      <c r="Q36" s="517">
        <v>2.5500000000000003</v>
      </c>
      <c r="R36" s="148"/>
      <c r="S36" s="148"/>
      <c r="T36" s="148"/>
      <c r="U36" s="148"/>
      <c r="V36" s="148"/>
      <c r="W36" s="148"/>
      <c r="X36" s="148"/>
      <c r="Y36" s="148"/>
      <c r="Z36" s="580">
        <v>0</v>
      </c>
      <c r="AA36" s="580">
        <v>1.7100000000000001E-2</v>
      </c>
      <c r="AB36" s="580">
        <v>1.14E-2</v>
      </c>
      <c r="AC36" s="580">
        <v>3.9799999999999995E-2</v>
      </c>
      <c r="AD36" s="580">
        <v>0</v>
      </c>
      <c r="AE36" s="580">
        <v>1.14E-2</v>
      </c>
      <c r="AF36" s="580">
        <v>1.7060999999999999</v>
      </c>
      <c r="AG36" s="580">
        <v>1.1000000000000001E-3</v>
      </c>
      <c r="AH36" s="580">
        <v>0.11370000000000001</v>
      </c>
      <c r="AI36" s="4"/>
    </row>
    <row r="37" spans="1:35">
      <c r="F37" s="110"/>
      <c r="G37" s="491"/>
      <c r="H37" s="133"/>
      <c r="I37" s="133"/>
      <c r="J37" s="163"/>
      <c r="K37" s="132"/>
      <c r="L37" s="513"/>
      <c r="M37" s="491"/>
      <c r="N37" s="132"/>
      <c r="O37" s="184"/>
      <c r="P37" s="185"/>
      <c r="Q37" s="185"/>
      <c r="R37" s="185"/>
      <c r="S37" s="185"/>
      <c r="T37" s="185"/>
      <c r="U37" s="185"/>
      <c r="V37" s="185"/>
      <c r="W37" s="185"/>
      <c r="X37" s="185"/>
      <c r="Y37" s="185"/>
      <c r="Z37" s="186"/>
      <c r="AA37" s="186"/>
      <c r="AB37" s="186"/>
      <c r="AC37" s="186"/>
      <c r="AD37" s="186"/>
      <c r="AE37" s="186"/>
      <c r="AF37" s="186"/>
      <c r="AG37" s="186"/>
      <c r="AH37" s="187"/>
      <c r="AI37" s="4"/>
    </row>
    <row r="38" spans="1:35">
      <c r="A38" s="95" t="s">
        <v>76</v>
      </c>
      <c r="B38" s="96" t="s">
        <v>77</v>
      </c>
      <c r="C38" s="95" t="s">
        <v>103</v>
      </c>
      <c r="D38" s="96" t="s">
        <v>85</v>
      </c>
      <c r="E38" s="91"/>
      <c r="F38" s="111"/>
      <c r="G38" s="498"/>
      <c r="H38" s="165"/>
      <c r="I38" s="166"/>
      <c r="J38" s="167"/>
      <c r="K38" s="167"/>
      <c r="L38" s="521"/>
      <c r="M38" s="509"/>
      <c r="N38" s="167"/>
      <c r="O38" s="164"/>
      <c r="P38" s="188"/>
      <c r="Q38" s="188"/>
      <c r="R38" s="188"/>
      <c r="S38" s="188"/>
      <c r="T38" s="188"/>
      <c r="U38" s="188"/>
      <c r="V38" s="188"/>
      <c r="W38" s="188"/>
      <c r="X38" s="188"/>
      <c r="Y38" s="188"/>
      <c r="Z38" s="159"/>
      <c r="AA38" s="159"/>
      <c r="AB38" s="159"/>
      <c r="AC38" s="159"/>
      <c r="AD38" s="159"/>
      <c r="AE38" s="159"/>
      <c r="AF38" s="159"/>
      <c r="AG38" s="159"/>
      <c r="AH38" s="159"/>
      <c r="AI38" s="4"/>
    </row>
    <row r="39" spans="1:35">
      <c r="A39" s="93"/>
      <c r="B39" s="88"/>
      <c r="C39" s="93"/>
      <c r="D39" s="88"/>
      <c r="E39" s="88" t="s">
        <v>92</v>
      </c>
      <c r="F39" s="100">
        <v>0</v>
      </c>
      <c r="G39" s="491">
        <v>76.426944003278678</v>
      </c>
      <c r="H39" s="132">
        <v>3.0000000000000001E-3</v>
      </c>
      <c r="I39" s="132">
        <v>2E-3</v>
      </c>
      <c r="J39" s="132">
        <v>0.15</v>
      </c>
      <c r="K39" s="132">
        <v>1.6E-2</v>
      </c>
      <c r="L39" s="513">
        <v>1.4999999999999999E-2</v>
      </c>
      <c r="M39" s="491">
        <v>0.14623218160867099</v>
      </c>
      <c r="N39" s="159">
        <v>0</v>
      </c>
      <c r="O39" s="523">
        <v>58.7</v>
      </c>
      <c r="P39" s="524">
        <v>46.960000000000008</v>
      </c>
      <c r="Q39" s="524">
        <v>26.297600000000006</v>
      </c>
      <c r="R39" s="170">
        <v>3.6338697129754738E-4</v>
      </c>
      <c r="S39" s="170">
        <v>8.3596063819623581E-5</v>
      </c>
      <c r="T39" s="170">
        <v>6.8972845658756484E-5</v>
      </c>
      <c r="U39" s="170">
        <v>1.6670468703388491E-4</v>
      </c>
      <c r="V39" s="170">
        <v>4.4113374785282415E-5</v>
      </c>
      <c r="W39" s="170">
        <v>2.4372030268111831E-2</v>
      </c>
      <c r="X39" s="170">
        <v>8.7739308965202592E-5</v>
      </c>
      <c r="Y39" s="170"/>
      <c r="Z39" s="159">
        <v>2.4399999999999998E-2</v>
      </c>
      <c r="AA39" s="159">
        <v>2.4399999999999998E-2</v>
      </c>
      <c r="AB39" s="159">
        <v>6.0899999999999996E-2</v>
      </c>
      <c r="AC39" s="159">
        <v>2.4399999999999998E-2</v>
      </c>
      <c r="AD39" s="159">
        <v>4.9000000000000007E-3</v>
      </c>
      <c r="AE39" s="159">
        <v>0.85299999999999998</v>
      </c>
      <c r="AF39" s="159">
        <v>3.1699999999999999E-2</v>
      </c>
      <c r="AG39" s="171">
        <v>1.1999999999999999E-3</v>
      </c>
      <c r="AH39" s="159">
        <v>2.4399999999999998E-2</v>
      </c>
      <c r="AI39" s="4"/>
    </row>
    <row r="40" spans="1:35">
      <c r="A40" s="94"/>
      <c r="B40" s="69"/>
      <c r="C40" s="94"/>
      <c r="D40" s="69"/>
      <c r="E40" s="69" t="s">
        <v>94</v>
      </c>
      <c r="F40" s="101">
        <v>0</v>
      </c>
      <c r="G40" s="132">
        <v>71.900000000000006</v>
      </c>
      <c r="H40" s="132">
        <v>7.0000000000000001E-3</v>
      </c>
      <c r="I40" s="132">
        <v>2E-3</v>
      </c>
      <c r="J40" s="132">
        <v>0.05</v>
      </c>
      <c r="K40" s="132">
        <v>0.06</v>
      </c>
      <c r="L40" s="513">
        <v>5.0000000000000001E-3</v>
      </c>
      <c r="M40" s="132">
        <v>1.8372761279038148E-2</v>
      </c>
      <c r="N40" s="159">
        <v>0</v>
      </c>
      <c r="O40" s="523">
        <v>3.6</v>
      </c>
      <c r="P40" s="524">
        <v>3.6</v>
      </c>
      <c r="Q40" s="524">
        <v>2.0160000000000005</v>
      </c>
      <c r="R40" s="170"/>
      <c r="S40" s="170"/>
      <c r="T40" s="170"/>
      <c r="U40" s="170"/>
      <c r="V40" s="170"/>
      <c r="W40" s="170">
        <v>2.3188922002669508E-2</v>
      </c>
      <c r="X40" s="170"/>
      <c r="Y40" s="170"/>
      <c r="Z40" s="159">
        <v>0</v>
      </c>
      <c r="AA40" s="159">
        <v>0</v>
      </c>
      <c r="AB40" s="159">
        <v>0</v>
      </c>
      <c r="AC40" s="159">
        <v>0</v>
      </c>
      <c r="AD40" s="159">
        <v>0</v>
      </c>
      <c r="AE40" s="159">
        <v>0</v>
      </c>
      <c r="AF40" s="159">
        <v>0</v>
      </c>
      <c r="AG40" s="159">
        <v>0</v>
      </c>
      <c r="AH40" s="159">
        <v>0</v>
      </c>
      <c r="AI40" s="4"/>
    </row>
    <row r="41" spans="1:35">
      <c r="A41" s="94"/>
      <c r="B41" s="69"/>
      <c r="C41" s="94"/>
      <c r="D41" s="69"/>
      <c r="E41" s="69" t="s">
        <v>95</v>
      </c>
      <c r="F41" s="101">
        <v>15218283.600000003</v>
      </c>
      <c r="G41" s="491">
        <v>59.182058931934002</v>
      </c>
      <c r="H41" s="132">
        <v>2.5000000000000001E-3</v>
      </c>
      <c r="I41" s="132">
        <v>1E-3</v>
      </c>
      <c r="J41" s="491">
        <v>2.7305875221140072E-2</v>
      </c>
      <c r="K41" s="132">
        <v>2.5000000000000001E-2</v>
      </c>
      <c r="L41" s="513">
        <v>2E-3</v>
      </c>
      <c r="M41" s="504">
        <v>2.9999999999999997E-4</v>
      </c>
      <c r="N41" s="159">
        <v>0</v>
      </c>
      <c r="O41" s="234">
        <v>0.2</v>
      </c>
      <c r="P41" s="524">
        <v>0.2</v>
      </c>
      <c r="Q41" s="524">
        <v>8.0000000000000002E-3</v>
      </c>
      <c r="R41" s="170"/>
      <c r="S41" s="170"/>
      <c r="T41" s="170"/>
      <c r="U41" s="170"/>
      <c r="V41" s="170"/>
      <c r="W41" s="168"/>
      <c r="X41" s="168"/>
      <c r="Y41" s="168"/>
      <c r="Z41" s="159">
        <v>0</v>
      </c>
      <c r="AA41" s="159">
        <v>0</v>
      </c>
      <c r="AB41" s="159">
        <v>0</v>
      </c>
      <c r="AC41" s="159">
        <v>0</v>
      </c>
      <c r="AD41" s="158">
        <v>2.0000000000000001E-4</v>
      </c>
      <c r="AE41" s="159">
        <v>0</v>
      </c>
      <c r="AF41" s="159">
        <v>0</v>
      </c>
      <c r="AG41" s="159">
        <v>0</v>
      </c>
      <c r="AH41" s="159">
        <v>0</v>
      </c>
      <c r="AI41" s="4"/>
    </row>
    <row r="42" spans="1:35">
      <c r="A42" s="94"/>
      <c r="B42" s="69"/>
      <c r="C42" s="94"/>
      <c r="D42" s="69"/>
      <c r="E42" s="69" t="s">
        <v>78</v>
      </c>
      <c r="F42" s="112">
        <v>1474148</v>
      </c>
      <c r="G42" s="491">
        <v>94.6</v>
      </c>
      <c r="H42" s="492">
        <v>0.32</v>
      </c>
      <c r="I42" s="492">
        <v>1.4E-2</v>
      </c>
      <c r="J42" s="492">
        <v>6.5532605989411657E-2</v>
      </c>
      <c r="K42" s="492">
        <v>4.6086098486546856</v>
      </c>
      <c r="L42" s="492">
        <v>0.5332493070921106</v>
      </c>
      <c r="M42" s="491">
        <v>1.392481787374599E-2</v>
      </c>
      <c r="N42" s="492">
        <v>4.8616966720255407E-3</v>
      </c>
      <c r="O42" s="500">
        <v>311.60000000000002</v>
      </c>
      <c r="P42" s="501">
        <v>305.86503067484665</v>
      </c>
      <c r="Q42" s="501">
        <v>31.313994084462305</v>
      </c>
      <c r="R42" s="502">
        <v>0.19142113019948215</v>
      </c>
      <c r="S42" s="502">
        <v>5.7996642607123353E-2</v>
      </c>
      <c r="T42" s="502">
        <v>6.6023238518216787E-2</v>
      </c>
      <c r="U42" s="502">
        <v>2.9582292853666058E-2</v>
      </c>
      <c r="V42" s="502">
        <v>3.7818956220475958E-2</v>
      </c>
      <c r="W42" s="502">
        <v>0.36523850547302616</v>
      </c>
      <c r="X42" s="502">
        <v>5.9000006966566265E-5</v>
      </c>
      <c r="Y42" s="502">
        <v>5.9000006966566261E-6</v>
      </c>
      <c r="Z42" s="319">
        <v>0</v>
      </c>
      <c r="AA42" s="319">
        <v>9.5999999999999992E-3</v>
      </c>
      <c r="AB42" s="319">
        <v>0</v>
      </c>
      <c r="AC42" s="319">
        <v>9.5999999999999992E-3</v>
      </c>
      <c r="AD42" s="319">
        <v>9.5999999999999992E-3</v>
      </c>
      <c r="AE42" s="319">
        <v>0</v>
      </c>
      <c r="AF42" s="510">
        <v>4.7999999999999996E-3</v>
      </c>
      <c r="AG42" s="319">
        <v>0</v>
      </c>
      <c r="AH42" s="319">
        <v>0.19119999999999998</v>
      </c>
      <c r="AI42" s="4"/>
    </row>
    <row r="43" spans="1:35">
      <c r="A43" s="94"/>
      <c r="B43" s="69"/>
      <c r="C43" s="83"/>
      <c r="D43" s="73"/>
      <c r="E43" s="73" t="s">
        <v>53</v>
      </c>
      <c r="F43" s="102">
        <v>1073031.8193396002</v>
      </c>
      <c r="G43" s="491">
        <v>65.98436196093148</v>
      </c>
      <c r="H43" s="132">
        <v>1E-3</v>
      </c>
      <c r="I43" s="132">
        <v>2E-3</v>
      </c>
      <c r="J43" s="491">
        <v>2.7305875221140072E-2</v>
      </c>
      <c r="K43" s="132">
        <v>0.01</v>
      </c>
      <c r="L43" s="513">
        <v>2E-3</v>
      </c>
      <c r="M43" s="491">
        <v>2.2000000000000001E-3</v>
      </c>
      <c r="N43" s="159">
        <v>0</v>
      </c>
      <c r="O43" s="234">
        <v>2</v>
      </c>
      <c r="P43" s="524">
        <v>2</v>
      </c>
      <c r="Q43" s="524">
        <v>1.1200000000000001</v>
      </c>
      <c r="R43" s="188"/>
      <c r="S43" s="188"/>
      <c r="T43" s="188"/>
      <c r="U43" s="188"/>
      <c r="V43" s="188"/>
      <c r="W43" s="170">
        <v>2.1713263329772359E-2</v>
      </c>
      <c r="X43" s="170"/>
      <c r="Y43" s="170"/>
      <c r="Z43" s="159">
        <v>0</v>
      </c>
      <c r="AA43" s="159">
        <v>0</v>
      </c>
      <c r="AB43" s="159">
        <v>0</v>
      </c>
      <c r="AC43" s="159">
        <v>0</v>
      </c>
      <c r="AD43" s="159">
        <v>0</v>
      </c>
      <c r="AE43" s="159">
        <v>0</v>
      </c>
      <c r="AF43" s="159">
        <v>0</v>
      </c>
      <c r="AG43" s="159">
        <v>0</v>
      </c>
      <c r="AH43" s="159">
        <v>0</v>
      </c>
      <c r="AI43" s="4"/>
    </row>
    <row r="44" spans="1:35">
      <c r="A44" s="69"/>
      <c r="B44" s="69"/>
      <c r="C44" s="90" t="s">
        <v>104</v>
      </c>
      <c r="D44" s="86" t="s">
        <v>98</v>
      </c>
      <c r="E44" s="86"/>
      <c r="F44" s="113"/>
      <c r="G44" s="499"/>
      <c r="H44" s="168"/>
      <c r="I44" s="168"/>
      <c r="J44" s="168"/>
      <c r="K44" s="168"/>
      <c r="L44" s="168"/>
      <c r="M44" s="503"/>
      <c r="N44" s="168"/>
      <c r="O44" s="234"/>
      <c r="P44" s="188"/>
      <c r="Q44" s="188"/>
      <c r="R44" s="188"/>
      <c r="S44" s="188"/>
      <c r="T44" s="188"/>
      <c r="U44" s="188"/>
      <c r="V44" s="188"/>
      <c r="W44" s="168"/>
      <c r="X44" s="168"/>
      <c r="Y44" s="168"/>
      <c r="Z44" s="159"/>
      <c r="AA44" s="159"/>
      <c r="AB44" s="159"/>
      <c r="AC44" s="159"/>
      <c r="AD44" s="159"/>
      <c r="AE44" s="159"/>
      <c r="AF44" s="159"/>
      <c r="AG44" s="159"/>
      <c r="AH44" s="159"/>
      <c r="AI44" s="4"/>
    </row>
    <row r="45" spans="1:35">
      <c r="A45" s="69"/>
      <c r="B45" s="69"/>
      <c r="C45" s="88"/>
      <c r="D45" s="88"/>
      <c r="E45" s="97" t="s">
        <v>93</v>
      </c>
      <c r="F45" s="100">
        <v>0</v>
      </c>
      <c r="G45" s="491">
        <v>73.926512687586879</v>
      </c>
      <c r="H45" s="141">
        <v>1.2E-2</v>
      </c>
      <c r="I45" s="141">
        <v>2E-3</v>
      </c>
      <c r="J45" s="141">
        <v>1.3</v>
      </c>
      <c r="K45" s="141">
        <v>0.27</v>
      </c>
      <c r="L45" s="515">
        <v>0.05</v>
      </c>
      <c r="M45" s="491">
        <v>4.6864093846660126E-2</v>
      </c>
      <c r="N45" s="161">
        <v>0</v>
      </c>
      <c r="O45" s="523">
        <v>14</v>
      </c>
      <c r="P45" s="524">
        <v>14</v>
      </c>
      <c r="Q45" s="524">
        <v>7.8400000000000007</v>
      </c>
      <c r="R45" s="188"/>
      <c r="S45" s="188"/>
      <c r="T45" s="188"/>
      <c r="U45" s="188"/>
      <c r="V45" s="188"/>
      <c r="W45" s="170">
        <v>2.3416264375244699E-2</v>
      </c>
      <c r="X45" s="170"/>
      <c r="Y45" s="170"/>
      <c r="Z45" s="171">
        <v>1.1999999999999999E-3</v>
      </c>
      <c r="AA45" s="171">
        <v>1.1999999999999999E-3</v>
      </c>
      <c r="AB45" s="171">
        <v>5.0000000000000001E-4</v>
      </c>
      <c r="AC45" s="171">
        <v>1.1999999999999999E-3</v>
      </c>
      <c r="AD45" s="159">
        <v>0</v>
      </c>
      <c r="AE45" s="171">
        <v>1.1999999999999999E-3</v>
      </c>
      <c r="AF45" s="171">
        <v>4.7000000000000002E-3</v>
      </c>
      <c r="AG45" s="172">
        <v>2.0000000000000002E-5</v>
      </c>
      <c r="AH45" s="171">
        <v>2.3E-3</v>
      </c>
      <c r="AI45" s="4"/>
    </row>
    <row r="46" spans="1:35">
      <c r="A46" s="69"/>
      <c r="B46" s="69"/>
      <c r="C46" s="69"/>
      <c r="D46" s="69"/>
      <c r="E46" s="69" t="s">
        <v>99</v>
      </c>
      <c r="F46" s="105">
        <v>11821427.016117005</v>
      </c>
      <c r="G46" s="493">
        <v>54.142627326788023</v>
      </c>
      <c r="H46" s="143">
        <v>0.153</v>
      </c>
      <c r="I46" s="143">
        <v>3.0000000000000001E-3</v>
      </c>
      <c r="J46" s="143">
        <v>1</v>
      </c>
      <c r="K46" s="143">
        <v>0.3</v>
      </c>
      <c r="L46" s="516">
        <v>8.8999999999999996E-2</v>
      </c>
      <c r="M46" s="505">
        <v>0</v>
      </c>
      <c r="N46" s="169">
        <v>0</v>
      </c>
      <c r="O46" s="528">
        <v>10</v>
      </c>
      <c r="P46" s="527">
        <v>10</v>
      </c>
      <c r="Q46" s="527">
        <v>0.4</v>
      </c>
      <c r="R46" s="235"/>
      <c r="S46" s="235"/>
      <c r="T46" s="235"/>
      <c r="U46" s="235"/>
      <c r="V46" s="235"/>
      <c r="W46" s="173"/>
      <c r="X46" s="173"/>
      <c r="Y46" s="173"/>
      <c r="Z46" s="159">
        <v>0</v>
      </c>
      <c r="AA46" s="159">
        <v>0</v>
      </c>
      <c r="AB46" s="159">
        <v>0</v>
      </c>
      <c r="AC46" s="159">
        <v>0</v>
      </c>
      <c r="AD46" s="159">
        <v>0</v>
      </c>
      <c r="AE46" s="159">
        <v>0</v>
      </c>
      <c r="AF46" s="159">
        <v>0</v>
      </c>
      <c r="AG46" s="159">
        <v>0</v>
      </c>
      <c r="AH46" s="159">
        <v>0</v>
      </c>
      <c r="AI46" s="4"/>
    </row>
    <row r="47" spans="1:35">
      <c r="A47" s="73"/>
      <c r="B47" s="73"/>
      <c r="C47" s="73"/>
      <c r="D47" s="73"/>
      <c r="E47" s="98" t="s">
        <v>100</v>
      </c>
      <c r="F47" s="102">
        <v>0</v>
      </c>
      <c r="G47" s="494">
        <v>73.080939201699294</v>
      </c>
      <c r="H47" s="148">
        <v>9.2999999999999999E-2</v>
      </c>
      <c r="I47" s="148">
        <v>2.3E-3</v>
      </c>
      <c r="J47" s="147">
        <v>0.375</v>
      </c>
      <c r="K47" s="148">
        <v>14.509</v>
      </c>
      <c r="L47" s="517">
        <v>0.05</v>
      </c>
      <c r="M47" s="506">
        <v>2.274722825023771E-2</v>
      </c>
      <c r="N47" s="162">
        <v>0</v>
      </c>
      <c r="O47" s="525">
        <v>44</v>
      </c>
      <c r="P47" s="526">
        <v>44</v>
      </c>
      <c r="Q47" s="526">
        <v>24.64</v>
      </c>
      <c r="R47" s="236"/>
      <c r="S47" s="236"/>
      <c r="T47" s="236"/>
      <c r="U47" s="236"/>
      <c r="V47" s="236"/>
      <c r="W47" s="174"/>
      <c r="X47" s="174"/>
      <c r="Y47" s="174"/>
      <c r="Z47" s="182">
        <v>0</v>
      </c>
      <c r="AA47" s="182">
        <v>1.7100000000000001E-2</v>
      </c>
      <c r="AB47" s="182">
        <v>1.14E-2</v>
      </c>
      <c r="AC47" s="182">
        <v>3.9799999999999995E-2</v>
      </c>
      <c r="AD47" s="182">
        <v>0</v>
      </c>
      <c r="AE47" s="182">
        <v>1.14E-2</v>
      </c>
      <c r="AF47" s="182">
        <v>1.7060999999999999</v>
      </c>
      <c r="AG47" s="183">
        <v>1.1000000000000001E-3</v>
      </c>
      <c r="AH47" s="182">
        <v>0.11370000000000001</v>
      </c>
      <c r="AI47" s="4"/>
    </row>
    <row r="48" spans="1:35">
      <c r="F48" s="99"/>
    </row>
    <row r="49" spans="5:6">
      <c r="F49" s="99"/>
    </row>
    <row r="50" spans="5:6">
      <c r="E50" s="302" t="s">
        <v>192</v>
      </c>
    </row>
    <row r="51" spans="5:6">
      <c r="E51" s="249" t="s">
        <v>193</v>
      </c>
    </row>
    <row r="52" spans="5:6">
      <c r="E52" s="252" t="s">
        <v>194</v>
      </c>
    </row>
  </sheetData>
  <dataValidations count="1">
    <dataValidation type="list" allowBlank="1" showInputMessage="1" showErrorMessage="1" error="Please enter &quot;GCV&quot; or &quot;NCV&quot; in uppercase letters" prompt="Use the drop-down list if you need to change the entries of this column." sqref="IV65553:IV65576 SR65553:SR65576 ACN65553:ACN65576 AMJ65553:AMJ65576 AWF65553:AWF65576 BGB65553:BGB65576 BPX65553:BPX65576 BZT65553:BZT65576 CJP65553:CJP65576 CTL65553:CTL65576 DDH65553:DDH65576 DND65553:DND65576 DWZ65553:DWZ65576 EGV65553:EGV65576 EQR65553:EQR65576 FAN65553:FAN65576 FKJ65553:FKJ65576 FUF65553:FUF65576 GEB65553:GEB65576 GNX65553:GNX65576 GXT65553:GXT65576 HHP65553:HHP65576 HRL65553:HRL65576 IBH65553:IBH65576 ILD65553:ILD65576 IUZ65553:IUZ65576 JEV65553:JEV65576 JOR65553:JOR65576 JYN65553:JYN65576 KIJ65553:KIJ65576 KSF65553:KSF65576 LCB65553:LCB65576 LLX65553:LLX65576 LVT65553:LVT65576 MFP65553:MFP65576 MPL65553:MPL65576 MZH65553:MZH65576 NJD65553:NJD65576 NSZ65553:NSZ65576 OCV65553:OCV65576 OMR65553:OMR65576 OWN65553:OWN65576 PGJ65553:PGJ65576 PQF65553:PQF65576 QAB65553:QAB65576 QJX65553:QJX65576 QTT65553:QTT65576 RDP65553:RDP65576 RNL65553:RNL65576 RXH65553:RXH65576 SHD65553:SHD65576 SQZ65553:SQZ65576 TAV65553:TAV65576 TKR65553:TKR65576 TUN65553:TUN65576 UEJ65553:UEJ65576 UOF65553:UOF65576 UYB65553:UYB65576 VHX65553:VHX65576 VRT65553:VRT65576 WBP65553:WBP65576 WLL65553:WLL65576 WVH65553:WVH65576 IV131089:IV131112 SR131089:SR131112 ACN131089:ACN131112 AMJ131089:AMJ131112 AWF131089:AWF131112 BGB131089:BGB131112 BPX131089:BPX131112 BZT131089:BZT131112 CJP131089:CJP131112 CTL131089:CTL131112 DDH131089:DDH131112 DND131089:DND131112 DWZ131089:DWZ131112 EGV131089:EGV131112 EQR131089:EQR131112 FAN131089:FAN131112 FKJ131089:FKJ131112 FUF131089:FUF131112 GEB131089:GEB131112 GNX131089:GNX131112 GXT131089:GXT131112 HHP131089:HHP131112 HRL131089:HRL131112 IBH131089:IBH131112 ILD131089:ILD131112 IUZ131089:IUZ131112 JEV131089:JEV131112 JOR131089:JOR131112 JYN131089:JYN131112 KIJ131089:KIJ131112 KSF131089:KSF131112 LCB131089:LCB131112 LLX131089:LLX131112 LVT131089:LVT131112 MFP131089:MFP131112 MPL131089:MPL131112 MZH131089:MZH131112 NJD131089:NJD131112 NSZ131089:NSZ131112 OCV131089:OCV131112 OMR131089:OMR131112 OWN131089:OWN131112 PGJ131089:PGJ131112 PQF131089:PQF131112 QAB131089:QAB131112 QJX131089:QJX131112 QTT131089:QTT131112 RDP131089:RDP131112 RNL131089:RNL131112 RXH131089:RXH131112 SHD131089:SHD131112 SQZ131089:SQZ131112 TAV131089:TAV131112 TKR131089:TKR131112 TUN131089:TUN131112 UEJ131089:UEJ131112 UOF131089:UOF131112 UYB131089:UYB131112 VHX131089:VHX131112 VRT131089:VRT131112 WBP131089:WBP131112 WLL131089:WLL131112 WVH131089:WVH131112 IV196625:IV196648 SR196625:SR196648 ACN196625:ACN196648 AMJ196625:AMJ196648 AWF196625:AWF196648 BGB196625:BGB196648 BPX196625:BPX196648 BZT196625:BZT196648 CJP196625:CJP196648 CTL196625:CTL196648 DDH196625:DDH196648 DND196625:DND196648 DWZ196625:DWZ196648 EGV196625:EGV196648 EQR196625:EQR196648 FAN196625:FAN196648 FKJ196625:FKJ196648 FUF196625:FUF196648 GEB196625:GEB196648 GNX196625:GNX196648 GXT196625:GXT196648 HHP196625:HHP196648 HRL196625:HRL196648 IBH196625:IBH196648 ILD196625:ILD196648 IUZ196625:IUZ196648 JEV196625:JEV196648 JOR196625:JOR196648 JYN196625:JYN196648 KIJ196625:KIJ196648 KSF196625:KSF196648 LCB196625:LCB196648 LLX196625:LLX196648 LVT196625:LVT196648 MFP196625:MFP196648 MPL196625:MPL196648 MZH196625:MZH196648 NJD196625:NJD196648 NSZ196625:NSZ196648 OCV196625:OCV196648 OMR196625:OMR196648 OWN196625:OWN196648 PGJ196625:PGJ196648 PQF196625:PQF196648 QAB196625:QAB196648 QJX196625:QJX196648 QTT196625:QTT196648 RDP196625:RDP196648 RNL196625:RNL196648 RXH196625:RXH196648 SHD196625:SHD196648 SQZ196625:SQZ196648 TAV196625:TAV196648 TKR196625:TKR196648 TUN196625:TUN196648 UEJ196625:UEJ196648 UOF196625:UOF196648 UYB196625:UYB196648 VHX196625:VHX196648 VRT196625:VRT196648 WBP196625:WBP196648 WLL196625:WLL196648 WVH196625:WVH196648 IV262161:IV262184 SR262161:SR262184 ACN262161:ACN262184 AMJ262161:AMJ262184 AWF262161:AWF262184 BGB262161:BGB262184 BPX262161:BPX262184 BZT262161:BZT262184 CJP262161:CJP262184 CTL262161:CTL262184 DDH262161:DDH262184 DND262161:DND262184 DWZ262161:DWZ262184 EGV262161:EGV262184 EQR262161:EQR262184 FAN262161:FAN262184 FKJ262161:FKJ262184 FUF262161:FUF262184 GEB262161:GEB262184 GNX262161:GNX262184 GXT262161:GXT262184 HHP262161:HHP262184 HRL262161:HRL262184 IBH262161:IBH262184 ILD262161:ILD262184 IUZ262161:IUZ262184 JEV262161:JEV262184 JOR262161:JOR262184 JYN262161:JYN262184 KIJ262161:KIJ262184 KSF262161:KSF262184 LCB262161:LCB262184 LLX262161:LLX262184 LVT262161:LVT262184 MFP262161:MFP262184 MPL262161:MPL262184 MZH262161:MZH262184 NJD262161:NJD262184 NSZ262161:NSZ262184 OCV262161:OCV262184 OMR262161:OMR262184 OWN262161:OWN262184 PGJ262161:PGJ262184 PQF262161:PQF262184 QAB262161:QAB262184 QJX262161:QJX262184 QTT262161:QTT262184 RDP262161:RDP262184 RNL262161:RNL262184 RXH262161:RXH262184 SHD262161:SHD262184 SQZ262161:SQZ262184 TAV262161:TAV262184 TKR262161:TKR262184 TUN262161:TUN262184 UEJ262161:UEJ262184 UOF262161:UOF262184 UYB262161:UYB262184 VHX262161:VHX262184 VRT262161:VRT262184 WBP262161:WBP262184 WLL262161:WLL262184 WVH262161:WVH262184 IV327697:IV327720 SR327697:SR327720 ACN327697:ACN327720 AMJ327697:AMJ327720 AWF327697:AWF327720 BGB327697:BGB327720 BPX327697:BPX327720 BZT327697:BZT327720 CJP327697:CJP327720 CTL327697:CTL327720 DDH327697:DDH327720 DND327697:DND327720 DWZ327697:DWZ327720 EGV327697:EGV327720 EQR327697:EQR327720 FAN327697:FAN327720 FKJ327697:FKJ327720 FUF327697:FUF327720 GEB327697:GEB327720 GNX327697:GNX327720 GXT327697:GXT327720 HHP327697:HHP327720 HRL327697:HRL327720 IBH327697:IBH327720 ILD327697:ILD327720 IUZ327697:IUZ327720 JEV327697:JEV327720 JOR327697:JOR327720 JYN327697:JYN327720 KIJ327697:KIJ327720 KSF327697:KSF327720 LCB327697:LCB327720 LLX327697:LLX327720 LVT327697:LVT327720 MFP327697:MFP327720 MPL327697:MPL327720 MZH327697:MZH327720 NJD327697:NJD327720 NSZ327697:NSZ327720 OCV327697:OCV327720 OMR327697:OMR327720 OWN327697:OWN327720 PGJ327697:PGJ327720 PQF327697:PQF327720 QAB327697:QAB327720 QJX327697:QJX327720 QTT327697:QTT327720 RDP327697:RDP327720 RNL327697:RNL327720 RXH327697:RXH327720 SHD327697:SHD327720 SQZ327697:SQZ327720 TAV327697:TAV327720 TKR327697:TKR327720 TUN327697:TUN327720 UEJ327697:UEJ327720 UOF327697:UOF327720 UYB327697:UYB327720 VHX327697:VHX327720 VRT327697:VRT327720 WBP327697:WBP327720 WLL327697:WLL327720 WVH327697:WVH327720 IV393233:IV393256 SR393233:SR393256 ACN393233:ACN393256 AMJ393233:AMJ393256 AWF393233:AWF393256 BGB393233:BGB393256 BPX393233:BPX393256 BZT393233:BZT393256 CJP393233:CJP393256 CTL393233:CTL393256 DDH393233:DDH393256 DND393233:DND393256 DWZ393233:DWZ393256 EGV393233:EGV393256 EQR393233:EQR393256 FAN393233:FAN393256 FKJ393233:FKJ393256 FUF393233:FUF393256 GEB393233:GEB393256 GNX393233:GNX393256 GXT393233:GXT393256 HHP393233:HHP393256 HRL393233:HRL393256 IBH393233:IBH393256 ILD393233:ILD393256 IUZ393233:IUZ393256 JEV393233:JEV393256 JOR393233:JOR393256 JYN393233:JYN393256 KIJ393233:KIJ393256 KSF393233:KSF393256 LCB393233:LCB393256 LLX393233:LLX393256 LVT393233:LVT393256 MFP393233:MFP393256 MPL393233:MPL393256 MZH393233:MZH393256 NJD393233:NJD393256 NSZ393233:NSZ393256 OCV393233:OCV393256 OMR393233:OMR393256 OWN393233:OWN393256 PGJ393233:PGJ393256 PQF393233:PQF393256 QAB393233:QAB393256 QJX393233:QJX393256 QTT393233:QTT393256 RDP393233:RDP393256 RNL393233:RNL393256 RXH393233:RXH393256 SHD393233:SHD393256 SQZ393233:SQZ393256 TAV393233:TAV393256 TKR393233:TKR393256 TUN393233:TUN393256 UEJ393233:UEJ393256 UOF393233:UOF393256 UYB393233:UYB393256 VHX393233:VHX393256 VRT393233:VRT393256 WBP393233:WBP393256 WLL393233:WLL393256 WVH393233:WVH393256 IV458769:IV458792 SR458769:SR458792 ACN458769:ACN458792 AMJ458769:AMJ458792 AWF458769:AWF458792 BGB458769:BGB458792 BPX458769:BPX458792 BZT458769:BZT458792 CJP458769:CJP458792 CTL458769:CTL458792 DDH458769:DDH458792 DND458769:DND458792 DWZ458769:DWZ458792 EGV458769:EGV458792 EQR458769:EQR458792 FAN458769:FAN458792 FKJ458769:FKJ458792 FUF458769:FUF458792 GEB458769:GEB458792 GNX458769:GNX458792 GXT458769:GXT458792 HHP458769:HHP458792 HRL458769:HRL458792 IBH458769:IBH458792 ILD458769:ILD458792 IUZ458769:IUZ458792 JEV458769:JEV458792 JOR458769:JOR458792 JYN458769:JYN458792 KIJ458769:KIJ458792 KSF458769:KSF458792 LCB458769:LCB458792 LLX458769:LLX458792 LVT458769:LVT458792 MFP458769:MFP458792 MPL458769:MPL458792 MZH458769:MZH458792 NJD458769:NJD458792 NSZ458769:NSZ458792 OCV458769:OCV458792 OMR458769:OMR458792 OWN458769:OWN458792 PGJ458769:PGJ458792 PQF458769:PQF458792 QAB458769:QAB458792 QJX458769:QJX458792 QTT458769:QTT458792 RDP458769:RDP458792 RNL458769:RNL458792 RXH458769:RXH458792 SHD458769:SHD458792 SQZ458769:SQZ458792 TAV458769:TAV458792 TKR458769:TKR458792 TUN458769:TUN458792 UEJ458769:UEJ458792 UOF458769:UOF458792 UYB458769:UYB458792 VHX458769:VHX458792 VRT458769:VRT458792 WBP458769:WBP458792 WLL458769:WLL458792 WVH458769:WVH458792 IV524305:IV524328 SR524305:SR524328 ACN524305:ACN524328 AMJ524305:AMJ524328 AWF524305:AWF524328 BGB524305:BGB524328 BPX524305:BPX524328 BZT524305:BZT524328 CJP524305:CJP524328 CTL524305:CTL524328 DDH524305:DDH524328 DND524305:DND524328 DWZ524305:DWZ524328 EGV524305:EGV524328 EQR524305:EQR524328 FAN524305:FAN524328 FKJ524305:FKJ524328 FUF524305:FUF524328 GEB524305:GEB524328 GNX524305:GNX524328 GXT524305:GXT524328 HHP524305:HHP524328 HRL524305:HRL524328 IBH524305:IBH524328 ILD524305:ILD524328 IUZ524305:IUZ524328 JEV524305:JEV524328 JOR524305:JOR524328 JYN524305:JYN524328 KIJ524305:KIJ524328 KSF524305:KSF524328 LCB524305:LCB524328 LLX524305:LLX524328 LVT524305:LVT524328 MFP524305:MFP524328 MPL524305:MPL524328 MZH524305:MZH524328 NJD524305:NJD524328 NSZ524305:NSZ524328 OCV524305:OCV524328 OMR524305:OMR524328 OWN524305:OWN524328 PGJ524305:PGJ524328 PQF524305:PQF524328 QAB524305:QAB524328 QJX524305:QJX524328 QTT524305:QTT524328 RDP524305:RDP524328 RNL524305:RNL524328 RXH524305:RXH524328 SHD524305:SHD524328 SQZ524305:SQZ524328 TAV524305:TAV524328 TKR524305:TKR524328 TUN524305:TUN524328 UEJ524305:UEJ524328 UOF524305:UOF524328 UYB524305:UYB524328 VHX524305:VHX524328 VRT524305:VRT524328 WBP524305:WBP524328 WLL524305:WLL524328 WVH524305:WVH524328 IV589841:IV589864 SR589841:SR589864 ACN589841:ACN589864 AMJ589841:AMJ589864 AWF589841:AWF589864 BGB589841:BGB589864 BPX589841:BPX589864 BZT589841:BZT589864 CJP589841:CJP589864 CTL589841:CTL589864 DDH589841:DDH589864 DND589841:DND589864 DWZ589841:DWZ589864 EGV589841:EGV589864 EQR589841:EQR589864 FAN589841:FAN589864 FKJ589841:FKJ589864 FUF589841:FUF589864 GEB589841:GEB589864 GNX589841:GNX589864 GXT589841:GXT589864 HHP589841:HHP589864 HRL589841:HRL589864 IBH589841:IBH589864 ILD589841:ILD589864 IUZ589841:IUZ589864 JEV589841:JEV589864 JOR589841:JOR589864 JYN589841:JYN589864 KIJ589841:KIJ589864 KSF589841:KSF589864 LCB589841:LCB589864 LLX589841:LLX589864 LVT589841:LVT589864 MFP589841:MFP589864 MPL589841:MPL589864 MZH589841:MZH589864 NJD589841:NJD589864 NSZ589841:NSZ589864 OCV589841:OCV589864 OMR589841:OMR589864 OWN589841:OWN589864 PGJ589841:PGJ589864 PQF589841:PQF589864 QAB589841:QAB589864 QJX589841:QJX589864 QTT589841:QTT589864 RDP589841:RDP589864 RNL589841:RNL589864 RXH589841:RXH589864 SHD589841:SHD589864 SQZ589841:SQZ589864 TAV589841:TAV589864 TKR589841:TKR589864 TUN589841:TUN589864 UEJ589841:UEJ589864 UOF589841:UOF589864 UYB589841:UYB589864 VHX589841:VHX589864 VRT589841:VRT589864 WBP589841:WBP589864 WLL589841:WLL589864 WVH589841:WVH589864 IV655377:IV655400 SR655377:SR655400 ACN655377:ACN655400 AMJ655377:AMJ655400 AWF655377:AWF655400 BGB655377:BGB655400 BPX655377:BPX655400 BZT655377:BZT655400 CJP655377:CJP655400 CTL655377:CTL655400 DDH655377:DDH655400 DND655377:DND655400 DWZ655377:DWZ655400 EGV655377:EGV655400 EQR655377:EQR655400 FAN655377:FAN655400 FKJ655377:FKJ655400 FUF655377:FUF655400 GEB655377:GEB655400 GNX655377:GNX655400 GXT655377:GXT655400 HHP655377:HHP655400 HRL655377:HRL655400 IBH655377:IBH655400 ILD655377:ILD655400 IUZ655377:IUZ655400 JEV655377:JEV655400 JOR655377:JOR655400 JYN655377:JYN655400 KIJ655377:KIJ655400 KSF655377:KSF655400 LCB655377:LCB655400 LLX655377:LLX655400 LVT655377:LVT655400 MFP655377:MFP655400 MPL655377:MPL655400 MZH655377:MZH655400 NJD655377:NJD655400 NSZ655377:NSZ655400 OCV655377:OCV655400 OMR655377:OMR655400 OWN655377:OWN655400 PGJ655377:PGJ655400 PQF655377:PQF655400 QAB655377:QAB655400 QJX655377:QJX655400 QTT655377:QTT655400 RDP655377:RDP655400 RNL655377:RNL655400 RXH655377:RXH655400 SHD655377:SHD655400 SQZ655377:SQZ655400 TAV655377:TAV655400 TKR655377:TKR655400 TUN655377:TUN655400 UEJ655377:UEJ655400 UOF655377:UOF655400 UYB655377:UYB655400 VHX655377:VHX655400 VRT655377:VRT655400 WBP655377:WBP655400 WLL655377:WLL655400 WVH655377:WVH655400 IV720913:IV720936 SR720913:SR720936 ACN720913:ACN720936 AMJ720913:AMJ720936 AWF720913:AWF720936 BGB720913:BGB720936 BPX720913:BPX720936 BZT720913:BZT720936 CJP720913:CJP720936 CTL720913:CTL720936 DDH720913:DDH720936 DND720913:DND720936 DWZ720913:DWZ720936 EGV720913:EGV720936 EQR720913:EQR720936 FAN720913:FAN720936 FKJ720913:FKJ720936 FUF720913:FUF720936 GEB720913:GEB720936 GNX720913:GNX720936 GXT720913:GXT720936 HHP720913:HHP720936 HRL720913:HRL720936 IBH720913:IBH720936 ILD720913:ILD720936 IUZ720913:IUZ720936 JEV720913:JEV720936 JOR720913:JOR720936 JYN720913:JYN720936 KIJ720913:KIJ720936 KSF720913:KSF720936 LCB720913:LCB720936 LLX720913:LLX720936 LVT720913:LVT720936 MFP720913:MFP720936 MPL720913:MPL720936 MZH720913:MZH720936 NJD720913:NJD720936 NSZ720913:NSZ720936 OCV720913:OCV720936 OMR720913:OMR720936 OWN720913:OWN720936 PGJ720913:PGJ720936 PQF720913:PQF720936 QAB720913:QAB720936 QJX720913:QJX720936 QTT720913:QTT720936 RDP720913:RDP720936 RNL720913:RNL720936 RXH720913:RXH720936 SHD720913:SHD720936 SQZ720913:SQZ720936 TAV720913:TAV720936 TKR720913:TKR720936 TUN720913:TUN720936 UEJ720913:UEJ720936 UOF720913:UOF720936 UYB720913:UYB720936 VHX720913:VHX720936 VRT720913:VRT720936 WBP720913:WBP720936 WLL720913:WLL720936 WVH720913:WVH720936 IV786449:IV786472 SR786449:SR786472 ACN786449:ACN786472 AMJ786449:AMJ786472 AWF786449:AWF786472 BGB786449:BGB786472 BPX786449:BPX786472 BZT786449:BZT786472 CJP786449:CJP786472 CTL786449:CTL786472 DDH786449:DDH786472 DND786449:DND786472 DWZ786449:DWZ786472 EGV786449:EGV786472 EQR786449:EQR786472 FAN786449:FAN786472 FKJ786449:FKJ786472 FUF786449:FUF786472 GEB786449:GEB786472 GNX786449:GNX786472 GXT786449:GXT786472 HHP786449:HHP786472 HRL786449:HRL786472 IBH786449:IBH786472 ILD786449:ILD786472 IUZ786449:IUZ786472 JEV786449:JEV786472 JOR786449:JOR786472 JYN786449:JYN786472 KIJ786449:KIJ786472 KSF786449:KSF786472 LCB786449:LCB786472 LLX786449:LLX786472 LVT786449:LVT786472 MFP786449:MFP786472 MPL786449:MPL786472 MZH786449:MZH786472 NJD786449:NJD786472 NSZ786449:NSZ786472 OCV786449:OCV786472 OMR786449:OMR786472 OWN786449:OWN786472 PGJ786449:PGJ786472 PQF786449:PQF786472 QAB786449:QAB786472 QJX786449:QJX786472 QTT786449:QTT786472 RDP786449:RDP786472 RNL786449:RNL786472 RXH786449:RXH786472 SHD786449:SHD786472 SQZ786449:SQZ786472 TAV786449:TAV786472 TKR786449:TKR786472 TUN786449:TUN786472 UEJ786449:UEJ786472 UOF786449:UOF786472 UYB786449:UYB786472 VHX786449:VHX786472 VRT786449:VRT786472 WBP786449:WBP786472 WLL786449:WLL786472 WVH786449:WVH786472 IV851985:IV852008 SR851985:SR852008 ACN851985:ACN852008 AMJ851985:AMJ852008 AWF851985:AWF852008 BGB851985:BGB852008 BPX851985:BPX852008 BZT851985:BZT852008 CJP851985:CJP852008 CTL851985:CTL852008 DDH851985:DDH852008 DND851985:DND852008 DWZ851985:DWZ852008 EGV851985:EGV852008 EQR851985:EQR852008 FAN851985:FAN852008 FKJ851985:FKJ852008 FUF851985:FUF852008 GEB851985:GEB852008 GNX851985:GNX852008 GXT851985:GXT852008 HHP851985:HHP852008 HRL851985:HRL852008 IBH851985:IBH852008 ILD851985:ILD852008 IUZ851985:IUZ852008 JEV851985:JEV852008 JOR851985:JOR852008 JYN851985:JYN852008 KIJ851985:KIJ852008 KSF851985:KSF852008 LCB851985:LCB852008 LLX851985:LLX852008 LVT851985:LVT852008 MFP851985:MFP852008 MPL851985:MPL852008 MZH851985:MZH852008 NJD851985:NJD852008 NSZ851985:NSZ852008 OCV851985:OCV852008 OMR851985:OMR852008 OWN851985:OWN852008 PGJ851985:PGJ852008 PQF851985:PQF852008 QAB851985:QAB852008 QJX851985:QJX852008 QTT851985:QTT852008 RDP851985:RDP852008 RNL851985:RNL852008 RXH851985:RXH852008 SHD851985:SHD852008 SQZ851985:SQZ852008 TAV851985:TAV852008 TKR851985:TKR852008 TUN851985:TUN852008 UEJ851985:UEJ852008 UOF851985:UOF852008 UYB851985:UYB852008 VHX851985:VHX852008 VRT851985:VRT852008 WBP851985:WBP852008 WLL851985:WLL852008 WVH851985:WVH852008 IV917521:IV917544 SR917521:SR917544 ACN917521:ACN917544 AMJ917521:AMJ917544 AWF917521:AWF917544 BGB917521:BGB917544 BPX917521:BPX917544 BZT917521:BZT917544 CJP917521:CJP917544 CTL917521:CTL917544 DDH917521:DDH917544 DND917521:DND917544 DWZ917521:DWZ917544 EGV917521:EGV917544 EQR917521:EQR917544 FAN917521:FAN917544 FKJ917521:FKJ917544 FUF917521:FUF917544 GEB917521:GEB917544 GNX917521:GNX917544 GXT917521:GXT917544 HHP917521:HHP917544 HRL917521:HRL917544 IBH917521:IBH917544 ILD917521:ILD917544 IUZ917521:IUZ917544 JEV917521:JEV917544 JOR917521:JOR917544 JYN917521:JYN917544 KIJ917521:KIJ917544 KSF917521:KSF917544 LCB917521:LCB917544 LLX917521:LLX917544 LVT917521:LVT917544 MFP917521:MFP917544 MPL917521:MPL917544 MZH917521:MZH917544 NJD917521:NJD917544 NSZ917521:NSZ917544 OCV917521:OCV917544 OMR917521:OMR917544 OWN917521:OWN917544 PGJ917521:PGJ917544 PQF917521:PQF917544 QAB917521:QAB917544 QJX917521:QJX917544 QTT917521:QTT917544 RDP917521:RDP917544 RNL917521:RNL917544 RXH917521:RXH917544 SHD917521:SHD917544 SQZ917521:SQZ917544 TAV917521:TAV917544 TKR917521:TKR917544 TUN917521:TUN917544 UEJ917521:UEJ917544 UOF917521:UOF917544 UYB917521:UYB917544 VHX917521:VHX917544 VRT917521:VRT917544 WBP917521:WBP917544 WLL917521:WLL917544 WVH917521:WVH917544 IV983057:IV983080 SR983057:SR983080 ACN983057:ACN983080 AMJ983057:AMJ983080 AWF983057:AWF983080 BGB983057:BGB983080 BPX983057:BPX983080 BZT983057:BZT983080 CJP983057:CJP983080 CTL983057:CTL983080 DDH983057:DDH983080 DND983057:DND983080 DWZ983057:DWZ983080 EGV983057:EGV983080 EQR983057:EQR983080 FAN983057:FAN983080 FKJ983057:FKJ983080 FUF983057:FUF983080 GEB983057:GEB983080 GNX983057:GNX983080 GXT983057:GXT983080 HHP983057:HHP983080 HRL983057:HRL983080 IBH983057:IBH983080 ILD983057:ILD983080 IUZ983057:IUZ983080 JEV983057:JEV983080 JOR983057:JOR983080 JYN983057:JYN983080 KIJ983057:KIJ983080 KSF983057:KSF983080 LCB983057:LCB983080 LLX983057:LLX983080 LVT983057:LVT983080 MFP983057:MFP983080 MPL983057:MPL983080 MZH983057:MZH983080 NJD983057:NJD983080 NSZ983057:NSZ983080 OCV983057:OCV983080 OMR983057:OMR983080 OWN983057:OWN983080 PGJ983057:PGJ983080 PQF983057:PQF983080 QAB983057:QAB983080 QJX983057:QJX983080 QTT983057:QTT983080 RDP983057:RDP983080 RNL983057:RNL983080 RXH983057:RXH983080 SHD983057:SHD983080 SQZ983057:SQZ983080 TAV983057:TAV983080 TKR983057:TKR983080 TUN983057:TUN983080 UEJ983057:UEJ983080 UOF983057:UOF983080 UYB983057:UYB983080 VHX983057:VHX983080 VRT983057:VRT983080 WBP983057:WBP983080 WLL983057:WLL983080 WVH983057:WVH983080 D983057:D983080 D917521:D917544 D851985:D852008 D786449:D786472 D720913:D720936 D655377:D655400 D589841:D589864 D524305:D524328 D458769:D458792 D393233:D393256 D327697:D327720 D262161:D262184 D196625:D196648 D131089:D131112 D65553:D65576" xr:uid="{00000000-0002-0000-0300-000000000000}">
      <formula1>"GCV,NCV"</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A68"/>
  <sheetViews>
    <sheetView zoomScaleNormal="100" workbookViewId="0">
      <selection activeCell="Y63" sqref="Y63"/>
    </sheetView>
  </sheetViews>
  <sheetFormatPr defaultRowHeight="14.6"/>
  <cols>
    <col min="2" max="2" width="21.07421875" customWidth="1"/>
    <col min="3" max="3" width="9" bestFit="1" customWidth="1"/>
    <col min="4" max="6" width="9.53515625" bestFit="1" customWidth="1"/>
    <col min="7" max="7" width="9.53515625" customWidth="1"/>
    <col min="8" max="8" width="9.53515625" bestFit="1" customWidth="1"/>
    <col min="9" max="9" width="11.53515625" customWidth="1"/>
    <col min="10" max="12" width="9.53515625" customWidth="1"/>
    <col min="13" max="13" width="9.53515625" bestFit="1" customWidth="1"/>
    <col min="14" max="15" width="9.53515625" customWidth="1"/>
    <col min="16" max="16" width="9.53515625" bestFit="1" customWidth="1"/>
    <col min="17" max="17" width="9.53515625" customWidth="1"/>
    <col min="18" max="18" width="9.53515625" bestFit="1" customWidth="1"/>
    <col min="19" max="21" width="9.53515625" customWidth="1"/>
    <col min="22" max="22" width="9.53515625" bestFit="1" customWidth="1"/>
    <col min="23" max="23" width="9.53515625" customWidth="1"/>
    <col min="24" max="24" width="14.4609375" customWidth="1"/>
    <col min="25" max="25" width="10.53515625" customWidth="1"/>
    <col min="26" max="26" width="13.53515625" customWidth="1"/>
    <col min="27" max="27" width="11.4609375" customWidth="1"/>
  </cols>
  <sheetData>
    <row r="1" spans="1:27" ht="15.45">
      <c r="A1" s="9" t="s">
        <v>30</v>
      </c>
      <c r="B1" s="10" t="s">
        <v>31</v>
      </c>
      <c r="C1" s="28"/>
      <c r="D1" s="584" t="s">
        <v>64</v>
      </c>
      <c r="E1" s="584"/>
      <c r="F1" s="584"/>
      <c r="G1" s="584"/>
      <c r="H1" s="584"/>
      <c r="I1" s="584"/>
      <c r="J1" s="584"/>
      <c r="K1" s="585"/>
      <c r="L1" s="587" t="s">
        <v>108</v>
      </c>
      <c r="M1" s="588"/>
      <c r="N1" s="588"/>
      <c r="O1" s="588"/>
      <c r="P1" s="588"/>
      <c r="Q1" s="588"/>
      <c r="R1" s="588"/>
      <c r="S1" s="588"/>
      <c r="T1" s="588"/>
      <c r="U1" s="588" t="s">
        <v>64</v>
      </c>
      <c r="V1" s="588"/>
      <c r="W1" s="589"/>
      <c r="X1" s="53" t="s">
        <v>45</v>
      </c>
      <c r="Y1" s="590" t="s">
        <v>46</v>
      </c>
      <c r="Z1" s="586"/>
      <c r="AA1" s="591"/>
    </row>
    <row r="2" spans="1:27">
      <c r="C2" s="31" t="s">
        <v>0</v>
      </c>
      <c r="D2" s="58" t="s">
        <v>1</v>
      </c>
      <c r="E2" s="8" t="s">
        <v>2</v>
      </c>
      <c r="F2" s="6" t="s">
        <v>3</v>
      </c>
      <c r="G2" s="8" t="s">
        <v>4</v>
      </c>
      <c r="H2" s="8" t="s">
        <v>5</v>
      </c>
      <c r="I2" s="8" t="s">
        <v>47</v>
      </c>
      <c r="J2" s="8" t="s">
        <v>7</v>
      </c>
      <c r="K2" s="7" t="s">
        <v>8</v>
      </c>
      <c r="L2" s="6" t="s">
        <v>9</v>
      </c>
      <c r="M2" s="6" t="s">
        <v>10</v>
      </c>
      <c r="N2" s="6" t="s">
        <v>11</v>
      </c>
      <c r="O2" s="6" t="s">
        <v>12</v>
      </c>
      <c r="P2" s="6" t="s">
        <v>13</v>
      </c>
      <c r="Q2" s="6" t="s">
        <v>14</v>
      </c>
      <c r="R2" s="6" t="s">
        <v>15</v>
      </c>
      <c r="S2" s="6" t="s">
        <v>16</v>
      </c>
      <c r="T2" s="6" t="s">
        <v>17</v>
      </c>
      <c r="U2" s="5" t="s">
        <v>18</v>
      </c>
      <c r="V2" s="5" t="s">
        <v>106</v>
      </c>
      <c r="W2" s="5" t="s">
        <v>184</v>
      </c>
      <c r="X2" s="54" t="s">
        <v>19</v>
      </c>
      <c r="Y2" s="6" t="s">
        <v>20</v>
      </c>
      <c r="Z2" s="6" t="s">
        <v>21</v>
      </c>
      <c r="AA2" s="6" t="s">
        <v>22</v>
      </c>
    </row>
    <row r="3" spans="1:27" ht="21" customHeight="1">
      <c r="C3" s="116">
        <f>SUM(C6:C23,C26:C43,C46:C62)</f>
        <v>436520.84776036168</v>
      </c>
      <c r="D3" s="41">
        <v>382.57255557403835</v>
      </c>
      <c r="E3" s="41">
        <v>5486.1460007253254</v>
      </c>
      <c r="F3" s="41">
        <v>1793.8988625634875</v>
      </c>
      <c r="G3" s="41">
        <v>8275.4906136193185</v>
      </c>
      <c r="H3" s="41">
        <v>5337.7692244316222</v>
      </c>
      <c r="I3" s="41">
        <v>23978259.178613309</v>
      </c>
      <c r="J3" s="41">
        <v>467.07851793295913</v>
      </c>
      <c r="K3" s="226">
        <v>1.1672285586239757</v>
      </c>
      <c r="L3" s="41">
        <v>140.86589452454723</v>
      </c>
      <c r="M3" s="41">
        <v>23.948517567763798</v>
      </c>
      <c r="N3" s="41">
        <v>1839.9204554135536</v>
      </c>
      <c r="O3" s="41">
        <v>1141.8505516535888</v>
      </c>
      <c r="P3" s="41">
        <v>169.09059909034508</v>
      </c>
      <c r="Q3" s="41">
        <v>3869.0185715323419</v>
      </c>
      <c r="R3" s="41">
        <v>444.02744675815723</v>
      </c>
      <c r="S3" s="41">
        <v>399.00944336133233</v>
      </c>
      <c r="T3" s="41">
        <v>396.31574127836922</v>
      </c>
      <c r="U3" s="41">
        <v>1063.3898351397061</v>
      </c>
      <c r="V3" s="41">
        <v>856.64971411888246</v>
      </c>
      <c r="W3" s="41">
        <v>36.181037533275806</v>
      </c>
      <c r="X3" s="227">
        <v>3.2509883365709404</v>
      </c>
      <c r="Y3" s="228">
        <v>227.79825833820331</v>
      </c>
      <c r="Z3" s="225">
        <v>0.1763268009503515</v>
      </c>
      <c r="AA3" s="226">
        <v>0.28959233315500882</v>
      </c>
    </row>
    <row r="4" spans="1:27" ht="15.45">
      <c r="A4" s="2"/>
      <c r="B4" s="2"/>
      <c r="C4" s="28"/>
      <c r="F4" s="40"/>
      <c r="H4" s="40"/>
      <c r="K4" s="45"/>
      <c r="L4" s="40"/>
      <c r="M4" s="40"/>
      <c r="N4" s="40"/>
      <c r="O4" s="40"/>
      <c r="P4" s="40"/>
      <c r="Q4" s="40"/>
      <c r="R4" s="40"/>
      <c r="S4" s="40"/>
      <c r="T4" s="40"/>
      <c r="U4" s="40"/>
      <c r="V4" s="40"/>
      <c r="W4" s="40"/>
      <c r="X4" s="55"/>
      <c r="Y4" s="11"/>
      <c r="Z4" s="11"/>
      <c r="AA4" s="44"/>
    </row>
    <row r="5" spans="1:27" ht="15.45">
      <c r="A5" s="15" t="s">
        <v>32</v>
      </c>
      <c r="B5" s="16" t="s">
        <v>66</v>
      </c>
      <c r="C5" s="50"/>
      <c r="D5" s="549">
        <f>(+$C6*D6+$C7*D7+$C8*D8+$C9*D9+$C10*D10+$C11*D11+$C12*D12+$C13*D13+$C14*D14+$C15*D15+$C16*D16+$C17*D17+$C18*D18+$C19*D19+$C20*D20+$C21*D21+$C22*D22+$C23*D23-A22*D22+A22*D14+A9*C9)/1000</f>
        <v>155.43762249858563</v>
      </c>
      <c r="E5" s="549">
        <f>(+$C6*E6+$C7*E7+$C8*E8+$C9*E9+$C10*E10+$C11*E11+$C12*E12+$C13*E13+$C14*E14+$C15*E15+$C16*E16+$C17*E17+$C18*E18+$C19*E19+$C20*E20+$C21*E21+$C22*E22+$C23*E23)/1000</f>
        <v>2278.4561023827409</v>
      </c>
      <c r="F5" s="550">
        <f>(+$C6*F6+$C7*F7+$C8*F8+$C9*F9+$C10*F10+$C11*F11+$C12*F12+$C13*F13+$C14*F14+$C15*F15+$C16*F16+$C17*F17+$C18*F18+$C19*F19+$C20*F20+$C21*F21+$C22*F22+$C23*F23)/1000</f>
        <v>535.6525510614465</v>
      </c>
      <c r="G5" s="549">
        <f>(+$C6*G6+$C7*G7+$C8*G8+$C9*G9+$C10*G10+$C11*G11+$C12*G12+$C13*G13+$C14*G14+$C15*G15+$C16*G16+$C17*G17+$C18*G18+$C19*G19+$C20*G20+$C21*G21+$C22*G22+$C23*G23)/1000</f>
        <v>301.5551791123869</v>
      </c>
      <c r="H5" s="550">
        <f>(+$C6*H6+$C7*H7+$C8*H8+$C9*H9+$C10*H10+$C11*H11+$C12*H12+$C13*H13+$C14*H14+$C15*H15+$C16*H16+$C17*H17+$C18*H18+$C19*H19+$C20*H20+$C21*H21+$C22*H22+$C23*H23)/1000</f>
        <v>2383.4877988796538</v>
      </c>
      <c r="I5" s="549">
        <f>(+$C6*I6+$C7*I7+$C8*I8+$C9*I9+$C10*I10+$C11*I11+$C12*I12+$C13*I13+$C14*I14+$C15*I15+$C16*I16+$C17*I17+$C18*I18+$C19*I19+$C20*I20+$C21*I21+$C22*I22+$C23*I23)</f>
        <v>12598166.604418699</v>
      </c>
      <c r="J5" s="549">
        <f t="shared" ref="J5:X5" si="0">(+$C6*J6+$C7*J7+$C8*J8+$C9*J9+$C10*J10+$C11*J11+$C12*J12+$C13*J13+$C14*J14+$C15*J15+$C16*J16+$C17*J17+$C18*J18+$C19*J19+$C20*J20+$C21*J21+$C22*J22+$C23*J23)/1000</f>
        <v>153.3358135111944</v>
      </c>
      <c r="K5" s="56">
        <f t="shared" si="0"/>
        <v>0.79762855862397553</v>
      </c>
      <c r="L5" s="549">
        <f t="shared" si="0"/>
        <v>76.222388887391517</v>
      </c>
      <c r="M5" s="549">
        <f t="shared" si="0"/>
        <v>11.930126725512746</v>
      </c>
      <c r="N5" s="549">
        <f t="shared" si="0"/>
        <v>946.8604816424355</v>
      </c>
      <c r="O5" s="549">
        <f t="shared" si="0"/>
        <v>575.6979348384034</v>
      </c>
      <c r="P5" s="549">
        <f t="shared" si="0"/>
        <v>85.261725128189369</v>
      </c>
      <c r="Q5" s="549">
        <f t="shared" si="0"/>
        <v>1886.70402847123</v>
      </c>
      <c r="R5" s="549">
        <f t="shared" si="0"/>
        <v>223.29479113853859</v>
      </c>
      <c r="S5" s="549">
        <f t="shared" si="0"/>
        <v>207.08540596512466</v>
      </c>
      <c r="T5" s="549">
        <f t="shared" si="0"/>
        <v>197.54209422090955</v>
      </c>
      <c r="U5" s="549">
        <f t="shared" si="0"/>
        <v>590.78093742845385</v>
      </c>
      <c r="V5" s="357">
        <f t="shared" si="0"/>
        <v>446.19880171458834</v>
      </c>
      <c r="W5" s="357">
        <f t="shared" si="0"/>
        <v>23.505273183616382</v>
      </c>
      <c r="X5" s="548">
        <f t="shared" si="0"/>
        <v>1.3808547601017302</v>
      </c>
      <c r="Y5" s="360">
        <f>(+$C6*Y6+$C7*Y7+$C8*Y8+$C9*Y9+$C10*Y10+$C11*Y11+$C12*Y12+$C13*Y13+$C14*Y14+$C15*Y15+$C16*Y16+$C17*Y17+$C18*Y18+$C19*Y19+$C20*Y20+$C21*Y21+$C22*Y22+$C23*Y23)</f>
        <v>22.883133574672641</v>
      </c>
      <c r="Z5" s="350">
        <f>($C6*Z6+$C7*Z7+$C8*Z8+$C9*Z9+$C10*Z10+$C11*Z11+$C12*Z12+$C13*Z13+$C14*Z14+$C15*Z15+$C16*Z16+$C17*Z17+$C18*Z18+$C19*Z19+$C20*Z20+$C21*Z21+$C22*Z22+$C23*Z23+$C24*Z24)</f>
        <v>5.2643484869182393E-6</v>
      </c>
      <c r="AA5" s="366">
        <f>($C6*AA6+$C7*AA7+$C8*AA8+$C9*AA9+$C10*AA10+$C11*AA11+$C12*AA12+$C13*AA13+$C14*AA14+$C15*AA15+$C16*AA16+$C17*AA17+$C18*AA18+$C19*AA19+$C20*AA20+$C21*AA21+$C22*AA22+$C23*AA23+$C24*AA24)</f>
        <v>8.1284398191036015E-4</v>
      </c>
    </row>
    <row r="6" spans="1:27" ht="15.45">
      <c r="B6" s="2" t="s">
        <v>58</v>
      </c>
      <c r="C6" s="29">
        <v>0</v>
      </c>
      <c r="D6" s="306">
        <v>34.756709945019118</v>
      </c>
      <c r="E6" s="306">
        <v>40</v>
      </c>
      <c r="F6" s="122">
        <v>15</v>
      </c>
      <c r="G6" s="333">
        <v>1.5</v>
      </c>
      <c r="H6" s="122">
        <v>10</v>
      </c>
      <c r="I6" s="316">
        <v>93.395221404523681</v>
      </c>
      <c r="J6" s="333">
        <v>1.5</v>
      </c>
      <c r="K6" s="123">
        <v>0.5</v>
      </c>
      <c r="L6" s="336">
        <v>8.3728016965254177</v>
      </c>
      <c r="M6" s="336">
        <v>0.14819118046947641</v>
      </c>
      <c r="N6" s="336">
        <v>10.595669403567562</v>
      </c>
      <c r="O6" s="336">
        <v>2.8156324289200514</v>
      </c>
      <c r="P6" s="336">
        <v>0.85209928769948917</v>
      </c>
      <c r="Q6" s="336">
        <v>6.6315553260090674</v>
      </c>
      <c r="R6" s="336">
        <v>4.6309743896711373</v>
      </c>
      <c r="S6" s="336">
        <v>4.5939265945537686</v>
      </c>
      <c r="T6" s="336">
        <v>9.8122244420744664</v>
      </c>
      <c r="U6" s="336">
        <v>25</v>
      </c>
      <c r="V6" s="275">
        <v>11.038961038961039</v>
      </c>
      <c r="W6" s="275">
        <v>0.24285714285714285</v>
      </c>
      <c r="X6" s="278">
        <v>3.7613527027952121E-2</v>
      </c>
      <c r="Y6" s="361">
        <v>2.4443526674384963E-3</v>
      </c>
      <c r="Z6" s="351">
        <v>3.3000000000000002E-9</v>
      </c>
      <c r="AA6" s="367">
        <v>5.0953791280532467E-7</v>
      </c>
    </row>
    <row r="7" spans="1:27" ht="15.45">
      <c r="B7" s="2" t="s">
        <v>60</v>
      </c>
      <c r="C7" s="29">
        <v>1595.2571172479511</v>
      </c>
      <c r="D7" s="306">
        <v>30.529542519273541</v>
      </c>
      <c r="E7" s="306">
        <v>40</v>
      </c>
      <c r="F7" s="122">
        <v>15</v>
      </c>
      <c r="G7" s="333">
        <v>1.5</v>
      </c>
      <c r="H7" s="122">
        <v>10</v>
      </c>
      <c r="I7" s="316">
        <v>101.33436265682617</v>
      </c>
      <c r="J7" s="333">
        <v>1.5</v>
      </c>
      <c r="K7" s="123">
        <v>0.5</v>
      </c>
      <c r="L7" s="336">
        <v>8.3728016965254177</v>
      </c>
      <c r="M7" s="336">
        <v>0.14819118046947641</v>
      </c>
      <c r="N7" s="336">
        <v>10.595669403567562</v>
      </c>
      <c r="O7" s="336">
        <v>2.8156324289200514</v>
      </c>
      <c r="P7" s="336">
        <v>0.85209928769948917</v>
      </c>
      <c r="Q7" s="336">
        <v>6.6315553260090674</v>
      </c>
      <c r="R7" s="336">
        <v>4.6309743896711373</v>
      </c>
      <c r="S7" s="336">
        <v>4.5939265945537686</v>
      </c>
      <c r="T7" s="336">
        <v>9.8122244420744664</v>
      </c>
      <c r="U7" s="336">
        <v>25</v>
      </c>
      <c r="V7" s="275">
        <v>11.038961038961039</v>
      </c>
      <c r="W7" s="275">
        <v>0.24285714285714285</v>
      </c>
      <c r="X7" s="278">
        <v>3.7613527027952121E-2</v>
      </c>
      <c r="Y7" s="361">
        <v>2.4443526674384963E-3</v>
      </c>
      <c r="Z7" s="351">
        <v>3.3000000000000002E-9</v>
      </c>
      <c r="AA7" s="367">
        <v>5.0953791280532467E-7</v>
      </c>
    </row>
    <row r="8" spans="1:27" ht="15.45">
      <c r="B8" s="2" t="s">
        <v>25</v>
      </c>
      <c r="C8" s="231">
        <v>0</v>
      </c>
      <c r="D8" s="306">
        <v>382.15343460399356</v>
      </c>
      <c r="E8" s="306">
        <v>40</v>
      </c>
      <c r="F8" s="122">
        <v>15</v>
      </c>
      <c r="G8" s="333">
        <v>1.5</v>
      </c>
      <c r="H8" s="122">
        <v>100</v>
      </c>
      <c r="I8" s="316">
        <v>101</v>
      </c>
      <c r="J8" s="333">
        <v>1.5</v>
      </c>
      <c r="K8" s="123">
        <v>0.86</v>
      </c>
      <c r="L8" s="336">
        <v>8.3728016965254177</v>
      </c>
      <c r="M8" s="336">
        <v>0.14819118046947641</v>
      </c>
      <c r="N8" s="336">
        <v>10.595669403567562</v>
      </c>
      <c r="O8" s="336">
        <v>2.8156324289200514</v>
      </c>
      <c r="P8" s="336">
        <v>0.85209928769948917</v>
      </c>
      <c r="Q8" s="336">
        <v>6.6315553260090674</v>
      </c>
      <c r="R8" s="336">
        <v>4.6309743896711373</v>
      </c>
      <c r="S8" s="336">
        <v>4.5939265945537686</v>
      </c>
      <c r="T8" s="336">
        <v>9.8122244420744664</v>
      </c>
      <c r="U8" s="336">
        <v>30</v>
      </c>
      <c r="V8" s="275">
        <v>12.151898734177214</v>
      </c>
      <c r="W8" s="275">
        <v>0.26734177215189869</v>
      </c>
      <c r="X8" s="278">
        <v>9.5538358650998384E-2</v>
      </c>
      <c r="Y8" s="361">
        <v>6.208655775293781E-3</v>
      </c>
      <c r="Z8" s="352"/>
      <c r="AA8" s="368"/>
    </row>
    <row r="9" spans="1:27" ht="15.45">
      <c r="A9" s="547"/>
      <c r="B9" s="2" t="s">
        <v>39</v>
      </c>
      <c r="C9" s="29">
        <v>140245.26856787494</v>
      </c>
      <c r="D9" s="535">
        <v>0.21713263329772356</v>
      </c>
      <c r="E9" s="306">
        <v>6.9109555572628976</v>
      </c>
      <c r="F9" s="122">
        <v>2.5</v>
      </c>
      <c r="G9" s="333">
        <v>1</v>
      </c>
      <c r="H9" s="122">
        <v>13</v>
      </c>
      <c r="I9" s="316">
        <v>59.182058931934002</v>
      </c>
      <c r="J9" s="333">
        <v>0.3</v>
      </c>
      <c r="K9" s="124">
        <v>0</v>
      </c>
      <c r="L9" s="336">
        <v>0.16</v>
      </c>
      <c r="M9" s="336">
        <v>0.03</v>
      </c>
      <c r="N9" s="336">
        <v>4.8587045577587276</v>
      </c>
      <c r="O9" s="336">
        <v>2.29</v>
      </c>
      <c r="P9" s="336">
        <v>0.31</v>
      </c>
      <c r="Q9" s="336">
        <v>2.68</v>
      </c>
      <c r="R9" s="336">
        <v>0.6</v>
      </c>
      <c r="S9" s="336">
        <v>1.04</v>
      </c>
      <c r="T9" s="336">
        <v>0</v>
      </c>
      <c r="U9" s="336">
        <v>0.2</v>
      </c>
      <c r="V9" s="275">
        <v>0.2</v>
      </c>
      <c r="W9" s="275">
        <v>5.000000000000001E-3</v>
      </c>
      <c r="X9" s="278">
        <v>0</v>
      </c>
      <c r="Y9" s="362">
        <v>0</v>
      </c>
      <c r="Z9" s="353"/>
      <c r="AA9" s="369"/>
    </row>
    <row r="10" spans="1:27" ht="15.45">
      <c r="B10" s="2" t="s">
        <v>59</v>
      </c>
      <c r="C10" s="231">
        <v>0</v>
      </c>
      <c r="D10" s="306">
        <v>64.552945034458347</v>
      </c>
      <c r="E10" s="306">
        <v>40</v>
      </c>
      <c r="F10" s="122">
        <v>5</v>
      </c>
      <c r="G10" s="333">
        <v>1.5</v>
      </c>
      <c r="H10" s="122">
        <v>100</v>
      </c>
      <c r="I10" s="316">
        <v>111.31127847722257</v>
      </c>
      <c r="J10" s="333">
        <v>1.5</v>
      </c>
      <c r="K10" s="124">
        <v>0</v>
      </c>
      <c r="L10" s="336">
        <v>8.3728016965254177</v>
      </c>
      <c r="M10" s="336">
        <v>0.14819118046947641</v>
      </c>
      <c r="N10" s="336">
        <v>10.595669403567562</v>
      </c>
      <c r="O10" s="336">
        <v>2.8156324289200514</v>
      </c>
      <c r="P10" s="336">
        <v>0.85209928769948917</v>
      </c>
      <c r="Q10" s="336">
        <v>6.6315553260090674</v>
      </c>
      <c r="R10" s="336">
        <v>4.6309743896711373</v>
      </c>
      <c r="S10" s="336">
        <v>4.5939265945537686</v>
      </c>
      <c r="T10" s="336">
        <v>9.8122244420744664</v>
      </c>
      <c r="U10" s="336">
        <v>25</v>
      </c>
      <c r="V10" s="275">
        <v>11.038961038961039</v>
      </c>
      <c r="W10" s="275">
        <v>0.24285714285714285</v>
      </c>
      <c r="X10" s="278">
        <v>3.4120842375356564E-2</v>
      </c>
      <c r="Y10" s="361">
        <v>2.4443526674384963E-3</v>
      </c>
      <c r="Z10" s="353"/>
      <c r="AA10" s="369"/>
    </row>
    <row r="11" spans="1:27" ht="15.45">
      <c r="B11" s="2" t="s">
        <v>52</v>
      </c>
      <c r="C11" s="231">
        <v>0</v>
      </c>
      <c r="D11" s="306">
        <v>13.487768280140946</v>
      </c>
      <c r="E11" s="306">
        <v>40</v>
      </c>
      <c r="F11" s="122">
        <v>2.5</v>
      </c>
      <c r="G11" s="333">
        <v>1</v>
      </c>
      <c r="H11" s="122">
        <v>13</v>
      </c>
      <c r="I11" s="316">
        <v>44.856696654757343</v>
      </c>
      <c r="J11" s="333">
        <v>1.5</v>
      </c>
      <c r="K11" s="124">
        <v>0</v>
      </c>
      <c r="L11" s="333">
        <v>0.16</v>
      </c>
      <c r="M11" s="333">
        <v>0.03</v>
      </c>
      <c r="N11" s="333">
        <v>4.8587045577587276</v>
      </c>
      <c r="O11" s="333">
        <v>2.29</v>
      </c>
      <c r="P11" s="333">
        <v>0.31</v>
      </c>
      <c r="Q11" s="333">
        <v>2.68</v>
      </c>
      <c r="R11" s="333">
        <v>0.6</v>
      </c>
      <c r="S11" s="333">
        <v>1.04</v>
      </c>
      <c r="T11" s="333">
        <v>0</v>
      </c>
      <c r="U11" s="347">
        <v>0.11019264773132305</v>
      </c>
      <c r="V11" s="348">
        <v>0.11019264773132305</v>
      </c>
      <c r="W11" s="348">
        <v>2.7548161932830764E-3</v>
      </c>
      <c r="X11" s="278">
        <v>0</v>
      </c>
      <c r="Y11" s="362">
        <v>0</v>
      </c>
      <c r="Z11" s="353"/>
      <c r="AA11" s="369"/>
    </row>
    <row r="12" spans="1:27" ht="15.45">
      <c r="B12" s="2" t="s">
        <v>48</v>
      </c>
      <c r="C12" s="231">
        <v>0</v>
      </c>
      <c r="D12" s="327">
        <v>0.11942294831374796</v>
      </c>
      <c r="E12" s="306">
        <v>40</v>
      </c>
      <c r="F12" s="122">
        <v>2.5</v>
      </c>
      <c r="G12" s="333">
        <v>1</v>
      </c>
      <c r="H12" s="122">
        <v>13</v>
      </c>
      <c r="I12" s="316">
        <v>254.34719381914149</v>
      </c>
      <c r="J12" s="333">
        <v>1.5</v>
      </c>
      <c r="K12" s="124">
        <v>0</v>
      </c>
      <c r="L12" s="333">
        <v>0.16</v>
      </c>
      <c r="M12" s="333">
        <v>0.03</v>
      </c>
      <c r="N12" s="333">
        <v>4.8587045577587276</v>
      </c>
      <c r="O12" s="333">
        <v>2.29</v>
      </c>
      <c r="P12" s="333">
        <v>0.31</v>
      </c>
      <c r="Q12" s="333">
        <v>2.68</v>
      </c>
      <c r="R12" s="333">
        <v>0.6</v>
      </c>
      <c r="S12" s="333">
        <v>1.04</v>
      </c>
      <c r="T12" s="333">
        <v>0</v>
      </c>
      <c r="U12" s="347">
        <v>0.11019264773132305</v>
      </c>
      <c r="V12" s="348">
        <v>0.11019264773132305</v>
      </c>
      <c r="W12" s="348">
        <v>2.7548161932830764E-3</v>
      </c>
      <c r="X12" s="278">
        <v>0</v>
      </c>
      <c r="Y12" s="362">
        <v>0</v>
      </c>
      <c r="Z12" s="353"/>
      <c r="AA12" s="369"/>
    </row>
    <row r="13" spans="1:27" ht="15.45">
      <c r="B13" s="2" t="s">
        <v>53</v>
      </c>
      <c r="C13" s="29">
        <v>2193.4980144000006</v>
      </c>
      <c r="D13" s="327">
        <v>0.21713263329772359</v>
      </c>
      <c r="E13" s="306">
        <v>20</v>
      </c>
      <c r="F13" s="122">
        <v>2</v>
      </c>
      <c r="G13" s="333">
        <v>1</v>
      </c>
      <c r="H13" s="122">
        <v>10</v>
      </c>
      <c r="I13" s="316">
        <v>65.591620000000006</v>
      </c>
      <c r="J13" s="333">
        <v>2</v>
      </c>
      <c r="K13" s="124">
        <v>0</v>
      </c>
      <c r="L13" s="333">
        <v>0</v>
      </c>
      <c r="M13" s="333">
        <v>0</v>
      </c>
      <c r="N13" s="333">
        <v>0</v>
      </c>
      <c r="O13" s="333">
        <v>0</v>
      </c>
      <c r="P13" s="333">
        <v>0</v>
      </c>
      <c r="Q13" s="333">
        <v>0</v>
      </c>
      <c r="R13" s="333">
        <v>0</v>
      </c>
      <c r="S13" s="333">
        <v>0</v>
      </c>
      <c r="T13" s="333">
        <v>0</v>
      </c>
      <c r="U13" s="333">
        <v>0.2</v>
      </c>
      <c r="V13" s="294">
        <v>0.2</v>
      </c>
      <c r="W13" s="294">
        <v>5.000000000000001E-3</v>
      </c>
      <c r="X13" s="278">
        <v>2.1713263329772359E-2</v>
      </c>
      <c r="Y13" s="362">
        <v>0</v>
      </c>
      <c r="Z13" s="353"/>
      <c r="AA13" s="369"/>
    </row>
    <row r="14" spans="1:27" ht="15.45">
      <c r="B14" s="2" t="s">
        <v>54</v>
      </c>
      <c r="C14" s="29"/>
      <c r="D14" s="327">
        <v>0.39124379724182257</v>
      </c>
      <c r="E14" s="306">
        <v>20</v>
      </c>
      <c r="F14" s="122">
        <v>2.5</v>
      </c>
      <c r="G14" s="333">
        <v>1</v>
      </c>
      <c r="H14" s="122">
        <v>13</v>
      </c>
      <c r="I14" s="316">
        <v>56.497334968095956</v>
      </c>
      <c r="J14" s="333">
        <v>2</v>
      </c>
      <c r="K14" s="124">
        <v>0</v>
      </c>
      <c r="L14" s="333">
        <v>0</v>
      </c>
      <c r="M14" s="333">
        <v>0</v>
      </c>
      <c r="N14" s="333">
        <v>0</v>
      </c>
      <c r="O14" s="333">
        <v>0</v>
      </c>
      <c r="P14" s="333">
        <v>0</v>
      </c>
      <c r="Q14" s="333">
        <v>0</v>
      </c>
      <c r="R14" s="333">
        <v>0</v>
      </c>
      <c r="S14" s="333">
        <v>0</v>
      </c>
      <c r="T14" s="333">
        <v>0</v>
      </c>
      <c r="U14" s="333">
        <v>5</v>
      </c>
      <c r="V14" s="294">
        <v>5</v>
      </c>
      <c r="W14" s="294">
        <v>0.125</v>
      </c>
      <c r="X14" s="278">
        <v>0</v>
      </c>
      <c r="Y14" s="362">
        <v>0</v>
      </c>
      <c r="Z14" s="353"/>
      <c r="AA14" s="369"/>
    </row>
    <row r="15" spans="1:27" ht="15.45">
      <c r="B15" s="2" t="s">
        <v>33</v>
      </c>
      <c r="C15" s="29"/>
      <c r="D15" s="306">
        <v>68.897854796393062</v>
      </c>
      <c r="E15" s="306">
        <v>40</v>
      </c>
      <c r="F15" s="122">
        <v>3</v>
      </c>
      <c r="G15" s="333">
        <v>7</v>
      </c>
      <c r="H15" s="122">
        <v>60</v>
      </c>
      <c r="I15" s="316">
        <v>71.900000000000006</v>
      </c>
      <c r="J15" s="333">
        <v>2</v>
      </c>
      <c r="K15" s="124">
        <v>0</v>
      </c>
      <c r="L15" s="336">
        <v>0.77384120744887253</v>
      </c>
      <c r="M15" s="336">
        <v>0.14330392730534675</v>
      </c>
      <c r="N15" s="336">
        <v>4.7576903865375133</v>
      </c>
      <c r="O15" s="336">
        <v>4.7863511719985814</v>
      </c>
      <c r="P15" s="336">
        <v>0.77384120744887253</v>
      </c>
      <c r="Q15" s="336">
        <v>28.71810703199149</v>
      </c>
      <c r="R15" s="336">
        <v>2.5221491205741033</v>
      </c>
      <c r="S15" s="336">
        <v>1.0317882765984967</v>
      </c>
      <c r="T15" s="336">
        <v>3.4817186097302617</v>
      </c>
      <c r="U15" s="336">
        <v>10</v>
      </c>
      <c r="V15" s="275">
        <v>2.5</v>
      </c>
      <c r="W15" s="275">
        <v>0.83750000000000002</v>
      </c>
      <c r="X15" s="278">
        <v>2.2965951598797683E-2</v>
      </c>
      <c r="Y15" s="363">
        <v>3.6338697129754738E-4</v>
      </c>
      <c r="Z15" s="354"/>
      <c r="AA15" s="370"/>
    </row>
    <row r="16" spans="1:27" ht="15.45">
      <c r="B16" s="2" t="s">
        <v>55</v>
      </c>
      <c r="C16" s="29"/>
      <c r="D16" s="306">
        <v>22.747228250237711</v>
      </c>
      <c r="E16" s="306">
        <v>40</v>
      </c>
      <c r="F16" s="122">
        <v>3</v>
      </c>
      <c r="G16" s="333">
        <v>7</v>
      </c>
      <c r="H16" s="122">
        <v>60</v>
      </c>
      <c r="I16" s="316">
        <v>73.338305545600491</v>
      </c>
      <c r="J16" s="333">
        <v>2</v>
      </c>
      <c r="K16" s="124">
        <v>0</v>
      </c>
      <c r="L16" s="336">
        <v>0.77384120744887253</v>
      </c>
      <c r="M16" s="336">
        <v>0.14330392730534675</v>
      </c>
      <c r="N16" s="336">
        <v>4.7576903865375133</v>
      </c>
      <c r="O16" s="336">
        <v>4.7863511719985814</v>
      </c>
      <c r="P16" s="336">
        <v>0.77384120744887253</v>
      </c>
      <c r="Q16" s="336">
        <v>28.71810703199149</v>
      </c>
      <c r="R16" s="336">
        <v>2.5221491205741033</v>
      </c>
      <c r="S16" s="336">
        <v>1.0317882765984967</v>
      </c>
      <c r="T16" s="336">
        <v>3.4817186097302617</v>
      </c>
      <c r="U16" s="336">
        <v>5</v>
      </c>
      <c r="V16" s="275">
        <v>1.25</v>
      </c>
      <c r="W16" s="275">
        <v>0.41875000000000001</v>
      </c>
      <c r="X16" s="278">
        <v>2.2965951598797683E-2</v>
      </c>
      <c r="Y16" s="363">
        <v>3.6338697129754738E-4</v>
      </c>
      <c r="Z16" s="354"/>
      <c r="AA16" s="370"/>
    </row>
    <row r="17" spans="1:27" ht="15.45">
      <c r="B17" s="2" t="s">
        <v>57</v>
      </c>
      <c r="C17" s="29"/>
      <c r="D17" s="306">
        <v>95.53835865099839</v>
      </c>
      <c r="E17" s="306">
        <v>40</v>
      </c>
      <c r="F17" s="122">
        <v>3</v>
      </c>
      <c r="G17" s="333">
        <v>7</v>
      </c>
      <c r="H17" s="122">
        <v>60</v>
      </c>
      <c r="I17" s="316">
        <v>71.5</v>
      </c>
      <c r="J17" s="333">
        <v>2</v>
      </c>
      <c r="K17" s="124">
        <v>0</v>
      </c>
      <c r="L17" s="336">
        <v>0.77384120744887253</v>
      </c>
      <c r="M17" s="336">
        <v>0.14330392730534675</v>
      </c>
      <c r="N17" s="336">
        <v>4.7576903865375133</v>
      </c>
      <c r="O17" s="336">
        <v>4.7863511719985814</v>
      </c>
      <c r="P17" s="336">
        <v>0.77384120744887253</v>
      </c>
      <c r="Q17" s="336">
        <v>28.71810703199149</v>
      </c>
      <c r="R17" s="336">
        <v>2.5221491205741033</v>
      </c>
      <c r="S17" s="336">
        <v>1.0317882765984967</v>
      </c>
      <c r="T17" s="336">
        <v>3.4817186097302617</v>
      </c>
      <c r="U17" s="336">
        <v>5</v>
      </c>
      <c r="V17" s="275">
        <v>1.25</v>
      </c>
      <c r="W17" s="275">
        <v>0.41875000000000001</v>
      </c>
      <c r="X17" s="278">
        <v>2.2965951598797683E-2</v>
      </c>
      <c r="Y17" s="363">
        <v>3.6338697129754738E-4</v>
      </c>
      <c r="Z17" s="354"/>
      <c r="AA17" s="370"/>
    </row>
    <row r="18" spans="1:27" ht="15.45">
      <c r="B18" s="2" t="s">
        <v>56</v>
      </c>
      <c r="C18" s="29"/>
      <c r="D18" s="306">
        <v>69.566766008008528</v>
      </c>
      <c r="E18" s="306">
        <v>40</v>
      </c>
      <c r="F18" s="122">
        <v>3</v>
      </c>
      <c r="G18" s="333">
        <v>7</v>
      </c>
      <c r="H18" s="122">
        <v>60</v>
      </c>
      <c r="I18" s="316">
        <v>71.900000000000006</v>
      </c>
      <c r="J18" s="333">
        <v>2</v>
      </c>
      <c r="K18" s="124">
        <v>0</v>
      </c>
      <c r="L18" s="336">
        <v>0.77384120744887253</v>
      </c>
      <c r="M18" s="336">
        <v>0.14330392730534675</v>
      </c>
      <c r="N18" s="336">
        <v>4.7576903865375133</v>
      </c>
      <c r="O18" s="336">
        <v>4.7863511719985814</v>
      </c>
      <c r="P18" s="336">
        <v>0.77384120744887253</v>
      </c>
      <c r="Q18" s="336">
        <v>28.71810703199149</v>
      </c>
      <c r="R18" s="336">
        <v>2.5221491205741033</v>
      </c>
      <c r="S18" s="336">
        <v>1.0317882765984967</v>
      </c>
      <c r="T18" s="336">
        <v>3.4817186097302617</v>
      </c>
      <c r="U18" s="336">
        <v>5</v>
      </c>
      <c r="V18" s="275">
        <v>1.25</v>
      </c>
      <c r="W18" s="275">
        <v>0.41875000000000001</v>
      </c>
      <c r="X18" s="278">
        <v>2.3188922002669508E-2</v>
      </c>
      <c r="Y18" s="363">
        <v>3.6338697129754738E-4</v>
      </c>
      <c r="Z18" s="354"/>
      <c r="AA18" s="370"/>
    </row>
    <row r="19" spans="1:27" ht="15.45">
      <c r="B19" s="2" t="s">
        <v>40</v>
      </c>
      <c r="C19" s="29"/>
      <c r="D19" s="306">
        <v>46.832528750489395</v>
      </c>
      <c r="E19" s="306">
        <v>30</v>
      </c>
      <c r="F19" s="122">
        <v>3</v>
      </c>
      <c r="G19" s="333">
        <v>0.1</v>
      </c>
      <c r="H19" s="122">
        <v>10</v>
      </c>
      <c r="I19" s="316">
        <v>74.099999999999994</v>
      </c>
      <c r="J19" s="333">
        <v>2</v>
      </c>
      <c r="K19" s="124">
        <v>0</v>
      </c>
      <c r="L19" s="336">
        <v>0.77384120744887253</v>
      </c>
      <c r="M19" s="336">
        <v>0.14330392730534675</v>
      </c>
      <c r="N19" s="336">
        <v>4.7576903865375133</v>
      </c>
      <c r="O19" s="336">
        <v>4.7863511719985814</v>
      </c>
      <c r="P19" s="336">
        <v>0.77384120744887253</v>
      </c>
      <c r="Q19" s="336">
        <v>28.71810703199149</v>
      </c>
      <c r="R19" s="336">
        <v>2.5221491205741033</v>
      </c>
      <c r="S19" s="336">
        <v>1.0317882765984967</v>
      </c>
      <c r="T19" s="336">
        <v>3.4817186097302617</v>
      </c>
      <c r="U19" s="336">
        <v>5</v>
      </c>
      <c r="V19" s="275">
        <v>1.25</v>
      </c>
      <c r="W19" s="275">
        <v>0.41875000000000001</v>
      </c>
      <c r="X19" s="278">
        <v>2.3416264375244699E-2</v>
      </c>
      <c r="Y19" s="363">
        <v>3.6338697129754738E-4</v>
      </c>
      <c r="Z19" s="354"/>
      <c r="AA19" s="370"/>
    </row>
    <row r="20" spans="1:27" ht="15.45">
      <c r="B20" s="2" t="s">
        <v>44</v>
      </c>
      <c r="C20" s="29"/>
      <c r="D20" s="306">
        <v>13.177287347536705</v>
      </c>
      <c r="E20" s="306">
        <v>20</v>
      </c>
      <c r="F20" s="122">
        <v>3</v>
      </c>
      <c r="G20" s="333">
        <v>3</v>
      </c>
      <c r="H20" s="122">
        <v>15</v>
      </c>
      <c r="I20" s="316">
        <v>89.675287489965896</v>
      </c>
      <c r="J20" s="333">
        <v>2</v>
      </c>
      <c r="K20" s="125">
        <v>0</v>
      </c>
      <c r="L20" s="336">
        <v>0.77384120744887253</v>
      </c>
      <c r="M20" s="336">
        <v>0.14330392730534675</v>
      </c>
      <c r="N20" s="336">
        <v>4.7576903865375133</v>
      </c>
      <c r="O20" s="336">
        <v>4.7863511719985814</v>
      </c>
      <c r="P20" s="336">
        <v>0.77384120744887253</v>
      </c>
      <c r="Q20" s="336">
        <v>28.71810703199149</v>
      </c>
      <c r="R20" s="336">
        <v>2.5221491205741033</v>
      </c>
      <c r="S20" s="336">
        <v>1.0317882765984967</v>
      </c>
      <c r="T20" s="336">
        <v>3.4817186097302617</v>
      </c>
      <c r="U20" s="336">
        <v>5</v>
      </c>
      <c r="V20" s="275">
        <v>1.25</v>
      </c>
      <c r="W20" s="275">
        <v>0.41875000000000001</v>
      </c>
      <c r="X20" s="278">
        <v>2.3416264375244699E-2</v>
      </c>
      <c r="Y20" s="363">
        <v>3.6338697129754738E-4</v>
      </c>
      <c r="Z20" s="354"/>
      <c r="AA20" s="370"/>
    </row>
    <row r="21" spans="1:27" ht="15.45">
      <c r="B21" s="2" t="s">
        <v>41</v>
      </c>
      <c r="C21" s="29">
        <v>2241.1756180800003</v>
      </c>
      <c r="D21" s="306">
        <v>25.096140490228521</v>
      </c>
      <c r="E21" s="306">
        <v>23</v>
      </c>
      <c r="F21" s="122">
        <v>3</v>
      </c>
      <c r="G21" s="333">
        <v>3</v>
      </c>
      <c r="H21" s="122">
        <v>10</v>
      </c>
      <c r="I21" s="316">
        <v>76.426944003278678</v>
      </c>
      <c r="J21" s="333">
        <v>2</v>
      </c>
      <c r="K21" s="124">
        <v>0</v>
      </c>
      <c r="L21" s="336">
        <v>0.77384120744887253</v>
      </c>
      <c r="M21" s="336">
        <v>0.14330392730534675</v>
      </c>
      <c r="N21" s="336">
        <v>4.7576903865375133</v>
      </c>
      <c r="O21" s="336">
        <v>4.7863511719985814</v>
      </c>
      <c r="P21" s="336">
        <v>0.77384120744887253</v>
      </c>
      <c r="Q21" s="336">
        <v>28.71810703199149</v>
      </c>
      <c r="R21" s="336">
        <v>2.5221491205741033</v>
      </c>
      <c r="S21" s="336">
        <v>1.0317882765984967</v>
      </c>
      <c r="T21" s="336">
        <v>3.4817186097302617</v>
      </c>
      <c r="U21" s="336">
        <v>10</v>
      </c>
      <c r="V21" s="275">
        <v>7.6587301587301591</v>
      </c>
      <c r="W21" s="275">
        <v>0.42888888888888893</v>
      </c>
      <c r="X21" s="278">
        <v>2.4372030268111831E-2</v>
      </c>
      <c r="Y21" s="363">
        <v>3.6338697129754738E-4</v>
      </c>
      <c r="Z21" s="355">
        <v>0</v>
      </c>
      <c r="AA21" s="370"/>
    </row>
    <row r="22" spans="1:27" ht="15.45">
      <c r="A22" s="559">
        <v>50000</v>
      </c>
      <c r="B22" s="2" t="s">
        <v>42</v>
      </c>
      <c r="C22" s="29">
        <v>50000</v>
      </c>
      <c r="D22" s="306">
        <v>25.096140490228521</v>
      </c>
      <c r="E22" s="306">
        <v>23</v>
      </c>
      <c r="F22" s="122">
        <v>3</v>
      </c>
      <c r="G22" s="333">
        <v>3</v>
      </c>
      <c r="H22" s="122">
        <v>10</v>
      </c>
      <c r="I22" s="316">
        <v>76.426944003278678</v>
      </c>
      <c r="J22" s="333">
        <v>2</v>
      </c>
      <c r="K22" s="124">
        <v>0</v>
      </c>
      <c r="L22" s="336">
        <v>0.77384120744887253</v>
      </c>
      <c r="M22" s="336">
        <v>0.14330392730534675</v>
      </c>
      <c r="N22" s="336">
        <v>4.7576903865375133</v>
      </c>
      <c r="O22" s="336">
        <v>4.7863511719985814</v>
      </c>
      <c r="P22" s="336">
        <v>0.77384120744887253</v>
      </c>
      <c r="Q22" s="336">
        <v>28.71810703199149</v>
      </c>
      <c r="R22" s="336">
        <v>2.5221491205741033</v>
      </c>
      <c r="S22" s="336">
        <v>1.0317882765984967</v>
      </c>
      <c r="T22" s="336">
        <v>3.4817186097302617</v>
      </c>
      <c r="U22" s="336">
        <v>10</v>
      </c>
      <c r="V22" s="275">
        <v>7.6587301587301591</v>
      </c>
      <c r="W22" s="275">
        <v>0.42888888888888893</v>
      </c>
      <c r="X22" s="278">
        <v>2.4372030268111831E-2</v>
      </c>
      <c r="Y22" s="363">
        <v>3.6338697129754738E-4</v>
      </c>
      <c r="Z22" s="355">
        <v>0</v>
      </c>
      <c r="AA22" s="370"/>
    </row>
    <row r="23" spans="1:27" ht="15.45">
      <c r="B23" s="2" t="s">
        <v>34</v>
      </c>
      <c r="C23" s="29">
        <v>0</v>
      </c>
      <c r="D23" s="306">
        <v>86.329842154516598</v>
      </c>
      <c r="E23" s="306">
        <v>23</v>
      </c>
      <c r="F23" s="122">
        <v>1.5</v>
      </c>
      <c r="G23" s="333">
        <v>1.5</v>
      </c>
      <c r="H23" s="122">
        <v>9</v>
      </c>
      <c r="I23" s="316">
        <v>93.96465204654514</v>
      </c>
      <c r="J23" s="333">
        <v>2</v>
      </c>
      <c r="K23" s="124">
        <v>0</v>
      </c>
      <c r="L23" s="336">
        <v>0.77384120744887253</v>
      </c>
      <c r="M23" s="336">
        <v>0.14330392730534675</v>
      </c>
      <c r="N23" s="336">
        <v>4.7576903865375133</v>
      </c>
      <c r="O23" s="336">
        <v>4.7863511719985814</v>
      </c>
      <c r="P23" s="336">
        <v>0.77384120744887253</v>
      </c>
      <c r="Q23" s="336">
        <v>28.71810703199149</v>
      </c>
      <c r="R23" s="336">
        <v>2.5221491205741033</v>
      </c>
      <c r="S23" s="336">
        <v>1.0317882765984967</v>
      </c>
      <c r="T23" s="336">
        <v>3.4817186097302617</v>
      </c>
      <c r="U23" s="336">
        <v>10</v>
      </c>
      <c r="V23" s="275">
        <v>4.4155844155844157</v>
      </c>
      <c r="W23" s="275">
        <v>0.14571428571428571</v>
      </c>
      <c r="X23" s="278">
        <v>2.8776614051505531E-2</v>
      </c>
      <c r="Y23" s="363">
        <v>3.6338697129754738E-4</v>
      </c>
      <c r="Z23" s="354"/>
      <c r="AA23" s="370"/>
    </row>
    <row r="24" spans="1:27" ht="15.45">
      <c r="B24" s="2" t="s">
        <v>78</v>
      </c>
      <c r="C24" s="29"/>
      <c r="D24" s="306">
        <v>0.11309788874649562</v>
      </c>
      <c r="E24" s="306">
        <v>20</v>
      </c>
      <c r="F24" s="122">
        <v>15</v>
      </c>
      <c r="G24" s="333"/>
      <c r="H24" s="122">
        <v>10</v>
      </c>
      <c r="I24" s="316"/>
      <c r="J24" s="333"/>
      <c r="K24" s="124"/>
      <c r="L24" s="336"/>
      <c r="M24" s="336"/>
      <c r="N24" s="336"/>
      <c r="O24" s="336"/>
      <c r="P24" s="336"/>
      <c r="Q24" s="336"/>
      <c r="R24" s="336"/>
      <c r="S24" s="336"/>
      <c r="T24" s="336"/>
      <c r="U24" s="336"/>
      <c r="V24" s="275"/>
      <c r="W24" s="275"/>
      <c r="X24" s="278">
        <v>9.5538358650998391E-3</v>
      </c>
      <c r="Y24" s="363">
        <v>3.6557752937804535E-3</v>
      </c>
      <c r="Z24" s="354">
        <v>3.4999999999999999E-6</v>
      </c>
      <c r="AA24" s="370">
        <v>5.7323015190599033E-6</v>
      </c>
    </row>
    <row r="25" spans="1:27" ht="15.45">
      <c r="A25" s="15" t="s">
        <v>32</v>
      </c>
      <c r="B25" s="16" t="s">
        <v>67</v>
      </c>
      <c r="C25" s="50"/>
      <c r="D25" s="552">
        <f>(C26*D26+C27*D27+C28*D28+C29*D29+C30*D30+C31*D31+C32*D32+C33*D33+C34*D34+C35*D35+C36*D36+C37*D37+C38*D38+C39*D39+C40*D40+C41*D41+C42*D42+C43*D43-A40*D40+A40*D34)/1000</f>
        <v>186.86026661358133</v>
      </c>
      <c r="E25" s="552">
        <f>($C33*E33+$C34*E34+$C35*E35+$C36*E36+$C37*E37+$C38*E38+$C39*E39+$C40*E40+$C41*E41+$C42*E42+$C26*E26+$C27*E27+$C28*E28+$C29*E29+$C30*E30+$C31*E31+$C32*E32+$C43*E43)/1000</f>
        <v>1797.5804210458771</v>
      </c>
      <c r="F25" s="553">
        <f t="shared" ref="F25:M25" si="1">($C33*F33+$C34*F34+$C35*F35+$C36*F36+$C37*F37+$C38*F38+$C39*F39+$C40*F40+$C41*F41+$C42*F42+$C26*F26+$C27*F27+$C28*F28+$C29*F29+$C30*F30+$C31*F31+$C32*F32+$C43*F43)/1000</f>
        <v>363.47653165897543</v>
      </c>
      <c r="G25" s="552">
        <f t="shared" si="1"/>
        <v>246.71262864577542</v>
      </c>
      <c r="H25" s="553">
        <f t="shared" si="1"/>
        <v>1732.3532520782981</v>
      </c>
      <c r="I25" s="552">
        <f>($C33*I33+$C34*I34+$C35*I35+$C36*I36+$C37*I37+$C38*I38+$C39*I39+$C40*I40+$C41*I41+$C26*I26+$C27*I27+$C28*I28+$C29*I29+$C30*I30+$C31*I31+$C32*I32+C43*I43)</f>
        <v>8076234.1850332823</v>
      </c>
      <c r="J25" s="552">
        <f t="shared" si="1"/>
        <v>143.55273519078364</v>
      </c>
      <c r="K25" s="57">
        <f>($C33*K33+$C34*K34+$C35*K35+$C36*K36+$C37*K37+$C38*K38+$C39*K39+$C40*K40+$C41*K41+$C42*K42+$C26*K26+$C27*K27+$C28*K28+$C29*K29+$C30*K30+$C31*K31+$C32*K32)/1000</f>
        <v>0</v>
      </c>
      <c r="L25" s="552">
        <f t="shared" si="1"/>
        <v>55.255633396494353</v>
      </c>
      <c r="M25" s="552">
        <f t="shared" si="1"/>
        <v>10.259786281202658</v>
      </c>
      <c r="N25" s="552">
        <f t="shared" ref="N25" si="2">($C33*N33+$C34*N34+$C35*N35+$C36*N36+$C37*N37+$C38*N38+$C39*N39+$C40*N40+$C41*N41+$C42*N42+$C26*N26+$C27*N27+$C28*N28+$C29*N29+$C30*N30+$C31*N31+$C32*N32+$C43*N43)/1000</f>
        <v>624.94414438020669</v>
      </c>
      <c r="O25" s="552">
        <f t="shared" ref="O25:Q25" si="3">($C33*O33+$C34*O34+$C35*O35+$C36*O36+$C37*O37+$C38*O38+$C39*O39+$C40*O40+$C41*O41+$C42*O42+$C26*O26+$C27*O27+$C28*O28+$C29*O29+$C30*O30+$C31*O31+$C32*O32+$C43*O43)/1000</f>
        <v>437.48172596016877</v>
      </c>
      <c r="P25" s="552">
        <f t="shared" si="3"/>
        <v>66.29657254649436</v>
      </c>
      <c r="Q25" s="552">
        <f t="shared" si="3"/>
        <v>1810.8051091010127</v>
      </c>
      <c r="R25" s="552">
        <f t="shared" ref="R25" si="4">($C33*R33+$C34*R34+$C35*R35+$C36*R36+$C37*R37+$C38*R38+$C39*R39+$C40*R40+$C41*R41+$C42*R42+$C26*R26+$C27*R27+$C28*R28+$C29*R29+$C30*R30+$C31*R31+$C32*R32+$C43*R43)/1000</f>
        <v>185.87188934116679</v>
      </c>
      <c r="S25" s="552">
        <f t="shared" ref="S25" si="5">($C33*S33+$C34*S34+$C35*S35+$C36*S36+$C37*S37+$C38*S38+$C39*S39+$C40*S40+$C41*S41+$C42*S42+$C26*S26+$C27*S27+$C28*S28+$C29*S29+$C30*S30+$C31*S31+$C32*S32+$C43*S43)/1000</f>
        <v>134.52202028865915</v>
      </c>
      <c r="T25" s="552">
        <f t="shared" ref="T25" si="6">($C33*T33+$C34*T34+$C35*T35+$C36*T36+$C37*T37+$C38*T38+$C39*T39+$C40*T40+$C41*T41+$C42*T42+$C26*T26+$C27*T27+$C28*T28+$C29*T29+$C30*T30+$C31*T31+$C32*T32+$C43*T43)/1000</f>
        <v>195.62199510342174</v>
      </c>
      <c r="U25" s="552">
        <f t="shared" ref="U25" si="7">($C33*U33+$C34*U34+$C35*U35+$C36*U36+$C37*U37+$C38*U38+$C39*U39+$C40*U40+$C41*U41+$C42*U42+$C26*U26+$C27*U27+$C28*U28+$C29*U29+$C30*U30+$C31*U31+$C32*U32+$C43*U43)/1000</f>
        <v>437.51938696737813</v>
      </c>
      <c r="V25" s="554">
        <f t="shared" ref="V25:AA25" si="8">($C33*V33+$C34*V34+$C35*V35+$C36*V36+$C37*V37+$C38*V38+$C39*V39+$C40*V40+$C41*V41+$C42*V42+$C26*V26+$C27*V27+$C28*V28+$C29*V29+$C30*V30+$C31*V31+$C32*V32+$C43*V43)/1000</f>
        <v>379.62582923967847</v>
      </c>
      <c r="W25" s="558">
        <f t="shared" si="8"/>
        <v>11.586478776484054</v>
      </c>
      <c r="X25" s="557">
        <f t="shared" si="8"/>
        <v>1.3597164328307947</v>
      </c>
      <c r="Y25" s="555">
        <f>($C33*Y33+$C34*Y34+$C35*Y35+$C36*Y36+$C37*Y37+$C38*Y38+$C39*Y39+$C40*Y40+$C41*Y41+$C42*Y42+$C26*Y26+$C27*Y27+$C28*Y28+$C29*Y29+$C30*Y30+$C31*Y31+$C32*Y32+$C43*Y43)</f>
        <v>20.417067628944125</v>
      </c>
      <c r="Z25" s="554">
        <f>($C33*Z33+$C34*Z34+$C35*Z35+$C36*Z36+$C37*Z37+$C38*Z38+$C39*Z39+$C40*Z40+$C41*Z41+$C42*Z42+$C26*Z26+$C27*Z27+$C28*Z28+$C29*Z29+$C30*Z30+$C31*Z31+$C32*Z32+$C43*Z43)</f>
        <v>0</v>
      </c>
      <c r="AA25" s="557">
        <f t="shared" si="8"/>
        <v>0</v>
      </c>
    </row>
    <row r="26" spans="1:27" ht="15.45">
      <c r="A26" s="19"/>
      <c r="B26" s="2" t="s">
        <v>58</v>
      </c>
      <c r="C26" s="29">
        <v>0</v>
      </c>
      <c r="D26" s="306">
        <f>D6</f>
        <v>34.756709945019118</v>
      </c>
      <c r="E26" s="306">
        <v>40</v>
      </c>
      <c r="F26" s="122">
        <v>15</v>
      </c>
      <c r="G26" s="333">
        <v>1.5</v>
      </c>
      <c r="H26" s="122">
        <v>10</v>
      </c>
      <c r="I26" s="316">
        <v>93.395221404523681</v>
      </c>
      <c r="J26" s="333">
        <v>1.5</v>
      </c>
      <c r="K26" s="123">
        <v>0.5</v>
      </c>
      <c r="L26" s="336">
        <v>8.3728016965254177</v>
      </c>
      <c r="M26" s="336">
        <v>0.14819118046947641</v>
      </c>
      <c r="N26" s="336">
        <v>10.595669403567562</v>
      </c>
      <c r="O26" s="336">
        <v>2.8156324289200514</v>
      </c>
      <c r="P26" s="336">
        <v>0.85209928769948917</v>
      </c>
      <c r="Q26" s="336">
        <v>6.6315553260090674</v>
      </c>
      <c r="R26" s="336">
        <v>4.6309743896711373</v>
      </c>
      <c r="S26" s="336">
        <v>4.5939265945537686</v>
      </c>
      <c r="T26" s="336">
        <v>9.8122244420744664</v>
      </c>
      <c r="U26" s="336">
        <v>25</v>
      </c>
      <c r="V26" s="275">
        <v>11.038961038961039</v>
      </c>
      <c r="W26" s="275">
        <v>0.24285714285714285</v>
      </c>
      <c r="X26" s="359">
        <v>3.7613527027952121E-2</v>
      </c>
      <c r="Y26" s="365">
        <v>2.4443526674384963E-3</v>
      </c>
      <c r="Z26" s="470">
        <v>3.3000000000000002E-9</v>
      </c>
      <c r="AA26" s="371">
        <v>5.0953791280532467E-7</v>
      </c>
    </row>
    <row r="27" spans="1:27" ht="15.45">
      <c r="A27" s="20"/>
      <c r="B27" s="2" t="s">
        <v>60</v>
      </c>
      <c r="C27" s="29">
        <v>0</v>
      </c>
      <c r="D27" s="306">
        <f t="shared" ref="D27:D36" si="9">D7</f>
        <v>30.529542519273541</v>
      </c>
      <c r="E27" s="306">
        <v>40</v>
      </c>
      <c r="F27" s="122">
        <v>15</v>
      </c>
      <c r="G27" s="333">
        <v>1.5</v>
      </c>
      <c r="H27" s="122">
        <v>10</v>
      </c>
      <c r="I27" s="316">
        <v>101.33436265682617</v>
      </c>
      <c r="J27" s="333">
        <v>1.5</v>
      </c>
      <c r="K27" s="123">
        <v>0.5</v>
      </c>
      <c r="L27" s="336">
        <v>8.3728016965254177</v>
      </c>
      <c r="M27" s="336">
        <v>0.14819118046947641</v>
      </c>
      <c r="N27" s="336">
        <v>10.595669403567562</v>
      </c>
      <c r="O27" s="336">
        <v>2.8156324289200514</v>
      </c>
      <c r="P27" s="336">
        <v>0.85209928769948917</v>
      </c>
      <c r="Q27" s="336">
        <v>6.6315553260090674</v>
      </c>
      <c r="R27" s="336">
        <v>4.6309743896711373</v>
      </c>
      <c r="S27" s="336">
        <v>4.5939265945537686</v>
      </c>
      <c r="T27" s="336">
        <v>9.8122244420744664</v>
      </c>
      <c r="U27" s="336">
        <v>25</v>
      </c>
      <c r="V27" s="275">
        <v>11.038961038961039</v>
      </c>
      <c r="W27" s="275">
        <v>0.24285714285714285</v>
      </c>
      <c r="X27" s="359">
        <v>3.7613527027952121E-2</v>
      </c>
      <c r="Y27" s="365">
        <v>2.4443526674384963E-3</v>
      </c>
      <c r="Z27" s="470">
        <v>3.3000000000000002E-9</v>
      </c>
      <c r="AA27" s="372">
        <v>5.0953791280532467E-7</v>
      </c>
    </row>
    <row r="28" spans="1:27" ht="15.45">
      <c r="A28" s="20"/>
      <c r="B28" s="2" t="s">
        <v>25</v>
      </c>
      <c r="C28" s="29">
        <v>0</v>
      </c>
      <c r="D28" s="306">
        <f t="shared" si="9"/>
        <v>382.15343460399356</v>
      </c>
      <c r="E28" s="306">
        <v>40</v>
      </c>
      <c r="F28" s="122">
        <v>15</v>
      </c>
      <c r="G28" s="333">
        <v>1.5</v>
      </c>
      <c r="H28" s="122">
        <v>100</v>
      </c>
      <c r="I28" s="316">
        <v>101</v>
      </c>
      <c r="J28" s="333">
        <v>1.5</v>
      </c>
      <c r="K28" s="123">
        <v>0.86</v>
      </c>
      <c r="L28" s="336">
        <v>8.3728016965254177</v>
      </c>
      <c r="M28" s="336">
        <v>0.14819118046947641</v>
      </c>
      <c r="N28" s="336">
        <v>10.595669403567562</v>
      </c>
      <c r="O28" s="336">
        <v>2.8156324289200514</v>
      </c>
      <c r="P28" s="336">
        <v>0.85209928769948917</v>
      </c>
      <c r="Q28" s="336">
        <v>6.6315553260090674</v>
      </c>
      <c r="R28" s="336">
        <v>4.6309743896711373</v>
      </c>
      <c r="S28" s="336">
        <v>4.5939265945537686</v>
      </c>
      <c r="T28" s="336">
        <v>9.8122244420744664</v>
      </c>
      <c r="U28" s="336">
        <v>30</v>
      </c>
      <c r="V28" s="275">
        <v>12.151898734177214</v>
      </c>
      <c r="W28" s="275">
        <v>0.26734177215189869</v>
      </c>
      <c r="X28" s="359">
        <v>9.5538358650998384E-2</v>
      </c>
      <c r="Y28" s="365">
        <v>6.208655775293781E-3</v>
      </c>
      <c r="Z28" s="470"/>
      <c r="AA28" s="372"/>
    </row>
    <row r="29" spans="1:27" ht="15.45">
      <c r="A29" s="20"/>
      <c r="B29" s="2" t="s">
        <v>39</v>
      </c>
      <c r="C29" s="29">
        <v>73606.260999999999</v>
      </c>
      <c r="D29" s="535">
        <f t="shared" si="9"/>
        <v>0.21713263329772356</v>
      </c>
      <c r="E29" s="306">
        <v>6.9109555572628976</v>
      </c>
      <c r="F29" s="122">
        <v>2.5</v>
      </c>
      <c r="G29" s="333">
        <v>1</v>
      </c>
      <c r="H29" s="122">
        <v>13</v>
      </c>
      <c r="I29" s="316">
        <v>59.182058931934002</v>
      </c>
      <c r="J29" s="333">
        <v>0.3</v>
      </c>
      <c r="K29" s="125">
        <v>0</v>
      </c>
      <c r="L29" s="336">
        <v>0.16</v>
      </c>
      <c r="M29" s="336">
        <v>0.03</v>
      </c>
      <c r="N29" s="336">
        <v>4.8587045577587276</v>
      </c>
      <c r="O29" s="336">
        <v>2.29</v>
      </c>
      <c r="P29" s="336">
        <v>0.31</v>
      </c>
      <c r="Q29" s="336">
        <v>2.68</v>
      </c>
      <c r="R29" s="336">
        <v>0.6</v>
      </c>
      <c r="S29" s="336">
        <v>1.04</v>
      </c>
      <c r="T29" s="336">
        <v>0</v>
      </c>
      <c r="U29" s="336">
        <v>0.2</v>
      </c>
      <c r="V29" s="275">
        <v>0.2</v>
      </c>
      <c r="W29" s="275">
        <v>5.000000000000001E-3</v>
      </c>
      <c r="X29" s="359">
        <v>0</v>
      </c>
      <c r="Y29" s="284">
        <v>0</v>
      </c>
      <c r="Z29" s="470"/>
      <c r="AA29" s="373"/>
    </row>
    <row r="30" spans="1:27" ht="15.45">
      <c r="A30" s="20"/>
      <c r="B30" s="2" t="s">
        <v>59</v>
      </c>
      <c r="C30" s="29">
        <v>0</v>
      </c>
      <c r="D30" s="306">
        <f t="shared" si="9"/>
        <v>64.552945034458347</v>
      </c>
      <c r="E30" s="306">
        <v>40</v>
      </c>
      <c r="F30" s="122">
        <v>5</v>
      </c>
      <c r="G30" s="333">
        <v>1.5</v>
      </c>
      <c r="H30" s="122">
        <v>100</v>
      </c>
      <c r="I30" s="316">
        <v>111.31127847722257</v>
      </c>
      <c r="J30" s="333">
        <v>1.5</v>
      </c>
      <c r="K30" s="125">
        <v>0</v>
      </c>
      <c r="L30" s="336">
        <v>8.3728016965254177</v>
      </c>
      <c r="M30" s="336">
        <v>0.14819118046947641</v>
      </c>
      <c r="N30" s="336">
        <v>10.595669403567562</v>
      </c>
      <c r="O30" s="336">
        <v>2.8156324289200514</v>
      </c>
      <c r="P30" s="336">
        <v>0.85209928769948917</v>
      </c>
      <c r="Q30" s="336">
        <v>6.6315553260090674</v>
      </c>
      <c r="R30" s="336">
        <v>4.6309743896711373</v>
      </c>
      <c r="S30" s="336">
        <v>4.5939265945537686</v>
      </c>
      <c r="T30" s="336">
        <v>9.8122244420744664</v>
      </c>
      <c r="U30" s="336">
        <v>25</v>
      </c>
      <c r="V30" s="275">
        <v>11.038961038961039</v>
      </c>
      <c r="W30" s="275">
        <v>0.24285714285714285</v>
      </c>
      <c r="X30" s="359">
        <v>3.4120842375356564E-2</v>
      </c>
      <c r="Y30" s="365">
        <v>2.4443526674384963E-3</v>
      </c>
      <c r="Z30" s="470"/>
      <c r="AA30" s="372"/>
    </row>
    <row r="31" spans="1:27" ht="15.45">
      <c r="A31" s="20"/>
      <c r="B31" s="2" t="s">
        <v>52</v>
      </c>
      <c r="C31" s="30">
        <v>0</v>
      </c>
      <c r="D31" s="306">
        <f t="shared" si="9"/>
        <v>13.487768280140946</v>
      </c>
      <c r="E31" s="306">
        <v>40</v>
      </c>
      <c r="F31" s="122">
        <v>2.5</v>
      </c>
      <c r="G31" s="333">
        <v>1</v>
      </c>
      <c r="H31" s="122">
        <v>13</v>
      </c>
      <c r="I31" s="316">
        <v>44.856696654757343</v>
      </c>
      <c r="J31" s="333">
        <v>1.5</v>
      </c>
      <c r="K31" s="125">
        <v>0</v>
      </c>
      <c r="L31" s="336">
        <v>0.16</v>
      </c>
      <c r="M31" s="336">
        <v>0.03</v>
      </c>
      <c r="N31" s="336">
        <v>4.8587045577587276</v>
      </c>
      <c r="O31" s="336">
        <v>2.29</v>
      </c>
      <c r="P31" s="336">
        <v>0.31</v>
      </c>
      <c r="Q31" s="336">
        <v>2.68</v>
      </c>
      <c r="R31" s="336">
        <v>0.6</v>
      </c>
      <c r="S31" s="336">
        <v>1.04</v>
      </c>
      <c r="T31" s="332">
        <v>0</v>
      </c>
      <c r="U31" s="332">
        <v>0.11019264773132305</v>
      </c>
      <c r="V31" s="292">
        <v>0.11019264773132305</v>
      </c>
      <c r="W31" s="292">
        <v>2.7548161932830764E-3</v>
      </c>
      <c r="X31" s="282">
        <v>0</v>
      </c>
      <c r="Y31" s="284">
        <v>0</v>
      </c>
      <c r="Z31" s="470"/>
      <c r="AA31" s="373"/>
    </row>
    <row r="32" spans="1:27" ht="15.45">
      <c r="A32" s="20"/>
      <c r="B32" s="2" t="s">
        <v>48</v>
      </c>
      <c r="C32" s="30">
        <v>0</v>
      </c>
      <c r="D32" s="327">
        <f t="shared" si="9"/>
        <v>0.11942294831374796</v>
      </c>
      <c r="E32" s="306">
        <v>40</v>
      </c>
      <c r="F32" s="122">
        <v>2.5</v>
      </c>
      <c r="G32" s="333">
        <v>1</v>
      </c>
      <c r="H32" s="122">
        <v>13</v>
      </c>
      <c r="I32" s="316">
        <v>254.34719381914149</v>
      </c>
      <c r="J32" s="333">
        <v>1.5</v>
      </c>
      <c r="K32" s="125">
        <v>0</v>
      </c>
      <c r="L32" s="336">
        <v>0.16</v>
      </c>
      <c r="M32" s="336">
        <v>0.03</v>
      </c>
      <c r="N32" s="336">
        <v>4.8587045577587276</v>
      </c>
      <c r="O32" s="336">
        <v>2.29</v>
      </c>
      <c r="P32" s="336">
        <v>0.31</v>
      </c>
      <c r="Q32" s="336">
        <v>2.68</v>
      </c>
      <c r="R32" s="336">
        <v>0.6</v>
      </c>
      <c r="S32" s="336">
        <v>1.04</v>
      </c>
      <c r="T32" s="332">
        <v>0</v>
      </c>
      <c r="U32" s="332">
        <v>0.11019264773132305</v>
      </c>
      <c r="V32" s="292">
        <v>0.11019264773132305</v>
      </c>
      <c r="W32" s="292">
        <v>2.7548161932830764E-3</v>
      </c>
      <c r="X32" s="282">
        <v>0</v>
      </c>
      <c r="Y32" s="284">
        <v>0</v>
      </c>
      <c r="Z32" s="470"/>
      <c r="AA32" s="373"/>
    </row>
    <row r="33" spans="1:27" ht="15.45">
      <c r="A33" s="20"/>
      <c r="B33" s="2" t="s">
        <v>53</v>
      </c>
      <c r="C33" s="29">
        <v>940.85350919999996</v>
      </c>
      <c r="D33" s="327">
        <f t="shared" si="9"/>
        <v>0.21713263329772359</v>
      </c>
      <c r="E33" s="306">
        <v>20</v>
      </c>
      <c r="F33" s="122">
        <v>2</v>
      </c>
      <c r="G33" s="333">
        <v>1</v>
      </c>
      <c r="H33" s="122">
        <v>10</v>
      </c>
      <c r="I33" s="316">
        <v>65.591620000000006</v>
      </c>
      <c r="J33" s="333">
        <v>2</v>
      </c>
      <c r="K33" s="125">
        <v>0</v>
      </c>
      <c r="L33" s="332">
        <v>0</v>
      </c>
      <c r="M33" s="332">
        <v>0</v>
      </c>
      <c r="N33" s="332">
        <v>0</v>
      </c>
      <c r="O33" s="332">
        <v>0</v>
      </c>
      <c r="P33" s="332">
        <v>0</v>
      </c>
      <c r="Q33" s="332">
        <v>0</v>
      </c>
      <c r="R33" s="332">
        <v>0</v>
      </c>
      <c r="S33" s="332">
        <v>0</v>
      </c>
      <c r="T33" s="332">
        <v>0</v>
      </c>
      <c r="U33" s="332">
        <v>0.2</v>
      </c>
      <c r="V33" s="292">
        <v>0.2</v>
      </c>
      <c r="W33" s="292">
        <v>5.000000000000001E-3</v>
      </c>
      <c r="X33" s="282">
        <v>2.1713263329772359E-2</v>
      </c>
      <c r="Y33" s="284">
        <v>0</v>
      </c>
      <c r="Z33" s="470"/>
      <c r="AA33" s="373"/>
    </row>
    <row r="34" spans="1:27" ht="15.45">
      <c r="A34" s="20"/>
      <c r="B34" s="2" t="s">
        <v>54</v>
      </c>
      <c r="C34" s="29">
        <v>3609.1053359999996</v>
      </c>
      <c r="D34" s="327">
        <f t="shared" si="9"/>
        <v>0.39124379724182257</v>
      </c>
      <c r="E34" s="306">
        <v>20</v>
      </c>
      <c r="F34" s="122">
        <v>2.5</v>
      </c>
      <c r="G34" s="333">
        <v>1</v>
      </c>
      <c r="H34" s="122">
        <v>13</v>
      </c>
      <c r="I34" s="316">
        <v>56.497334968095956</v>
      </c>
      <c r="J34" s="333">
        <v>2</v>
      </c>
      <c r="K34" s="125">
        <v>0</v>
      </c>
      <c r="L34" s="332">
        <v>0</v>
      </c>
      <c r="M34" s="332">
        <v>0</v>
      </c>
      <c r="N34" s="332">
        <v>0</v>
      </c>
      <c r="O34" s="332">
        <v>0</v>
      </c>
      <c r="P34" s="332">
        <v>0</v>
      </c>
      <c r="Q34" s="332">
        <v>0</v>
      </c>
      <c r="R34" s="332">
        <v>0</v>
      </c>
      <c r="S34" s="332">
        <v>0</v>
      </c>
      <c r="T34" s="332">
        <v>0</v>
      </c>
      <c r="U34" s="332">
        <v>5</v>
      </c>
      <c r="V34" s="292">
        <v>5</v>
      </c>
      <c r="W34" s="292">
        <v>0.125</v>
      </c>
      <c r="X34" s="282">
        <v>0</v>
      </c>
      <c r="Y34" s="284">
        <v>0</v>
      </c>
      <c r="Z34" s="470"/>
      <c r="AA34" s="373"/>
    </row>
    <row r="35" spans="1:27" ht="15.45">
      <c r="A35" s="20"/>
      <c r="B35" s="2" t="s">
        <v>33</v>
      </c>
      <c r="C35" s="29">
        <v>0</v>
      </c>
      <c r="D35" s="306">
        <f t="shared" si="9"/>
        <v>68.897854796393062</v>
      </c>
      <c r="E35" s="306">
        <v>40</v>
      </c>
      <c r="F35" s="122">
        <v>3</v>
      </c>
      <c r="G35" s="333">
        <v>7</v>
      </c>
      <c r="H35" s="122">
        <v>60</v>
      </c>
      <c r="I35" s="316">
        <v>71.900000000000006</v>
      </c>
      <c r="J35" s="333">
        <v>2</v>
      </c>
      <c r="K35" s="125">
        <v>0</v>
      </c>
      <c r="L35" s="332">
        <v>0.77384120744887253</v>
      </c>
      <c r="M35" s="332">
        <v>0.14330392730534675</v>
      </c>
      <c r="N35" s="332">
        <v>4.7576903865375133</v>
      </c>
      <c r="O35" s="332">
        <v>4.7863511719985814</v>
      </c>
      <c r="P35" s="332">
        <v>0.77384120744887253</v>
      </c>
      <c r="Q35" s="332">
        <v>28.71810703199149</v>
      </c>
      <c r="R35" s="332">
        <v>2.5221491205741033</v>
      </c>
      <c r="S35" s="332">
        <v>1.0317882765984967</v>
      </c>
      <c r="T35" s="332">
        <v>3.4817186097302617</v>
      </c>
      <c r="U35" s="332">
        <v>10</v>
      </c>
      <c r="V35" s="292">
        <v>2.5</v>
      </c>
      <c r="W35" s="292">
        <v>0.83750000000000002</v>
      </c>
      <c r="X35" s="282">
        <v>2.2965951598797683E-2</v>
      </c>
      <c r="Y35" s="365">
        <v>3.6338697129754738E-4</v>
      </c>
      <c r="Z35" s="470"/>
      <c r="AA35" s="372"/>
    </row>
    <row r="36" spans="1:27" ht="15.45">
      <c r="A36" s="20"/>
      <c r="B36" s="2" t="s">
        <v>55</v>
      </c>
      <c r="C36" s="29">
        <v>0</v>
      </c>
      <c r="D36" s="306">
        <f t="shared" si="9"/>
        <v>22.747228250237711</v>
      </c>
      <c r="E36" s="306">
        <v>40</v>
      </c>
      <c r="F36" s="122">
        <v>3</v>
      </c>
      <c r="G36" s="333">
        <v>7</v>
      </c>
      <c r="H36" s="122">
        <v>60</v>
      </c>
      <c r="I36" s="316">
        <v>73.338305545600491</v>
      </c>
      <c r="J36" s="333">
        <v>2</v>
      </c>
      <c r="K36" s="125">
        <v>0</v>
      </c>
      <c r="L36" s="332">
        <v>0.77384120744887253</v>
      </c>
      <c r="M36" s="332">
        <v>0.14330392730534675</v>
      </c>
      <c r="N36" s="332">
        <v>4.7576903865375133</v>
      </c>
      <c r="O36" s="332">
        <v>4.7863511719985814</v>
      </c>
      <c r="P36" s="332">
        <v>0.77384120744887253</v>
      </c>
      <c r="Q36" s="332">
        <v>28.71810703199149</v>
      </c>
      <c r="R36" s="332">
        <v>2.5221491205741033</v>
      </c>
      <c r="S36" s="332">
        <v>1.0317882765984967</v>
      </c>
      <c r="T36" s="332">
        <v>3.4817186097302617</v>
      </c>
      <c r="U36" s="332">
        <v>5</v>
      </c>
      <c r="V36" s="292">
        <v>1.25</v>
      </c>
      <c r="W36" s="292">
        <v>0.41875000000000001</v>
      </c>
      <c r="X36" s="282">
        <v>2.2965951598797683E-2</v>
      </c>
      <c r="Y36" s="365">
        <v>3.6338697129754738E-4</v>
      </c>
      <c r="Z36" s="470"/>
      <c r="AA36" s="372"/>
    </row>
    <row r="37" spans="1:27" ht="15.45">
      <c r="A37" s="20"/>
      <c r="B37" s="2" t="s">
        <v>56</v>
      </c>
      <c r="C37" s="29">
        <v>0</v>
      </c>
      <c r="D37" s="306">
        <f>D18</f>
        <v>69.566766008008528</v>
      </c>
      <c r="E37" s="306">
        <v>40</v>
      </c>
      <c r="F37" s="122">
        <v>3</v>
      </c>
      <c r="G37" s="333">
        <v>7</v>
      </c>
      <c r="H37" s="122">
        <v>60</v>
      </c>
      <c r="I37" s="333">
        <v>71.900000000000006</v>
      </c>
      <c r="J37" s="333">
        <v>2</v>
      </c>
      <c r="K37" s="125">
        <v>0</v>
      </c>
      <c r="L37" s="336">
        <v>0.77384120744887253</v>
      </c>
      <c r="M37" s="336">
        <v>0.14330392730534675</v>
      </c>
      <c r="N37" s="336">
        <v>4.7576903865375133</v>
      </c>
      <c r="O37" s="336">
        <v>4.7863511719985814</v>
      </c>
      <c r="P37" s="336">
        <v>0.77384120744887253</v>
      </c>
      <c r="Q37" s="336">
        <v>28.71810703199149</v>
      </c>
      <c r="R37" s="336">
        <v>2.5221491205741033</v>
      </c>
      <c r="S37" s="336">
        <v>1.0317882765984967</v>
      </c>
      <c r="T37" s="336">
        <v>3.4817186097302617</v>
      </c>
      <c r="U37" s="336">
        <v>5</v>
      </c>
      <c r="V37" s="275">
        <v>1.25</v>
      </c>
      <c r="W37" s="275">
        <v>0.41875000000000001</v>
      </c>
      <c r="X37" s="359">
        <v>2.3188922002669508E-2</v>
      </c>
      <c r="Y37" s="365">
        <v>3.6338697129754738E-4</v>
      </c>
      <c r="Z37" s="470"/>
      <c r="AA37" s="372"/>
    </row>
    <row r="38" spans="1:27" ht="15.45">
      <c r="B38" s="2" t="s">
        <v>195</v>
      </c>
      <c r="C38" s="29">
        <v>31458.051723275999</v>
      </c>
      <c r="D38" s="327">
        <f>D34</f>
        <v>0.39124379724182257</v>
      </c>
      <c r="E38" s="306">
        <v>20</v>
      </c>
      <c r="F38" s="122">
        <v>3</v>
      </c>
      <c r="G38" s="333">
        <v>3</v>
      </c>
      <c r="H38" s="122">
        <v>15</v>
      </c>
      <c r="I38" s="317">
        <v>49.736271087485697</v>
      </c>
      <c r="J38" s="333">
        <v>2</v>
      </c>
      <c r="K38" s="125">
        <v>0</v>
      </c>
      <c r="L38" s="336">
        <v>0.77384120744887253</v>
      </c>
      <c r="M38" s="336">
        <v>0.14330392730534675</v>
      </c>
      <c r="N38" s="336">
        <v>4.7576903865375133</v>
      </c>
      <c r="O38" s="336">
        <v>4.7863511719985814</v>
      </c>
      <c r="P38" s="336">
        <v>0.77384120744887253</v>
      </c>
      <c r="Q38" s="336">
        <v>28.71810703199149</v>
      </c>
      <c r="R38" s="336">
        <v>2.5221491205741033</v>
      </c>
      <c r="S38" s="336">
        <v>1.0317882765984967</v>
      </c>
      <c r="T38" s="336">
        <v>3.4817186097302617</v>
      </c>
      <c r="U38" s="336">
        <v>5</v>
      </c>
      <c r="V38" s="275">
        <v>5</v>
      </c>
      <c r="W38" s="275">
        <v>5.000000000000001E-3</v>
      </c>
      <c r="X38" s="359">
        <v>2.3416264375244699E-2</v>
      </c>
      <c r="Y38" s="365">
        <v>3.6338697129754738E-4</v>
      </c>
      <c r="Z38" s="470"/>
      <c r="AA38" s="372"/>
    </row>
    <row r="39" spans="1:27" ht="18" customHeight="1">
      <c r="A39" s="20"/>
      <c r="B39" s="2" t="s">
        <v>41</v>
      </c>
      <c r="C39" s="29">
        <v>1841.41409256</v>
      </c>
      <c r="D39" s="306">
        <f>D21</f>
        <v>25.096140490228521</v>
      </c>
      <c r="E39" s="306">
        <v>23</v>
      </c>
      <c r="F39" s="122">
        <v>3</v>
      </c>
      <c r="G39" s="333">
        <v>3</v>
      </c>
      <c r="H39" s="122">
        <v>10</v>
      </c>
      <c r="I39" s="316">
        <v>76.426944003278678</v>
      </c>
      <c r="J39" s="333">
        <v>2</v>
      </c>
      <c r="K39" s="125">
        <v>0</v>
      </c>
      <c r="L39" s="336">
        <v>0.77384120744887253</v>
      </c>
      <c r="M39" s="336">
        <v>0.14330392730534675</v>
      </c>
      <c r="N39" s="336">
        <v>4.7576903865375133</v>
      </c>
      <c r="O39" s="336">
        <v>4.7863511719985814</v>
      </c>
      <c r="P39" s="336">
        <v>0.77384120744887253</v>
      </c>
      <c r="Q39" s="336">
        <v>28.71810703199149</v>
      </c>
      <c r="R39" s="336">
        <v>2.5221491205741033</v>
      </c>
      <c r="S39" s="336">
        <v>1.0317882765984967</v>
      </c>
      <c r="T39" s="336">
        <v>3.4817186097302617</v>
      </c>
      <c r="U39" s="336">
        <v>10</v>
      </c>
      <c r="V39" s="275">
        <v>7.6587301587301591</v>
      </c>
      <c r="W39" s="275">
        <v>0.42888888888888893</v>
      </c>
      <c r="X39" s="359">
        <v>2.4372030268111831E-2</v>
      </c>
      <c r="Y39" s="365">
        <v>3.6338697129754738E-4</v>
      </c>
      <c r="Z39" s="470">
        <v>0</v>
      </c>
      <c r="AA39" s="372"/>
    </row>
    <row r="40" spans="1:27" ht="18" customHeight="1">
      <c r="A40" s="559">
        <v>18765.871038115816</v>
      </c>
      <c r="B40" s="2" t="s">
        <v>42</v>
      </c>
      <c r="C40" s="29">
        <v>22886.003784355817</v>
      </c>
      <c r="D40" s="306">
        <f t="shared" ref="D40:D41" si="10">D22</f>
        <v>25.096140490228521</v>
      </c>
      <c r="E40" s="306">
        <v>23</v>
      </c>
      <c r="F40" s="122">
        <v>3</v>
      </c>
      <c r="G40" s="333">
        <v>3</v>
      </c>
      <c r="H40" s="122">
        <v>10</v>
      </c>
      <c r="I40" s="316">
        <v>76.426944003278678</v>
      </c>
      <c r="J40" s="333">
        <v>2</v>
      </c>
      <c r="K40" s="125">
        <v>0</v>
      </c>
      <c r="L40" s="336">
        <v>0.77384120744887253</v>
      </c>
      <c r="M40" s="336">
        <v>0.14330392730534675</v>
      </c>
      <c r="N40" s="336">
        <v>4.7576903865375133</v>
      </c>
      <c r="O40" s="336">
        <v>4.7863511719985814</v>
      </c>
      <c r="P40" s="336">
        <v>0.77384120744887253</v>
      </c>
      <c r="Q40" s="336">
        <v>28.71810703199149</v>
      </c>
      <c r="R40" s="336">
        <v>2.5221491205741033</v>
      </c>
      <c r="S40" s="336">
        <v>1.0317882765984967</v>
      </c>
      <c r="T40" s="336">
        <v>3.4817186097302617</v>
      </c>
      <c r="U40" s="336">
        <v>10</v>
      </c>
      <c r="V40" s="275">
        <v>7.6587301587301591</v>
      </c>
      <c r="W40" s="275">
        <v>0.42888888888888893</v>
      </c>
      <c r="X40" s="359">
        <v>2.4372030268111831E-2</v>
      </c>
      <c r="Y40" s="365">
        <v>3.6338697129754738E-4</v>
      </c>
      <c r="Z40" s="470">
        <v>0</v>
      </c>
      <c r="AA40" s="372"/>
    </row>
    <row r="41" spans="1:27" ht="18" customHeight="1">
      <c r="A41" s="20"/>
      <c r="B41" s="2" t="s">
        <v>34</v>
      </c>
      <c r="C41" s="29">
        <v>0</v>
      </c>
      <c r="D41" s="306">
        <f t="shared" si="10"/>
        <v>86.329842154516598</v>
      </c>
      <c r="E41" s="306">
        <v>23</v>
      </c>
      <c r="F41" s="122">
        <v>1.5</v>
      </c>
      <c r="G41" s="333">
        <v>1.5</v>
      </c>
      <c r="H41" s="122">
        <v>9</v>
      </c>
      <c r="I41" s="316">
        <v>93.96465204654514</v>
      </c>
      <c r="J41" s="333">
        <v>2</v>
      </c>
      <c r="K41" s="125">
        <v>0</v>
      </c>
      <c r="L41" s="336">
        <v>0.77384120744887253</v>
      </c>
      <c r="M41" s="336">
        <v>0.14330392730534675</v>
      </c>
      <c r="N41" s="336">
        <v>4.7576903865375133</v>
      </c>
      <c r="O41" s="336">
        <v>4.7863511719985814</v>
      </c>
      <c r="P41" s="336">
        <v>0.77384120744887253</v>
      </c>
      <c r="Q41" s="336">
        <v>28.71810703199149</v>
      </c>
      <c r="R41" s="336">
        <v>2.5221491205741033</v>
      </c>
      <c r="S41" s="336">
        <v>1.0317882765984967</v>
      </c>
      <c r="T41" s="336">
        <v>3.4817186097302617</v>
      </c>
      <c r="U41" s="336">
        <v>10</v>
      </c>
      <c r="V41" s="275">
        <v>4.4155844155844157</v>
      </c>
      <c r="W41" s="275">
        <v>0.14571428571428571</v>
      </c>
      <c r="X41" s="359">
        <v>2.8776614051505531E-2</v>
      </c>
      <c r="Y41" s="365">
        <v>3.6338697129754738E-4</v>
      </c>
      <c r="Z41" s="470"/>
      <c r="AA41" s="372"/>
    </row>
    <row r="42" spans="1:27" ht="18" customHeight="1">
      <c r="A42" s="21"/>
      <c r="B42" s="2" t="s">
        <v>43</v>
      </c>
      <c r="C42" s="29">
        <v>0</v>
      </c>
      <c r="D42" s="327"/>
      <c r="E42" s="306">
        <v>20</v>
      </c>
      <c r="F42" s="122">
        <v>15</v>
      </c>
      <c r="G42" s="332"/>
      <c r="H42" s="122">
        <v>10</v>
      </c>
      <c r="I42" s="316"/>
      <c r="J42" s="332"/>
      <c r="K42" s="126"/>
      <c r="L42" s="336"/>
      <c r="M42" s="336"/>
      <c r="N42" s="336"/>
      <c r="O42" s="336"/>
      <c r="P42" s="336"/>
      <c r="Q42" s="336"/>
      <c r="R42" s="336"/>
      <c r="S42" s="336"/>
      <c r="T42" s="336"/>
      <c r="U42" s="336">
        <v>25</v>
      </c>
      <c r="V42" s="275">
        <v>21.451612903225804</v>
      </c>
      <c r="W42" s="275">
        <v>0.7079032258064516</v>
      </c>
      <c r="X42" s="278">
        <v>9.5538358650998391E-3</v>
      </c>
      <c r="Y42" s="365">
        <v>3.6557752937804535E-3</v>
      </c>
      <c r="Z42" s="470">
        <v>3.4999999999999999E-6</v>
      </c>
      <c r="AA42" s="371">
        <v>5.7323015190599033E-6</v>
      </c>
    </row>
    <row r="43" spans="1:27" ht="18" customHeight="1">
      <c r="A43" s="20"/>
      <c r="B43" s="2" t="s">
        <v>186</v>
      </c>
      <c r="C43" s="29">
        <v>0</v>
      </c>
      <c r="D43" s="306">
        <f>D39</f>
        <v>25.096140490228521</v>
      </c>
      <c r="E43" s="306"/>
      <c r="F43" s="122"/>
      <c r="G43" s="333"/>
      <c r="H43" s="122"/>
      <c r="I43" s="316"/>
      <c r="J43" s="333"/>
      <c r="K43" s="125"/>
      <c r="L43" s="336"/>
      <c r="M43" s="336"/>
      <c r="N43" s="336"/>
      <c r="O43" s="336"/>
      <c r="P43" s="336"/>
      <c r="Q43" s="336"/>
      <c r="R43" s="336"/>
      <c r="S43" s="336"/>
      <c r="T43" s="336"/>
      <c r="U43" s="336">
        <v>10</v>
      </c>
      <c r="V43" s="275">
        <v>7.6587301587301591</v>
      </c>
      <c r="W43" s="275">
        <v>0.42888888888888893</v>
      </c>
      <c r="X43" s="359"/>
      <c r="Y43" s="365"/>
      <c r="Z43" s="470"/>
      <c r="AA43" s="372"/>
    </row>
    <row r="44" spans="1:27" ht="18" customHeight="1">
      <c r="A44" s="21"/>
      <c r="C44" s="29"/>
      <c r="D44" s="344"/>
      <c r="E44" s="343"/>
      <c r="G44" s="302"/>
      <c r="I44" s="302"/>
      <c r="J44" s="302"/>
      <c r="K44" s="1"/>
      <c r="L44" s="345"/>
      <c r="M44" s="345"/>
      <c r="N44" s="345"/>
      <c r="O44" s="345"/>
      <c r="P44" s="345"/>
      <c r="Q44" s="345"/>
      <c r="R44" s="345"/>
      <c r="S44" s="345"/>
      <c r="T44" s="345"/>
      <c r="U44" s="345"/>
      <c r="V44" s="349"/>
      <c r="W44" s="349"/>
      <c r="X44" s="280"/>
      <c r="Y44" s="364"/>
      <c r="Z44" s="356"/>
      <c r="AA44" s="374"/>
    </row>
    <row r="45" spans="1:27" ht="15.45">
      <c r="A45" s="15" t="s">
        <v>32</v>
      </c>
      <c r="B45" s="16" t="s">
        <v>35</v>
      </c>
      <c r="C45" s="50"/>
      <c r="D45" s="552">
        <f>(C46*D46+C47*D47+C48*D48+C49*D49+C50*D50+C51*D51+C52*D52+C53*D53+C54*D54+C55*D55+C56*D56+C57*D57+C58*D58+C59*D59+C60*D60+C61*D61+C62*D62)/1000</f>
        <v>40.274666461871014</v>
      </c>
      <c r="E45" s="342">
        <f>($C53*E53+$C54*E54+$C55*E55+$C56*E56+$C57*E57+$C58*E58+$C59*E59+$C60*E60+$C61*E61+$C62*E62+$C46*E46+$C47*E47+$C48*E48+$C49*E49+$C50*E50+$C51*E51+$C52*E52)/1000</f>
        <v>1410.1094772967028</v>
      </c>
      <c r="F45" s="34">
        <f t="shared" ref="F45:G45" si="11">($C53*F53+$C54*F54+$C55*F55+$C56*F56+$C57*F57+$C58*F58+$C59*F59+$C60*F60+$C61*F61+$C62*F62+$C46*F46+$C47*F47+$C48*F48+$C49*F49+$C50*F50+$C51*F51+$C52*F52)/1000</f>
        <v>894.76977984306529</v>
      </c>
      <c r="G45" s="342">
        <f t="shared" si="11"/>
        <v>7727.2228058611563</v>
      </c>
      <c r="H45" s="34">
        <f>($C53*H53+$C54*H54+$C55*H55+$C56*H56+$C57*H57+$C58*H58+$C59*H59+$C60*H60+$C61*H61+$C62*H62+$C46*H46+$C47*H47+$C48*H48+$C49*H49+$C50*H50+$C51*H51+$C52*H52)/1000</f>
        <v>1221.9281734736701</v>
      </c>
      <c r="I45" s="342">
        <f>($C53*I53+$C54*I54+$C55*I55+$C56*I56+$C57*I57+$C58*I58+$C59*I59+$C60*I60+$C61*I61+$C46*I46+$C47*I47+$C48*I48+$C49*I49+$C50*I50+$C51*I51+$C52*I52)</f>
        <v>3303858.3891613297</v>
      </c>
      <c r="J45" s="342">
        <f>($C53*J53+$C54*J54+$C55*J55+$C56*J56+$C57*J57+$C58*J58+$C59*J59+$C60*J60+$C61*J61+$C62*J62+$C46*J46+$C47*J47+$C48*J48+$C49*J49+$C50*J50+$C51*J51+$C52*J52)/1000</f>
        <v>170.18996923098112</v>
      </c>
      <c r="K45" s="346">
        <f>($C53*K53+$C54*K54+$C55*K55+$C56*K56+$C57*K57+$C58*K58+$C59*K59+$C60*K60+$C61*K61+$C62*K62+$C46*K46+$C47*K47+$C48*K48+$C49*K49+$C50*K50+$C51*K51+$C52*K52)/1000</f>
        <v>0.3696000000000001</v>
      </c>
      <c r="L45" s="549">
        <f>($C53*L53+$C54*L54+$C55*L55+$C56*L56+$C57*L57+$C58*L58+$C59*L59+$C60*L60+$C61*L61+$C62*L62+$C46*L46+$C47*L47+$C48*L48+$C49*L49+$C50*L50+$C51*L51+$C52*L52)/1000</f>
        <v>9.3878722406613537</v>
      </c>
      <c r="M45" s="549">
        <f>($C53*M53+$C54*M54+$C55*M55+$C56*M56+$C57*M57+$C58*M58+$C59*M59+$C60*M60+$C61*M61+$C62*M62+$C46*M46+$C47*M47+$C48*M48+$C49*M49+$C50*M50+$C51*M51+$C52*M52)/1000</f>
        <v>1.7586045610483987</v>
      </c>
      <c r="N45" s="549">
        <f t="shared" ref="N45:T45" si="12">($C53*N53+$C54*N54+$C55*N55+$C56*N56+$C57*N57+$C58*N58+$C59*N59+$C60*N60+$C61*N61+$C62*N62+$C46*N46+$C47*N47+$C48*N48+$C49*N49+$C50*N50+$C51*N51+$C52*N52)/1000</f>
        <v>268.11582939091119</v>
      </c>
      <c r="O45" s="549">
        <f t="shared" si="12"/>
        <v>128.67089085501652</v>
      </c>
      <c r="P45" s="549">
        <f t="shared" si="12"/>
        <v>17.532301415661351</v>
      </c>
      <c r="Q45" s="549">
        <f t="shared" si="12"/>
        <v>171.50943396009913</v>
      </c>
      <c r="R45" s="549">
        <f t="shared" si="12"/>
        <v>34.86076627845182</v>
      </c>
      <c r="S45" s="549">
        <f t="shared" si="12"/>
        <v>57.402017107548474</v>
      </c>
      <c r="T45" s="549">
        <f t="shared" si="12"/>
        <v>3.1516519540379724</v>
      </c>
      <c r="U45" s="549">
        <f>($C53*U53+$C54*U54+$C55*U55+$C56*U56+$C57*U57+$C58*U58+$C59*U59+$C60*U60+$C61*U61+$C62*U62+$C46*U46+$C47*U47+$C48*U48+$C49*U49+$C50*U50+$C51*U51+$C52*U52)/1000</f>
        <v>35.089510743874108</v>
      </c>
      <c r="V45" s="357">
        <f t="shared" ref="V45:W45" si="13">($C53*V53+$C54*V54+$C55*V55+$C56*V56+$C57*V57+$C58*V58+$C59*V59+$C60*V60+$C61*V61+$C62*V62+$C46*V46+$C47*V47+$C48*V48+$C49*V49+$C50*V50+$C51*V51+$C52*V52)/1000</f>
        <v>30.825083164615787</v>
      </c>
      <c r="W45" s="357">
        <f t="shared" si="13"/>
        <v>1.0892855731753686</v>
      </c>
      <c r="X45" s="358">
        <f>(+$C46*X46+$C47*X47+$C48*X48+$C49*X49+$C50*X50+$C51*X51+$C52*X52+$C53*X53+$C54*X54+$C55*X55+$C56*X56+$C57*X57+$C58*X58+$C59*X59+$C60*X60+$C61*X61+$C62*X62)/1000</f>
        <v>0.51041714363841539</v>
      </c>
      <c r="Y45" s="551">
        <f>($C53*Y53+$C54*Y54+$C55*Y55+$C56*Y56+$C57*Y57+$C58*Y58+$C59*Y59+$C60*Y60+$C61*Y61+$C62*Y62+$C46*Y46+$C47*Y47+$C48*Y48+$C49*Y49+$C50*Y50+$C51*Y51+$C52*Y52)</f>
        <v>184.49805713458653</v>
      </c>
      <c r="Z45" s="357">
        <f t="shared" ref="Z45:AA45" si="14">(+$C46*Z46+$C47*Z47+$C48*Z48+$C49*Z49+$C50*Z50+$C51*Z51+$C52*Z52+$C53*Z53+$C54*Z54+$C55*Z55+$C56*Z56+$C57*Z57+$C58*Z58+$C59*Z59+$C60*Z60+$C61*Z61+$C62*Z62)</f>
        <v>0.17632153660186459</v>
      </c>
      <c r="AA45" s="375">
        <f t="shared" si="14"/>
        <v>0.28877948917309848</v>
      </c>
    </row>
    <row r="46" spans="1:27" ht="18" customHeight="1">
      <c r="A46" s="20"/>
      <c r="B46" s="2" t="s">
        <v>58</v>
      </c>
      <c r="C46" s="29">
        <v>0</v>
      </c>
      <c r="D46" s="306">
        <f>D26</f>
        <v>34.756709945019118</v>
      </c>
      <c r="E46" s="306">
        <v>40</v>
      </c>
      <c r="F46" s="122">
        <v>15</v>
      </c>
      <c r="G46" s="333">
        <v>1.5</v>
      </c>
      <c r="H46" s="122">
        <v>10</v>
      </c>
      <c r="I46" s="316">
        <v>93.395221404523681</v>
      </c>
      <c r="J46" s="333">
        <v>1.5</v>
      </c>
      <c r="K46" s="123">
        <v>0.5</v>
      </c>
      <c r="L46" s="336">
        <v>8.3728016965254177</v>
      </c>
      <c r="M46" s="336">
        <v>0.14819118046947641</v>
      </c>
      <c r="N46" s="336">
        <v>10.595669403567562</v>
      </c>
      <c r="O46" s="336">
        <v>2.8156324289200514</v>
      </c>
      <c r="P46" s="336">
        <v>0.85209928769948917</v>
      </c>
      <c r="Q46" s="336">
        <v>6.6315553260090674</v>
      </c>
      <c r="R46" s="336">
        <v>4.6309743896711373</v>
      </c>
      <c r="S46" s="336">
        <v>4.5939265945537686</v>
      </c>
      <c r="T46" s="336">
        <v>9.8122244420744664</v>
      </c>
      <c r="U46" s="336">
        <v>25</v>
      </c>
      <c r="V46" s="275">
        <v>11.038961038961039</v>
      </c>
      <c r="W46" s="275">
        <v>0.24285714285714285</v>
      </c>
      <c r="X46" s="359">
        <v>3.7613527027952121E-2</v>
      </c>
      <c r="Y46" s="365">
        <v>2.4443526674384963E-3</v>
      </c>
      <c r="Z46" s="470">
        <v>3.3000000000000002E-9</v>
      </c>
      <c r="AA46" s="474">
        <v>5.0953791280532467E-7</v>
      </c>
    </row>
    <row r="47" spans="1:27" ht="18" customHeight="1">
      <c r="A47" s="20"/>
      <c r="B47" s="2" t="s">
        <v>60</v>
      </c>
      <c r="C47" s="29">
        <v>0</v>
      </c>
      <c r="D47" s="306">
        <f>D27</f>
        <v>30.529542519273541</v>
      </c>
      <c r="E47" s="306">
        <v>40</v>
      </c>
      <c r="F47" s="122">
        <v>15</v>
      </c>
      <c r="G47" s="333">
        <v>1.5</v>
      </c>
      <c r="H47" s="122">
        <v>10</v>
      </c>
      <c r="I47" s="316">
        <v>101.33436265682617</v>
      </c>
      <c r="J47" s="333">
        <v>1.5</v>
      </c>
      <c r="K47" s="123">
        <v>0.5</v>
      </c>
      <c r="L47" s="336">
        <v>8.3728016965254177</v>
      </c>
      <c r="M47" s="336">
        <v>0.14819118046947641</v>
      </c>
      <c r="N47" s="336">
        <v>10.595669403567562</v>
      </c>
      <c r="O47" s="336">
        <v>2.8156324289200514</v>
      </c>
      <c r="P47" s="336">
        <v>0.85209928769948917</v>
      </c>
      <c r="Q47" s="336">
        <v>6.6315553260090674</v>
      </c>
      <c r="R47" s="336">
        <v>4.6309743896711373</v>
      </c>
      <c r="S47" s="336">
        <v>4.5939265945537686</v>
      </c>
      <c r="T47" s="336">
        <v>9.8122244420744664</v>
      </c>
      <c r="U47" s="336">
        <v>25</v>
      </c>
      <c r="V47" s="275">
        <v>11.038961038961039</v>
      </c>
      <c r="W47" s="275">
        <v>0.24285714285714285</v>
      </c>
      <c r="X47" s="359">
        <v>3.7613527027952121E-2</v>
      </c>
      <c r="Y47" s="365">
        <v>2.4443526674384963E-3</v>
      </c>
      <c r="Z47" s="289">
        <v>3.3000000000000002E-9</v>
      </c>
      <c r="AA47" s="372">
        <v>5.0953791280532467E-7</v>
      </c>
    </row>
    <row r="48" spans="1:27" ht="18" customHeight="1">
      <c r="A48" s="20"/>
      <c r="B48" s="2" t="s">
        <v>25</v>
      </c>
      <c r="C48" s="29">
        <v>0</v>
      </c>
      <c r="D48" s="306">
        <f>D28</f>
        <v>382.15343460399356</v>
      </c>
      <c r="E48" s="306">
        <v>40</v>
      </c>
      <c r="F48" s="122">
        <v>15</v>
      </c>
      <c r="G48" s="333">
        <v>1.5</v>
      </c>
      <c r="H48" s="122">
        <v>100</v>
      </c>
      <c r="I48" s="316">
        <v>101</v>
      </c>
      <c r="J48" s="333">
        <v>1.5</v>
      </c>
      <c r="K48" s="123">
        <v>0.86</v>
      </c>
      <c r="L48" s="336">
        <v>8.3728016965254177</v>
      </c>
      <c r="M48" s="336">
        <v>0.14819118046947641</v>
      </c>
      <c r="N48" s="336">
        <v>10.595669403567562</v>
      </c>
      <c r="O48" s="336">
        <v>2.8156324289200514</v>
      </c>
      <c r="P48" s="336">
        <v>0.85209928769948917</v>
      </c>
      <c r="Q48" s="336">
        <v>6.6315553260090674</v>
      </c>
      <c r="R48" s="336">
        <v>4.6309743896711373</v>
      </c>
      <c r="S48" s="336">
        <v>4.5939265945537686</v>
      </c>
      <c r="T48" s="336">
        <v>9.8122244420744664</v>
      </c>
      <c r="U48" s="336">
        <v>30</v>
      </c>
      <c r="V48" s="275">
        <v>12.151898734177214</v>
      </c>
      <c r="W48" s="275">
        <v>0.26734177215189869</v>
      </c>
      <c r="X48" s="359">
        <v>9.5538358650998384E-2</v>
      </c>
      <c r="Y48" s="365">
        <v>6.208655775293781E-3</v>
      </c>
      <c r="Z48" s="289"/>
      <c r="AA48" s="372"/>
    </row>
    <row r="49" spans="1:27" ht="18" customHeight="1">
      <c r="A49" s="20"/>
      <c r="B49" s="2" t="s">
        <v>39</v>
      </c>
      <c r="C49" s="29">
        <v>54296.194499999998</v>
      </c>
      <c r="D49" s="327">
        <f t="shared" ref="D49:D57" si="15">D29</f>
        <v>0.21713263329772356</v>
      </c>
      <c r="E49" s="306">
        <v>6.9109555572628976</v>
      </c>
      <c r="F49" s="122">
        <v>2.5</v>
      </c>
      <c r="G49" s="333">
        <v>1</v>
      </c>
      <c r="H49" s="122">
        <v>13</v>
      </c>
      <c r="I49" s="316">
        <v>59.182058931934002</v>
      </c>
      <c r="J49" s="333">
        <v>0.3</v>
      </c>
      <c r="K49" s="125">
        <v>0</v>
      </c>
      <c r="L49" s="336">
        <v>0.16</v>
      </c>
      <c r="M49" s="336">
        <v>0.03</v>
      </c>
      <c r="N49" s="336">
        <v>4.8587045577587276</v>
      </c>
      <c r="O49" s="336">
        <v>2.29</v>
      </c>
      <c r="P49" s="336">
        <v>0.31</v>
      </c>
      <c r="Q49" s="336">
        <v>2.68</v>
      </c>
      <c r="R49" s="336">
        <v>0.6</v>
      </c>
      <c r="S49" s="336">
        <v>1.04</v>
      </c>
      <c r="T49" s="336">
        <v>0</v>
      </c>
      <c r="U49" s="336">
        <v>0.2</v>
      </c>
      <c r="V49" s="275">
        <v>0.2</v>
      </c>
      <c r="W49" s="275">
        <v>5.000000000000001E-3</v>
      </c>
      <c r="X49" s="359">
        <v>0</v>
      </c>
      <c r="Y49" s="284">
        <v>0</v>
      </c>
      <c r="Z49" s="289"/>
      <c r="AA49" s="372"/>
    </row>
    <row r="50" spans="1:27" ht="18" customHeight="1">
      <c r="A50" s="20"/>
      <c r="B50" s="2" t="s">
        <v>59</v>
      </c>
      <c r="C50" s="29">
        <v>0</v>
      </c>
      <c r="D50" s="306">
        <f t="shared" si="15"/>
        <v>64.552945034458347</v>
      </c>
      <c r="E50" s="306">
        <v>40</v>
      </c>
      <c r="F50" s="122">
        <v>5</v>
      </c>
      <c r="G50" s="333">
        <v>1.5</v>
      </c>
      <c r="H50" s="122">
        <v>100</v>
      </c>
      <c r="I50" s="316">
        <v>111.31127847722257</v>
      </c>
      <c r="J50" s="333">
        <v>1.5</v>
      </c>
      <c r="K50" s="125">
        <v>0</v>
      </c>
      <c r="L50" s="336">
        <v>8.3728016965254177</v>
      </c>
      <c r="M50" s="336">
        <v>0.14819118046947641</v>
      </c>
      <c r="N50" s="336">
        <v>10.595669403567562</v>
      </c>
      <c r="O50" s="336">
        <v>2.8156324289200514</v>
      </c>
      <c r="P50" s="336">
        <v>0.85209928769948917</v>
      </c>
      <c r="Q50" s="336">
        <v>6.6315553260090674</v>
      </c>
      <c r="R50" s="336">
        <v>4.6309743896711373</v>
      </c>
      <c r="S50" s="336">
        <v>4.5939265945537686</v>
      </c>
      <c r="T50" s="336">
        <v>9.8122244420744664</v>
      </c>
      <c r="U50" s="336">
        <v>25</v>
      </c>
      <c r="V50" s="275">
        <v>11.038961038961039</v>
      </c>
      <c r="W50" s="275">
        <v>0.24285714285714285</v>
      </c>
      <c r="X50" s="359">
        <v>3.4120842375356564E-2</v>
      </c>
      <c r="Y50" s="365">
        <v>2.4443526674384963E-3</v>
      </c>
      <c r="Z50" s="289"/>
      <c r="AA50" s="372"/>
    </row>
    <row r="51" spans="1:27" ht="18" customHeight="1">
      <c r="A51" s="20"/>
      <c r="B51" s="2" t="s">
        <v>52</v>
      </c>
      <c r="C51" s="30">
        <v>0</v>
      </c>
      <c r="D51" s="306">
        <f t="shared" si="15"/>
        <v>13.487768280140946</v>
      </c>
      <c r="E51" s="306">
        <v>40</v>
      </c>
      <c r="F51" s="122">
        <v>2.5</v>
      </c>
      <c r="G51" s="333">
        <v>1</v>
      </c>
      <c r="H51" s="122">
        <v>13</v>
      </c>
      <c r="I51" s="316">
        <v>44.856696654757343</v>
      </c>
      <c r="J51" s="333">
        <v>1.5</v>
      </c>
      <c r="K51" s="125">
        <v>0</v>
      </c>
      <c r="L51" s="336">
        <v>0.16</v>
      </c>
      <c r="M51" s="336">
        <v>0.03</v>
      </c>
      <c r="N51" s="336">
        <v>4.8587045577587276</v>
      </c>
      <c r="O51" s="336">
        <v>2.29</v>
      </c>
      <c r="P51" s="336">
        <v>0.31</v>
      </c>
      <c r="Q51" s="336">
        <v>2.68</v>
      </c>
      <c r="R51" s="336">
        <v>0.6</v>
      </c>
      <c r="S51" s="336">
        <v>1.04</v>
      </c>
      <c r="T51" s="336">
        <v>0</v>
      </c>
      <c r="U51" s="336">
        <v>0.11019264773132305</v>
      </c>
      <c r="V51" s="275">
        <v>0.11019264773132305</v>
      </c>
      <c r="W51" s="275">
        <v>2.7548161932830764E-3</v>
      </c>
      <c r="X51" s="359">
        <v>0</v>
      </c>
      <c r="Y51" s="284">
        <v>0</v>
      </c>
      <c r="Z51" s="289"/>
      <c r="AA51" s="372"/>
    </row>
    <row r="52" spans="1:27" ht="18" customHeight="1">
      <c r="A52" s="20"/>
      <c r="B52" s="2" t="s">
        <v>48</v>
      </c>
      <c r="C52" s="30">
        <v>0</v>
      </c>
      <c r="D52" s="327">
        <f t="shared" si="15"/>
        <v>0.11942294831374796</v>
      </c>
      <c r="E52" s="306">
        <v>40</v>
      </c>
      <c r="F52" s="122">
        <v>2.5</v>
      </c>
      <c r="G52" s="333">
        <v>1</v>
      </c>
      <c r="H52" s="122">
        <v>13</v>
      </c>
      <c r="I52" s="316">
        <v>254.34719381914149</v>
      </c>
      <c r="J52" s="333">
        <v>1.5</v>
      </c>
      <c r="K52" s="125">
        <v>0</v>
      </c>
      <c r="L52" s="336">
        <v>0.16</v>
      </c>
      <c r="M52" s="336">
        <v>0.03</v>
      </c>
      <c r="N52" s="336">
        <v>4.8587045577587276</v>
      </c>
      <c r="O52" s="336">
        <v>2.29</v>
      </c>
      <c r="P52" s="336">
        <v>0.31</v>
      </c>
      <c r="Q52" s="336">
        <v>2.68</v>
      </c>
      <c r="R52" s="336">
        <v>0.6</v>
      </c>
      <c r="S52" s="336">
        <v>1.04</v>
      </c>
      <c r="T52" s="336">
        <v>0</v>
      </c>
      <c r="U52" s="336">
        <v>0.11019264773132305</v>
      </c>
      <c r="V52" s="275">
        <v>0.11019264773132305</v>
      </c>
      <c r="W52" s="275">
        <v>2.7548161932830764E-3</v>
      </c>
      <c r="X52" s="359">
        <v>0</v>
      </c>
      <c r="Y52" s="284">
        <v>0</v>
      </c>
      <c r="Z52" s="289"/>
      <c r="AA52" s="372"/>
    </row>
    <row r="53" spans="1:27" ht="18" customHeight="1">
      <c r="A53" s="20"/>
      <c r="B53" s="2" t="s">
        <v>53</v>
      </c>
      <c r="C53" s="29">
        <v>324.98253399999999</v>
      </c>
      <c r="D53" s="327">
        <f t="shared" si="15"/>
        <v>0.21713263329772359</v>
      </c>
      <c r="E53" s="306">
        <v>20</v>
      </c>
      <c r="F53" s="122">
        <v>2</v>
      </c>
      <c r="G53" s="333">
        <v>1</v>
      </c>
      <c r="H53" s="122">
        <v>10</v>
      </c>
      <c r="I53" s="316">
        <v>65.591620000000006</v>
      </c>
      <c r="J53" s="333">
        <v>2</v>
      </c>
      <c r="K53" s="125">
        <v>0</v>
      </c>
      <c r="L53" s="336">
        <v>0</v>
      </c>
      <c r="M53" s="336">
        <v>0</v>
      </c>
      <c r="N53" s="336">
        <v>0</v>
      </c>
      <c r="O53" s="336">
        <v>0</v>
      </c>
      <c r="P53" s="336">
        <v>0</v>
      </c>
      <c r="Q53" s="336">
        <v>0</v>
      </c>
      <c r="R53" s="336">
        <v>0</v>
      </c>
      <c r="S53" s="336">
        <v>0</v>
      </c>
      <c r="T53" s="336">
        <v>0</v>
      </c>
      <c r="U53" s="336">
        <v>0.2</v>
      </c>
      <c r="V53" s="275">
        <v>0.2</v>
      </c>
      <c r="W53" s="275">
        <v>5.000000000000001E-3</v>
      </c>
      <c r="X53" s="359">
        <v>2.1713263329772359E-2</v>
      </c>
      <c r="Y53" s="284">
        <v>0</v>
      </c>
      <c r="Z53" s="289"/>
      <c r="AA53" s="372"/>
    </row>
    <row r="54" spans="1:27" ht="18" customHeight="1">
      <c r="A54" s="20"/>
      <c r="B54" s="2" t="s">
        <v>54</v>
      </c>
      <c r="C54" s="29">
        <v>0</v>
      </c>
      <c r="D54" s="327">
        <f t="shared" si="15"/>
        <v>0.39124379724182257</v>
      </c>
      <c r="E54" s="306">
        <v>20</v>
      </c>
      <c r="F54" s="122">
        <v>2.5</v>
      </c>
      <c r="G54" s="333">
        <v>1</v>
      </c>
      <c r="H54" s="122">
        <v>13</v>
      </c>
      <c r="I54" s="316">
        <v>56.497334968095956</v>
      </c>
      <c r="J54" s="333">
        <v>2</v>
      </c>
      <c r="K54" s="125">
        <v>0</v>
      </c>
      <c r="L54" s="336">
        <v>0</v>
      </c>
      <c r="M54" s="336">
        <v>0</v>
      </c>
      <c r="N54" s="336">
        <v>0</v>
      </c>
      <c r="O54" s="336">
        <v>0</v>
      </c>
      <c r="P54" s="336">
        <v>0</v>
      </c>
      <c r="Q54" s="336">
        <v>0</v>
      </c>
      <c r="R54" s="336">
        <v>0</v>
      </c>
      <c r="S54" s="336">
        <v>0</v>
      </c>
      <c r="T54" s="336">
        <v>0</v>
      </c>
      <c r="U54" s="336">
        <v>5</v>
      </c>
      <c r="V54" s="275">
        <v>5</v>
      </c>
      <c r="W54" s="275">
        <v>0.125</v>
      </c>
      <c r="X54" s="359">
        <v>0</v>
      </c>
      <c r="Y54" s="284">
        <v>0</v>
      </c>
      <c r="Z54" s="289"/>
      <c r="AA54" s="372"/>
    </row>
    <row r="55" spans="1:27" ht="18" customHeight="1">
      <c r="A55" s="20"/>
      <c r="B55" s="2" t="s">
        <v>33</v>
      </c>
      <c r="C55" s="29">
        <v>0</v>
      </c>
      <c r="D55" s="306">
        <f t="shared" si="15"/>
        <v>68.897854796393062</v>
      </c>
      <c r="E55" s="306">
        <v>40</v>
      </c>
      <c r="F55" s="122">
        <v>3</v>
      </c>
      <c r="G55" s="333">
        <v>7</v>
      </c>
      <c r="H55" s="122">
        <v>60</v>
      </c>
      <c r="I55" s="316">
        <v>71.900000000000006</v>
      </c>
      <c r="J55" s="333">
        <v>2</v>
      </c>
      <c r="K55" s="125">
        <v>0</v>
      </c>
      <c r="L55" s="336">
        <v>0.77384120744887253</v>
      </c>
      <c r="M55" s="336">
        <v>0.14330392730534675</v>
      </c>
      <c r="N55" s="336">
        <v>4.7576903865375133</v>
      </c>
      <c r="O55" s="336">
        <v>4.7863511719985814</v>
      </c>
      <c r="P55" s="336">
        <v>0.77384120744887253</v>
      </c>
      <c r="Q55" s="336">
        <v>28.71810703199149</v>
      </c>
      <c r="R55" s="336">
        <v>2.5221491205741033</v>
      </c>
      <c r="S55" s="336">
        <v>1.0317882765984967</v>
      </c>
      <c r="T55" s="336">
        <v>3.4817186097302617</v>
      </c>
      <c r="U55" s="336">
        <v>10</v>
      </c>
      <c r="V55" s="275">
        <v>2.5</v>
      </c>
      <c r="W55" s="275">
        <v>0.83750000000000002</v>
      </c>
      <c r="X55" s="359">
        <v>2.2965951598797683E-2</v>
      </c>
      <c r="Y55" s="365">
        <v>3.6338697129754738E-4</v>
      </c>
      <c r="Z55" s="289"/>
      <c r="AA55" s="372"/>
    </row>
    <row r="56" spans="1:27" ht="18" customHeight="1">
      <c r="A56" s="20"/>
      <c r="B56" s="2" t="s">
        <v>55</v>
      </c>
      <c r="C56" s="29">
        <v>0</v>
      </c>
      <c r="D56" s="306">
        <f t="shared" si="15"/>
        <v>22.747228250237711</v>
      </c>
      <c r="E56" s="306">
        <v>40</v>
      </c>
      <c r="F56" s="122">
        <v>3</v>
      </c>
      <c r="G56" s="333">
        <v>7</v>
      </c>
      <c r="H56" s="122">
        <v>60</v>
      </c>
      <c r="I56" s="316">
        <v>73.338305545600491</v>
      </c>
      <c r="J56" s="333">
        <v>2</v>
      </c>
      <c r="K56" s="125">
        <v>0</v>
      </c>
      <c r="L56" s="336">
        <v>0.77384120744887253</v>
      </c>
      <c r="M56" s="336">
        <v>0.14330392730534675</v>
      </c>
      <c r="N56" s="336">
        <v>4.7576903865375133</v>
      </c>
      <c r="O56" s="336">
        <v>4.7863511719985814</v>
      </c>
      <c r="P56" s="336">
        <v>0.77384120744887253</v>
      </c>
      <c r="Q56" s="336">
        <v>28.71810703199149</v>
      </c>
      <c r="R56" s="336">
        <v>2.5221491205741033</v>
      </c>
      <c r="S56" s="336">
        <v>1.0317882765984967</v>
      </c>
      <c r="T56" s="336">
        <v>3.4817186097302617</v>
      </c>
      <c r="U56" s="336">
        <v>5</v>
      </c>
      <c r="V56" s="275">
        <v>1.25</v>
      </c>
      <c r="W56" s="275">
        <v>0.41875000000000001</v>
      </c>
      <c r="X56" s="359">
        <v>2.2965951598797683E-2</v>
      </c>
      <c r="Y56" s="365">
        <v>3.6338697129754738E-4</v>
      </c>
      <c r="Z56" s="289"/>
      <c r="AA56" s="372"/>
    </row>
    <row r="57" spans="1:27" ht="18" customHeight="1">
      <c r="A57" s="20"/>
      <c r="B57" s="2" t="s">
        <v>56</v>
      </c>
      <c r="C57" s="29">
        <v>0</v>
      </c>
      <c r="D57" s="306">
        <f t="shared" si="15"/>
        <v>69.566766008008528</v>
      </c>
      <c r="E57" s="306">
        <v>40</v>
      </c>
      <c r="F57" s="122">
        <v>3</v>
      </c>
      <c r="G57" s="333">
        <v>7</v>
      </c>
      <c r="H57" s="122">
        <v>60</v>
      </c>
      <c r="I57" s="316">
        <v>71.900000000000006</v>
      </c>
      <c r="J57" s="333">
        <v>2</v>
      </c>
      <c r="K57" s="125">
        <v>0</v>
      </c>
      <c r="L57" s="336">
        <v>0.77384120744887253</v>
      </c>
      <c r="M57" s="336">
        <v>0.14330392730534675</v>
      </c>
      <c r="N57" s="336">
        <v>4.7576903865375133</v>
      </c>
      <c r="O57" s="336">
        <v>4.7863511719985814</v>
      </c>
      <c r="P57" s="336">
        <v>0.77384120744887253</v>
      </c>
      <c r="Q57" s="336">
        <v>28.71810703199149</v>
      </c>
      <c r="R57" s="336">
        <v>2.5221491205741033</v>
      </c>
      <c r="S57" s="336">
        <v>1.0317882765984967</v>
      </c>
      <c r="T57" s="336">
        <v>3.4817186097302617</v>
      </c>
      <c r="U57" s="336">
        <v>5</v>
      </c>
      <c r="V57" s="275">
        <v>1.25</v>
      </c>
      <c r="W57" s="275">
        <v>0.41875000000000001</v>
      </c>
      <c r="X57" s="359">
        <v>2.3188922002669508E-2</v>
      </c>
      <c r="Y57" s="365">
        <v>3.6338697129754738E-4</v>
      </c>
      <c r="Z57" s="289"/>
      <c r="AA57" s="372"/>
    </row>
    <row r="58" spans="1:27" ht="18" customHeight="1">
      <c r="A58" s="20"/>
      <c r="B58" s="2" t="s">
        <v>44</v>
      </c>
      <c r="C58" s="29">
        <v>0</v>
      </c>
      <c r="D58" s="306">
        <f>D20</f>
        <v>13.177287347536705</v>
      </c>
      <c r="E58" s="306">
        <v>20</v>
      </c>
      <c r="F58" s="122">
        <v>3</v>
      </c>
      <c r="G58" s="333">
        <v>3</v>
      </c>
      <c r="H58" s="122">
        <v>15</v>
      </c>
      <c r="I58" s="316">
        <v>89.675287489965896</v>
      </c>
      <c r="J58" s="333">
        <v>2</v>
      </c>
      <c r="K58" s="125">
        <v>0</v>
      </c>
      <c r="L58" s="336">
        <v>0.77384120744887253</v>
      </c>
      <c r="M58" s="336">
        <v>0.14330392730534675</v>
      </c>
      <c r="N58" s="336">
        <v>4.7576903865375133</v>
      </c>
      <c r="O58" s="336">
        <v>4.7863511719985814</v>
      </c>
      <c r="P58" s="336">
        <v>0.77384120744887253</v>
      </c>
      <c r="Q58" s="336">
        <v>28.71810703199149</v>
      </c>
      <c r="R58" s="336">
        <v>2.5221491205741033</v>
      </c>
      <c r="S58" s="336">
        <v>1.0317882765984967</v>
      </c>
      <c r="T58" s="336">
        <v>3.4817186097302617</v>
      </c>
      <c r="U58" s="336">
        <v>5</v>
      </c>
      <c r="V58" s="275">
        <v>1.25</v>
      </c>
      <c r="W58" s="275">
        <v>0.41875000000000001</v>
      </c>
      <c r="X58" s="359">
        <v>2.3416264375244699E-2</v>
      </c>
      <c r="Y58" s="365">
        <v>3.6338697129754738E-4</v>
      </c>
      <c r="Z58" s="289"/>
      <c r="AA58" s="372"/>
    </row>
    <row r="59" spans="1:27" ht="18" customHeight="1">
      <c r="A59" s="20"/>
      <c r="B59" s="2" t="s">
        <v>41</v>
      </c>
      <c r="C59" s="29">
        <v>905.20007712000006</v>
      </c>
      <c r="D59" s="306">
        <f t="shared" ref="D59:D61" si="16">D21</f>
        <v>25.096140490228521</v>
      </c>
      <c r="E59" s="306">
        <v>23</v>
      </c>
      <c r="F59" s="122">
        <v>3</v>
      </c>
      <c r="G59" s="333">
        <v>3</v>
      </c>
      <c r="H59" s="122">
        <v>10</v>
      </c>
      <c r="I59" s="316">
        <v>76.426944003278678</v>
      </c>
      <c r="J59" s="333">
        <v>2</v>
      </c>
      <c r="K59" s="125">
        <v>0</v>
      </c>
      <c r="L59" s="336">
        <v>0.77384120744887253</v>
      </c>
      <c r="M59" s="336">
        <v>0.14330392730534675</v>
      </c>
      <c r="N59" s="336">
        <v>4.7576903865375133</v>
      </c>
      <c r="O59" s="336">
        <v>4.7863511719985814</v>
      </c>
      <c r="P59" s="336">
        <v>0.77384120744887253</v>
      </c>
      <c r="Q59" s="336">
        <v>28.71810703199149</v>
      </c>
      <c r="R59" s="336">
        <v>2.5221491205741033</v>
      </c>
      <c r="S59" s="336">
        <v>1.0317882765984967</v>
      </c>
      <c r="T59" s="336">
        <v>3.4817186097302617</v>
      </c>
      <c r="U59" s="336">
        <v>10</v>
      </c>
      <c r="V59" s="275">
        <v>7.6587301587301591</v>
      </c>
      <c r="W59" s="275">
        <v>0.42888888888888893</v>
      </c>
      <c r="X59" s="359">
        <v>2.4372030268111831E-2</v>
      </c>
      <c r="Y59" s="365">
        <v>3.6338697129754738E-4</v>
      </c>
      <c r="Z59" s="290">
        <v>0</v>
      </c>
      <c r="AA59" s="372"/>
    </row>
    <row r="60" spans="1:27" ht="18" customHeight="1">
      <c r="A60" s="20"/>
      <c r="B60" s="2" t="s">
        <v>42</v>
      </c>
      <c r="C60" s="29">
        <v>0</v>
      </c>
      <c r="D60" s="306">
        <f t="shared" si="16"/>
        <v>25.096140490228521</v>
      </c>
      <c r="E60" s="306">
        <v>23</v>
      </c>
      <c r="F60" s="122">
        <v>3</v>
      </c>
      <c r="G60" s="333">
        <v>3</v>
      </c>
      <c r="H60" s="122">
        <v>10</v>
      </c>
      <c r="I60" s="316">
        <v>76.426944003278678</v>
      </c>
      <c r="J60" s="333">
        <v>2</v>
      </c>
      <c r="K60" s="125">
        <v>0</v>
      </c>
      <c r="L60" s="336">
        <v>0.77384120744887253</v>
      </c>
      <c r="M60" s="336">
        <v>0.14330392730534675</v>
      </c>
      <c r="N60" s="336">
        <v>4.7576903865375133</v>
      </c>
      <c r="O60" s="336">
        <v>4.7863511719985814</v>
      </c>
      <c r="P60" s="336">
        <v>0.77384120744887253</v>
      </c>
      <c r="Q60" s="336">
        <v>28.71810703199149</v>
      </c>
      <c r="R60" s="336">
        <v>2.5221491205741033</v>
      </c>
      <c r="S60" s="336">
        <v>1.0317882765984967</v>
      </c>
      <c r="T60" s="336">
        <v>3.4817186097302617</v>
      </c>
      <c r="U60" s="336">
        <v>10</v>
      </c>
      <c r="V60" s="275">
        <v>7.6587301587301591</v>
      </c>
      <c r="W60" s="275">
        <v>0.42888888888888893</v>
      </c>
      <c r="X60" s="359">
        <v>2.4372030268111831E-2</v>
      </c>
      <c r="Y60" s="365">
        <v>3.6338697129754738E-4</v>
      </c>
      <c r="Z60" s="290">
        <v>0</v>
      </c>
      <c r="AA60" s="372"/>
    </row>
    <row r="61" spans="1:27" ht="18" customHeight="1">
      <c r="A61" s="20"/>
      <c r="B61" s="2" t="s">
        <v>34</v>
      </c>
      <c r="C61" s="29">
        <v>0</v>
      </c>
      <c r="D61" s="306">
        <f t="shared" si="16"/>
        <v>86.329842154516598</v>
      </c>
      <c r="E61" s="306">
        <v>23</v>
      </c>
      <c r="F61" s="122">
        <v>1.5</v>
      </c>
      <c r="G61" s="333">
        <v>1.5</v>
      </c>
      <c r="H61" s="122">
        <v>9</v>
      </c>
      <c r="I61" s="316">
        <v>93.96465204654514</v>
      </c>
      <c r="J61" s="333">
        <v>2</v>
      </c>
      <c r="K61" s="125">
        <v>0</v>
      </c>
      <c r="L61" s="336">
        <v>0.77384120744887253</v>
      </c>
      <c r="M61" s="336">
        <v>0.14330392730534675</v>
      </c>
      <c r="N61" s="336">
        <v>4.7576903865375133</v>
      </c>
      <c r="O61" s="336">
        <v>4.7863511719985814</v>
      </c>
      <c r="P61" s="336">
        <v>0.77384120744887253</v>
      </c>
      <c r="Q61" s="336">
        <v>28.71810703199149</v>
      </c>
      <c r="R61" s="336">
        <v>2.5221491205741033</v>
      </c>
      <c r="S61" s="336">
        <v>1.0317882765984967</v>
      </c>
      <c r="T61" s="336">
        <v>3.4817186097302617</v>
      </c>
      <c r="U61" s="336">
        <v>10</v>
      </c>
      <c r="V61" s="275">
        <v>4.4155844155844157</v>
      </c>
      <c r="W61" s="275">
        <v>0.14571428571428571</v>
      </c>
      <c r="X61" s="359">
        <v>2.8776614051505531E-2</v>
      </c>
      <c r="Y61" s="365">
        <v>3.6338697129754738E-4</v>
      </c>
      <c r="Z61" s="289"/>
      <c r="AA61" s="372"/>
    </row>
    <row r="62" spans="1:27" ht="18" customHeight="1">
      <c r="A62" s="21"/>
      <c r="B62" s="2" t="s">
        <v>187</v>
      </c>
      <c r="C62" s="29">
        <v>50377.581886247026</v>
      </c>
      <c r="D62" s="327">
        <v>0.11309788874649562</v>
      </c>
      <c r="E62" s="306">
        <v>20</v>
      </c>
      <c r="F62" s="122">
        <v>15</v>
      </c>
      <c r="G62" s="332">
        <v>152.2479988403266</v>
      </c>
      <c r="H62" s="122">
        <v>10</v>
      </c>
      <c r="I62" s="316">
        <v>52.076355474349896</v>
      </c>
      <c r="J62" s="332">
        <v>3.0061138305664508</v>
      </c>
      <c r="K62" s="125">
        <v>7.3365966797405997E-3</v>
      </c>
      <c r="L62" s="333"/>
      <c r="M62" s="333"/>
      <c r="N62" s="333"/>
      <c r="O62" s="333"/>
      <c r="P62" s="333"/>
      <c r="Q62" s="333"/>
      <c r="R62" s="333"/>
      <c r="S62" s="333"/>
      <c r="T62" s="333"/>
      <c r="U62" s="336">
        <v>0.3</v>
      </c>
      <c r="V62" s="275">
        <v>0.25741935483870965</v>
      </c>
      <c r="W62" s="275">
        <v>8.4948387096774186E-3</v>
      </c>
      <c r="X62" s="278">
        <v>9.5538358650998391E-3</v>
      </c>
      <c r="Y62" s="471">
        <v>3.6557752937804535E-3</v>
      </c>
      <c r="Z62" s="472">
        <v>3.4999999999999999E-6</v>
      </c>
      <c r="AA62" s="473">
        <v>5.7323015190599033E-6</v>
      </c>
    </row>
    <row r="63" spans="1:27" s="35" customFormat="1" ht="15.45">
      <c r="A63" s="49"/>
      <c r="B63" s="475" t="s">
        <v>65</v>
      </c>
      <c r="C63" s="476"/>
      <c r="D63" s="477">
        <f>D3/$C3*1000</f>
        <v>0.87641302250943232</v>
      </c>
      <c r="E63" s="459">
        <f>E3/$C3*1000</f>
        <v>12.567890007711782</v>
      </c>
      <c r="F63" s="460">
        <f t="shared" ref="F63:AA63" si="17">F3/$C3*1000</f>
        <v>4.10953765843571</v>
      </c>
      <c r="G63" s="459">
        <f t="shared" si="17"/>
        <v>18.957835934017847</v>
      </c>
      <c r="H63" s="460">
        <f t="shared" si="17"/>
        <v>12.227982355981117</v>
      </c>
      <c r="I63" s="478">
        <f>I3/$C3</f>
        <v>54.930387177697263</v>
      </c>
      <c r="J63" s="459">
        <f t="shared" si="17"/>
        <v>1.0700027738179709</v>
      </c>
      <c r="K63" s="462">
        <f t="shared" si="17"/>
        <v>2.6739354251065534E-3</v>
      </c>
      <c r="L63" s="477">
        <f t="shared" si="17"/>
        <v>0.32270141333977903</v>
      </c>
      <c r="M63" s="459">
        <f t="shared" si="17"/>
        <v>5.486225386630536E-2</v>
      </c>
      <c r="N63" s="459">
        <f t="shared" si="17"/>
        <v>4.2149658254664182</v>
      </c>
      <c r="O63" s="459">
        <f t="shared" si="17"/>
        <v>2.6157984378341408</v>
      </c>
      <c r="P63" s="459">
        <f t="shared" si="17"/>
        <v>0.38735973312131777</v>
      </c>
      <c r="Q63" s="459">
        <f t="shared" si="17"/>
        <v>8.8633076550248298</v>
      </c>
      <c r="R63" s="459">
        <f t="shared" si="17"/>
        <v>1.0171964272412402</v>
      </c>
      <c r="S63" s="459">
        <f t="shared" si="17"/>
        <v>0.9140673244096188</v>
      </c>
      <c r="T63" s="459">
        <f t="shared" si="17"/>
        <v>0.90789648034390324</v>
      </c>
      <c r="U63" s="459">
        <f t="shared" si="17"/>
        <v>2.4360573855649585</v>
      </c>
      <c r="V63" s="479">
        <f t="shared" si="17"/>
        <v>1.9624485715036464</v>
      </c>
      <c r="W63" s="479">
        <f t="shared" si="17"/>
        <v>8.2885016188592744E-2</v>
      </c>
      <c r="X63" s="480">
        <f t="shared" si="17"/>
        <v>7.4474984488155449E-3</v>
      </c>
      <c r="Y63" s="480">
        <f t="shared" si="17"/>
        <v>0.52184966538702071</v>
      </c>
      <c r="Z63" s="479">
        <f t="shared" si="17"/>
        <v>4.0393672342345995E-4</v>
      </c>
      <c r="AA63" s="481">
        <f t="shared" si="17"/>
        <v>6.6341008600346912E-4</v>
      </c>
    </row>
    <row r="66" spans="2:2">
      <c r="B66" s="302" t="s">
        <v>192</v>
      </c>
    </row>
    <row r="67" spans="2:2">
      <c r="B67" s="249" t="s">
        <v>193</v>
      </c>
    </row>
    <row r="68" spans="2:2">
      <c r="B68" s="252" t="s">
        <v>194</v>
      </c>
    </row>
  </sheetData>
  <mergeCells count="4">
    <mergeCell ref="D1:K1"/>
    <mergeCell ref="Y1:AA1"/>
    <mergeCell ref="L1:T1"/>
    <mergeCell ref="U1:W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D53"/>
  <sheetViews>
    <sheetView zoomScale="90" zoomScaleNormal="90" workbookViewId="0">
      <selection activeCell="J25" sqref="J25"/>
    </sheetView>
  </sheetViews>
  <sheetFormatPr defaultColWidth="9.07421875" defaultRowHeight="14.6"/>
  <cols>
    <col min="3" max="3" width="33.07421875" customWidth="1"/>
    <col min="4" max="4" width="14.4609375" customWidth="1"/>
    <col min="5" max="5" width="12" customWidth="1"/>
    <col min="6" max="7" width="9.4609375" bestFit="1" customWidth="1"/>
    <col min="8" max="26" width="13.69140625" customWidth="1"/>
    <col min="27" max="30" width="12.53515625" customWidth="1"/>
  </cols>
  <sheetData>
    <row r="1" spans="1:30" ht="15.45">
      <c r="A1" s="131"/>
      <c r="B1" s="131"/>
      <c r="C1" s="131"/>
      <c r="D1" s="200" t="s">
        <v>178</v>
      </c>
      <c r="E1" s="201" t="s">
        <v>179</v>
      </c>
      <c r="F1" s="592" t="s">
        <v>180</v>
      </c>
      <c r="G1" s="593"/>
      <c r="H1" s="593"/>
      <c r="I1" s="593"/>
      <c r="J1" s="593"/>
      <c r="K1" s="593"/>
      <c r="L1" s="593"/>
      <c r="M1" s="594"/>
      <c r="N1" s="595" t="s">
        <v>182</v>
      </c>
      <c r="O1" s="596"/>
      <c r="P1" s="596"/>
      <c r="Q1" s="596"/>
      <c r="R1" s="596"/>
      <c r="S1" s="596"/>
      <c r="T1" s="596"/>
      <c r="U1" s="596"/>
      <c r="V1" s="596"/>
      <c r="W1" s="596"/>
      <c r="X1" s="596"/>
      <c r="Y1" s="596"/>
      <c r="Z1" s="596"/>
      <c r="AA1" s="596"/>
      <c r="AB1" s="596"/>
      <c r="AC1" s="596"/>
      <c r="AD1" s="4"/>
    </row>
    <row r="2" spans="1:30">
      <c r="A2" s="202" t="s">
        <v>110</v>
      </c>
      <c r="B2" s="203" t="s">
        <v>111</v>
      </c>
      <c r="C2" s="204"/>
      <c r="D2" s="205"/>
      <c r="E2" s="202"/>
      <c r="F2" s="229" t="s">
        <v>1</v>
      </c>
      <c r="G2" s="206" t="s">
        <v>2</v>
      </c>
      <c r="H2" s="206" t="s">
        <v>3</v>
      </c>
      <c r="I2" s="206" t="s">
        <v>4</v>
      </c>
      <c r="J2" s="206" t="s">
        <v>5</v>
      </c>
      <c r="K2" s="206" t="s">
        <v>6</v>
      </c>
      <c r="L2" s="206" t="s">
        <v>7</v>
      </c>
      <c r="M2" s="207" t="s">
        <v>8</v>
      </c>
      <c r="N2" s="6" t="s">
        <v>18</v>
      </c>
      <c r="O2" s="6" t="s">
        <v>106</v>
      </c>
      <c r="P2" s="6" t="s">
        <v>184</v>
      </c>
      <c r="Q2" s="206" t="s">
        <v>20</v>
      </c>
      <c r="R2" s="206" t="s">
        <v>183</v>
      </c>
      <c r="S2" s="206" t="s">
        <v>21</v>
      </c>
      <c r="T2" s="206" t="s">
        <v>22</v>
      </c>
      <c r="U2" s="206" t="s">
        <v>9</v>
      </c>
      <c r="V2" s="206" t="s">
        <v>10</v>
      </c>
      <c r="W2" s="206" t="s">
        <v>11</v>
      </c>
      <c r="X2" s="206" t="s">
        <v>12</v>
      </c>
      <c r="Y2" s="206" t="s">
        <v>13</v>
      </c>
      <c r="Z2" s="206" t="s">
        <v>14</v>
      </c>
      <c r="AA2" s="206" t="s">
        <v>15</v>
      </c>
      <c r="AB2" s="206" t="s">
        <v>16</v>
      </c>
      <c r="AC2" s="206" t="s">
        <v>17</v>
      </c>
      <c r="AD2" s="4"/>
    </row>
    <row r="3" spans="1:30" ht="15.45">
      <c r="A3" s="376" t="s">
        <v>112</v>
      </c>
      <c r="B3" s="377"/>
      <c r="C3" s="378" t="s">
        <v>113</v>
      </c>
      <c r="D3" s="192">
        <v>3026964</v>
      </c>
      <c r="E3" s="209" t="s">
        <v>181</v>
      </c>
      <c r="F3" s="130"/>
      <c r="G3" s="131"/>
      <c r="H3" s="131"/>
      <c r="I3" s="131"/>
      <c r="J3" s="131"/>
      <c r="K3" s="131"/>
      <c r="L3" s="131"/>
      <c r="M3" s="210"/>
      <c r="N3" s="220"/>
      <c r="O3" s="204"/>
      <c r="P3" s="204"/>
      <c r="Q3" s="204"/>
      <c r="R3" s="204"/>
      <c r="S3" s="204"/>
      <c r="T3" s="204"/>
      <c r="U3" s="204"/>
      <c r="V3" s="204"/>
      <c r="W3" s="204"/>
      <c r="X3" s="204"/>
      <c r="Y3" s="204"/>
      <c r="Z3" s="204"/>
      <c r="AA3" s="204"/>
      <c r="AB3" s="204"/>
      <c r="AC3" s="204"/>
      <c r="AD3" s="4"/>
    </row>
    <row r="4" spans="1:30" ht="15.45">
      <c r="A4" s="376"/>
      <c r="B4" s="377"/>
      <c r="C4" s="379" t="s">
        <v>114</v>
      </c>
      <c r="D4" s="193">
        <v>0</v>
      </c>
      <c r="E4" s="208"/>
      <c r="F4" s="423">
        <v>0.3</v>
      </c>
      <c r="G4" s="424">
        <v>0.1</v>
      </c>
      <c r="H4" s="482">
        <v>2.5935704210366852E-4</v>
      </c>
      <c r="I4" s="482">
        <v>2.5935704210366852E-4</v>
      </c>
      <c r="J4" s="443">
        <v>0.18889660503529182</v>
      </c>
      <c r="K4" s="424"/>
      <c r="L4" s="443">
        <v>3.4277534276484726E-3</v>
      </c>
      <c r="M4" s="11"/>
      <c r="N4" s="423">
        <v>15.9</v>
      </c>
      <c r="O4" s="431">
        <v>9.9375</v>
      </c>
      <c r="P4" s="431">
        <v>0.23850000000000002</v>
      </c>
      <c r="Q4" s="401"/>
      <c r="R4" s="401"/>
      <c r="S4" s="401"/>
      <c r="T4" s="401"/>
      <c r="U4" s="435">
        <v>0.1406</v>
      </c>
      <c r="V4" s="424">
        <v>7.9292304025178949E-4</v>
      </c>
      <c r="W4" s="435">
        <v>0.21</v>
      </c>
      <c r="X4" s="435">
        <v>1.06</v>
      </c>
      <c r="Y4" s="435">
        <v>2.6199999999999998E-2</v>
      </c>
      <c r="Z4" s="435">
        <v>0.01</v>
      </c>
      <c r="AA4" s="424">
        <v>0.1</v>
      </c>
      <c r="AB4" s="435">
        <v>4.2999999999999997E-2</v>
      </c>
      <c r="AC4" s="531">
        <v>9.0299999999999994</v>
      </c>
      <c r="AD4" s="4"/>
    </row>
    <row r="5" spans="1:30" ht="15.45">
      <c r="A5" s="376"/>
      <c r="B5" s="377"/>
      <c r="C5" s="379" t="s">
        <v>115</v>
      </c>
      <c r="D5" s="193">
        <v>3026964</v>
      </c>
      <c r="E5" s="208"/>
      <c r="F5" s="423">
        <v>0.18953314277936573</v>
      </c>
      <c r="G5" s="424">
        <v>9.1993165429123031E-2</v>
      </c>
      <c r="H5" s="482">
        <v>2.5935704210366852E-4</v>
      </c>
      <c r="I5" s="482">
        <v>2.5935704210366852E-4</v>
      </c>
      <c r="J5" s="443">
        <v>0.18889660503529182</v>
      </c>
      <c r="K5" s="424">
        <v>600.05508164937089</v>
      </c>
      <c r="L5" s="443">
        <v>3.4277534276484726E-3</v>
      </c>
      <c r="M5" s="11"/>
      <c r="N5" s="423">
        <v>1.2071657490011243</v>
      </c>
      <c r="O5" s="431">
        <v>0.75447859312570265</v>
      </c>
      <c r="P5" s="431">
        <v>1.8107486235016863E-2</v>
      </c>
      <c r="Q5" s="401"/>
      <c r="R5" s="401"/>
      <c r="S5" s="401"/>
      <c r="T5" s="401"/>
      <c r="U5" s="424">
        <v>5.8819395222313242E-3</v>
      </c>
      <c r="V5" s="424">
        <v>7.9292304025178949E-4</v>
      </c>
      <c r="W5" s="435">
        <v>0.21</v>
      </c>
      <c r="X5" s="424">
        <v>1.0398030221281742E-2</v>
      </c>
      <c r="Y5" s="424">
        <v>1.2540159121587349E-3</v>
      </c>
      <c r="Z5" s="424">
        <v>4.569362005523896E-3</v>
      </c>
      <c r="AA5" s="424">
        <v>7.0149590639940274E-3</v>
      </c>
      <c r="AB5" s="424">
        <v>8.2798016923143758E-3</v>
      </c>
      <c r="AC5" s="424">
        <v>0.10122738795186985</v>
      </c>
      <c r="AD5" s="4"/>
    </row>
    <row r="6" spans="1:30" ht="15.45">
      <c r="A6" s="392" t="s">
        <v>116</v>
      </c>
      <c r="B6" s="393"/>
      <c r="C6" s="396" t="s">
        <v>117</v>
      </c>
      <c r="D6" s="192">
        <v>216774.46877957991</v>
      </c>
      <c r="E6" s="209" t="s">
        <v>181</v>
      </c>
      <c r="F6" s="441">
        <v>0.115</v>
      </c>
      <c r="G6" s="442">
        <v>8.7999999999999995E-2</v>
      </c>
      <c r="H6" s="442">
        <v>8.9999999999999993E-3</v>
      </c>
      <c r="I6" s="442">
        <v>8.9999999999999993E-3</v>
      </c>
      <c r="J6" s="442">
        <v>1.2999999999999999E-2</v>
      </c>
      <c r="K6" s="443">
        <v>48.05</v>
      </c>
      <c r="L6" s="442">
        <v>4.0000000000000001E-3</v>
      </c>
      <c r="M6" s="11"/>
      <c r="N6" s="444">
        <v>3.3</v>
      </c>
      <c r="O6" s="431">
        <v>0.98999999999999988</v>
      </c>
      <c r="P6" s="401"/>
      <c r="Q6" s="401"/>
      <c r="R6" s="401"/>
      <c r="S6" s="401"/>
      <c r="T6" s="401"/>
      <c r="U6" s="419"/>
      <c r="V6" s="419"/>
      <c r="W6" s="419"/>
      <c r="X6" s="419"/>
      <c r="Y6" s="419"/>
      <c r="Z6" s="419"/>
      <c r="AA6" s="419"/>
      <c r="AB6" s="419"/>
      <c r="AC6" s="407"/>
      <c r="AD6" s="4"/>
    </row>
    <row r="7" spans="1:30" ht="15.45">
      <c r="A7" s="211" t="s">
        <v>118</v>
      </c>
      <c r="B7" s="212"/>
      <c r="C7" s="232" t="s">
        <v>119</v>
      </c>
      <c r="D7" s="194"/>
      <c r="E7" s="211"/>
      <c r="F7" s="402"/>
      <c r="G7" s="403"/>
      <c r="H7" s="403"/>
      <c r="I7" s="403"/>
      <c r="J7" s="403"/>
      <c r="K7" s="445"/>
      <c r="L7" s="403"/>
      <c r="M7" s="403"/>
      <c r="N7" s="408"/>
      <c r="O7" s="409"/>
      <c r="P7" s="409"/>
      <c r="Q7" s="409"/>
      <c r="R7" s="409"/>
      <c r="S7" s="409"/>
      <c r="T7" s="409"/>
      <c r="U7" s="409"/>
      <c r="V7" s="409"/>
      <c r="W7" s="409"/>
      <c r="X7" s="409"/>
      <c r="Y7" s="409"/>
      <c r="Z7" s="409"/>
      <c r="AA7" s="409"/>
      <c r="AB7" s="409"/>
      <c r="AC7" s="409"/>
      <c r="AD7" s="4"/>
    </row>
    <row r="8" spans="1:30" ht="15.45">
      <c r="A8" s="213"/>
      <c r="B8" s="213"/>
      <c r="C8" s="2"/>
      <c r="D8" s="195"/>
      <c r="E8" s="214"/>
      <c r="F8" s="11"/>
      <c r="G8" s="11"/>
      <c r="H8" s="11"/>
      <c r="I8" s="11"/>
      <c r="J8" s="11"/>
      <c r="K8" s="446"/>
      <c r="L8" s="11"/>
      <c r="M8" s="44"/>
      <c r="N8" s="407"/>
      <c r="O8" s="407"/>
      <c r="P8" s="407"/>
      <c r="Q8" s="407"/>
      <c r="R8" s="407"/>
      <c r="S8" s="407"/>
      <c r="T8" s="407"/>
      <c r="U8" s="407"/>
      <c r="V8" s="407"/>
      <c r="W8" s="407"/>
      <c r="X8" s="407"/>
      <c r="Y8" s="407"/>
      <c r="Z8" s="407"/>
      <c r="AA8" s="407"/>
      <c r="AB8" s="407"/>
      <c r="AC8" s="407"/>
      <c r="AD8" s="4"/>
    </row>
    <row r="9" spans="1:30" ht="15.45">
      <c r="A9" s="202" t="s">
        <v>120</v>
      </c>
      <c r="B9" s="203" t="s">
        <v>121</v>
      </c>
      <c r="C9" s="233"/>
      <c r="D9" s="196"/>
      <c r="E9" s="202"/>
      <c r="F9" s="404"/>
      <c r="G9" s="405"/>
      <c r="H9" s="405"/>
      <c r="I9" s="405"/>
      <c r="J9" s="405"/>
      <c r="K9" s="447"/>
      <c r="L9" s="405"/>
      <c r="M9" s="405"/>
      <c r="N9" s="448"/>
      <c r="O9" s="410"/>
      <c r="P9" s="410"/>
      <c r="Q9" s="410"/>
      <c r="R9" s="410"/>
      <c r="S9" s="410"/>
      <c r="T9" s="410"/>
      <c r="U9" s="410"/>
      <c r="V9" s="410"/>
      <c r="W9" s="410"/>
      <c r="X9" s="410"/>
      <c r="Y9" s="410"/>
      <c r="Z9" s="410"/>
      <c r="AA9" s="410"/>
      <c r="AB9" s="410"/>
      <c r="AC9" s="410"/>
      <c r="AD9" s="4"/>
    </row>
    <row r="10" spans="1:30" ht="15.45">
      <c r="A10" s="376" t="s">
        <v>122</v>
      </c>
      <c r="B10" s="377"/>
      <c r="C10" s="378" t="s">
        <v>123</v>
      </c>
      <c r="D10" s="197">
        <v>3502206</v>
      </c>
      <c r="E10" s="209" t="s">
        <v>181</v>
      </c>
      <c r="F10" s="406"/>
      <c r="G10" s="213"/>
      <c r="H10" s="213"/>
      <c r="I10" s="213"/>
      <c r="J10" s="213"/>
      <c r="K10" s="3"/>
      <c r="L10" s="213"/>
      <c r="M10" s="213"/>
      <c r="N10" s="411"/>
      <c r="O10" s="412"/>
      <c r="P10" s="412"/>
      <c r="Q10" s="412"/>
      <c r="R10" s="412"/>
      <c r="S10" s="412"/>
      <c r="T10" s="412"/>
      <c r="U10" s="412"/>
      <c r="V10" s="412"/>
      <c r="W10" s="412"/>
      <c r="X10" s="412"/>
      <c r="Y10" s="412"/>
      <c r="Z10" s="412"/>
      <c r="AA10" s="412"/>
      <c r="AB10" s="412"/>
      <c r="AC10" s="412"/>
      <c r="AD10" s="4"/>
    </row>
    <row r="11" spans="1:30" ht="15.45">
      <c r="A11" s="376"/>
      <c r="B11" s="377"/>
      <c r="C11" s="379" t="s">
        <v>114</v>
      </c>
      <c r="D11" s="198"/>
      <c r="E11" s="208"/>
      <c r="F11" s="424">
        <v>0.51486349402372866</v>
      </c>
      <c r="G11" s="424">
        <v>0.85929526123936817</v>
      </c>
      <c r="H11" s="435">
        <v>0.09</v>
      </c>
      <c r="I11" s="435">
        <v>0.29199999999999998</v>
      </c>
      <c r="J11" s="424">
        <v>16.104981773997569</v>
      </c>
      <c r="K11" s="424">
        <v>174.28502581847744</v>
      </c>
      <c r="L11" s="419"/>
      <c r="M11" s="424">
        <v>2.5050048849645182E-3</v>
      </c>
      <c r="N11" s="423">
        <v>68.241167908966602</v>
      </c>
      <c r="O11" s="431">
        <v>54.592934327173282</v>
      </c>
      <c r="P11" s="431">
        <v>9.2807988356194568E-2</v>
      </c>
      <c r="Q11" s="424">
        <v>2.5000000000000001E-2</v>
      </c>
      <c r="R11" s="532">
        <v>9.41648656992899E-4</v>
      </c>
      <c r="S11" s="532">
        <v>1.3927918622836735E-3</v>
      </c>
      <c r="T11" s="533">
        <v>3.2290953551933998E-5</v>
      </c>
      <c r="U11" s="435">
        <v>0.04</v>
      </c>
      <c r="V11" s="424">
        <v>2.3477374853853341E-2</v>
      </c>
      <c r="W11" s="435">
        <v>0.03</v>
      </c>
      <c r="X11" s="435">
        <v>0.6</v>
      </c>
      <c r="Y11" s="435">
        <v>0.02</v>
      </c>
      <c r="Z11" s="435">
        <v>2.1999999999999999E-2</v>
      </c>
      <c r="AA11" s="424">
        <v>3.7</v>
      </c>
      <c r="AB11" s="435">
        <v>0.02</v>
      </c>
      <c r="AC11" s="435">
        <v>1</v>
      </c>
      <c r="AD11" s="4"/>
    </row>
    <row r="12" spans="1:30" ht="15.45">
      <c r="A12" s="376"/>
      <c r="B12" s="377"/>
      <c r="C12" s="379" t="s">
        <v>115</v>
      </c>
      <c r="D12" s="198">
        <v>3502206</v>
      </c>
      <c r="E12" s="208"/>
      <c r="F12" s="423">
        <v>0.21624370468213464</v>
      </c>
      <c r="G12" s="424">
        <v>0.68524524256996866</v>
      </c>
      <c r="H12" s="435">
        <v>0.09</v>
      </c>
      <c r="I12" s="435">
        <v>0.29199991614449589</v>
      </c>
      <c r="J12" s="424">
        <v>13.69602473412472</v>
      </c>
      <c r="K12" s="424">
        <v>152.209375815832</v>
      </c>
      <c r="L12" s="419"/>
      <c r="M12" s="424">
        <v>2.8553431751301892E-3</v>
      </c>
      <c r="N12" s="423">
        <v>2.4821748225898199</v>
      </c>
      <c r="O12" s="431">
        <v>1.9857398580718559</v>
      </c>
      <c r="P12" s="431">
        <v>3.375757758722155E-3</v>
      </c>
      <c r="Q12" s="424">
        <v>2.5000000000000001E-2</v>
      </c>
      <c r="R12" s="532">
        <v>6.5672893027994358E-5</v>
      </c>
      <c r="S12" s="532">
        <v>1.3927918622836737E-3</v>
      </c>
      <c r="T12" s="533">
        <v>3.2290953551933998E-5</v>
      </c>
      <c r="U12" s="424">
        <v>1.020794175802929E-2</v>
      </c>
      <c r="V12" s="424">
        <v>1.6646650711009004E-3</v>
      </c>
      <c r="W12" s="435">
        <v>0.03</v>
      </c>
      <c r="X12" s="424">
        <v>5.1320363845881629E-2</v>
      </c>
      <c r="Y12" s="424">
        <v>3.8496502907535567E-3</v>
      </c>
      <c r="Z12" s="424">
        <v>2.1836088367227835E-2</v>
      </c>
      <c r="AA12" s="424">
        <v>0.32316671584301165</v>
      </c>
      <c r="AB12" s="424">
        <v>2.4559464010055501E-2</v>
      </c>
      <c r="AC12" s="424">
        <v>0.21415101541761189</v>
      </c>
      <c r="AD12" s="4"/>
    </row>
    <row r="13" spans="1:30" ht="15.45">
      <c r="A13" s="376" t="s">
        <v>124</v>
      </c>
      <c r="B13" s="377"/>
      <c r="C13" s="378" t="s">
        <v>125</v>
      </c>
      <c r="D13" s="197">
        <v>24222083.034354817</v>
      </c>
      <c r="E13" s="209" t="s">
        <v>181</v>
      </c>
      <c r="F13" s="406"/>
      <c r="G13" s="213"/>
      <c r="H13" s="213"/>
      <c r="I13" s="213"/>
      <c r="J13" s="213"/>
      <c r="K13" s="3"/>
      <c r="L13" s="213"/>
      <c r="M13" s="213"/>
      <c r="N13" s="411"/>
      <c r="O13" s="412"/>
      <c r="P13" s="412"/>
      <c r="Q13" s="412"/>
      <c r="R13" s="412"/>
      <c r="S13" s="412"/>
      <c r="T13" s="412"/>
      <c r="U13" s="412"/>
      <c r="V13" s="412"/>
      <c r="W13" s="412"/>
      <c r="X13" s="412"/>
      <c r="Y13" s="412"/>
      <c r="Z13" s="412"/>
      <c r="AA13" s="412"/>
      <c r="AB13" s="412"/>
      <c r="AC13" s="412"/>
      <c r="AD13" s="4"/>
    </row>
    <row r="14" spans="1:30" ht="15.45">
      <c r="A14" s="376"/>
      <c r="B14" s="377"/>
      <c r="C14" s="379" t="s">
        <v>114</v>
      </c>
      <c r="D14" s="198">
        <v>21251978.085354816</v>
      </c>
      <c r="E14" s="208"/>
      <c r="F14" s="423">
        <v>3.5999999999999997E-2</v>
      </c>
      <c r="G14" s="424">
        <v>0.10299999999999999</v>
      </c>
      <c r="H14" s="435">
        <v>0.01</v>
      </c>
      <c r="I14" s="435">
        <v>0.01</v>
      </c>
      <c r="J14" s="435">
        <v>0.05</v>
      </c>
      <c r="K14" s="424">
        <v>278.65158782436544</v>
      </c>
      <c r="L14" s="443">
        <v>5.4999999999999997E-3</v>
      </c>
      <c r="M14" s="419"/>
      <c r="N14" s="423">
        <v>7</v>
      </c>
      <c r="O14" s="431">
        <v>5.4444444444444446</v>
      </c>
      <c r="P14" s="431">
        <v>1.9599999999999999E-2</v>
      </c>
      <c r="Q14" s="401"/>
      <c r="R14" s="401"/>
      <c r="S14" s="401"/>
      <c r="T14" s="401"/>
      <c r="U14" s="435">
        <v>1.0629966732963814E-2</v>
      </c>
      <c r="V14" s="424">
        <v>1.6959889074963989E-2</v>
      </c>
      <c r="W14" s="435">
        <v>9.0351544105794504E-2</v>
      </c>
      <c r="X14" s="435">
        <v>4.7838023422735049E-2</v>
      </c>
      <c r="Y14" s="435">
        <v>1.5941776975047818E-2</v>
      </c>
      <c r="Z14" s="435">
        <v>3.4548978444331344E-2</v>
      </c>
      <c r="AA14" s="435">
        <v>0.11693598031139774</v>
      </c>
      <c r="AB14" s="435"/>
      <c r="AC14" s="435">
        <v>0.11693598031139774</v>
      </c>
      <c r="AD14" s="4"/>
    </row>
    <row r="15" spans="1:30" ht="15.45">
      <c r="A15" s="376"/>
      <c r="B15" s="377"/>
      <c r="C15" s="379" t="s">
        <v>115</v>
      </c>
      <c r="D15" s="215">
        <v>2970104.949</v>
      </c>
      <c r="E15" s="208"/>
      <c r="F15" s="423">
        <v>3.9695225520033503E-2</v>
      </c>
      <c r="G15" s="424">
        <v>0.11584449598440801</v>
      </c>
      <c r="H15" s="424">
        <v>4.7977640896242641E-3</v>
      </c>
      <c r="I15" s="424">
        <v>3.8902505118249653E-3</v>
      </c>
      <c r="J15" s="424">
        <v>0.2723238820765434</v>
      </c>
      <c r="K15" s="424">
        <v>278.65158782436538</v>
      </c>
      <c r="L15" s="443">
        <v>5.4999999999999997E-3</v>
      </c>
      <c r="M15" s="401"/>
      <c r="N15" s="423">
        <v>0.42361322309788962</v>
      </c>
      <c r="O15" s="431">
        <v>0.32947695129835858</v>
      </c>
      <c r="P15" s="431">
        <v>1.1861170246740909E-3</v>
      </c>
      <c r="Q15" s="401"/>
      <c r="R15" s="401"/>
      <c r="S15" s="401"/>
      <c r="T15" s="401"/>
      <c r="U15" s="435">
        <v>1.0629966732963814E-2</v>
      </c>
      <c r="V15" s="424">
        <v>1.6959889074963989E-2</v>
      </c>
      <c r="W15" s="435">
        <v>9.0351544105794504E-2</v>
      </c>
      <c r="X15" s="435">
        <v>4.7838023422735049E-2</v>
      </c>
      <c r="Y15" s="435">
        <v>1.5941776975047818E-2</v>
      </c>
      <c r="Z15" s="435">
        <v>3.4548978444331344E-2</v>
      </c>
      <c r="AA15" s="435">
        <v>0.11693598031139774</v>
      </c>
      <c r="AB15" s="435"/>
      <c r="AC15" s="435">
        <v>0.11693598031139774</v>
      </c>
      <c r="AD15" s="4"/>
    </row>
    <row r="16" spans="1:30" ht="15.45">
      <c r="A16" s="381" t="s">
        <v>126</v>
      </c>
      <c r="B16" s="382"/>
      <c r="C16" s="383" t="s">
        <v>127</v>
      </c>
      <c r="D16" s="197">
        <v>660069.10605136969</v>
      </c>
      <c r="E16" s="209" t="s">
        <v>181</v>
      </c>
      <c r="F16" s="449">
        <v>0.125</v>
      </c>
      <c r="G16" s="436">
        <v>0.16</v>
      </c>
      <c r="H16" s="436">
        <v>0.09</v>
      </c>
      <c r="I16" s="419"/>
      <c r="J16" s="436">
        <v>9.5</v>
      </c>
      <c r="K16" s="424">
        <v>124.43629175983017</v>
      </c>
      <c r="L16" s="419"/>
      <c r="M16" s="419"/>
      <c r="N16" s="449">
        <v>600</v>
      </c>
      <c r="O16" s="433">
        <v>423.5294117647062</v>
      </c>
      <c r="P16" s="433">
        <v>42.352941176470623</v>
      </c>
      <c r="Q16" s="419"/>
      <c r="R16" s="419"/>
      <c r="S16" s="419"/>
      <c r="T16" s="419"/>
      <c r="U16" s="436">
        <v>0.3</v>
      </c>
      <c r="V16" s="436">
        <v>0.14000000000000001</v>
      </c>
      <c r="W16" s="436">
        <v>1.1000000000000001</v>
      </c>
      <c r="X16" s="436"/>
      <c r="Y16" s="436"/>
      <c r="Z16" s="436">
        <v>0.5</v>
      </c>
      <c r="AA16" s="436">
        <v>7.2</v>
      </c>
      <c r="AB16" s="436"/>
      <c r="AC16" s="436">
        <v>5</v>
      </c>
      <c r="AD16" s="4"/>
    </row>
    <row r="17" spans="1:30" ht="15.45">
      <c r="A17" s="381" t="s">
        <v>128</v>
      </c>
      <c r="B17" s="382"/>
      <c r="C17" s="383" t="s">
        <v>129</v>
      </c>
      <c r="D17" s="197">
        <v>6000</v>
      </c>
      <c r="E17" s="209" t="s">
        <v>181</v>
      </c>
      <c r="F17" s="423">
        <v>5.0440712976179997E-2</v>
      </c>
      <c r="G17" s="424">
        <v>8.5142290311999991E-3</v>
      </c>
      <c r="H17" s="424">
        <v>0</v>
      </c>
      <c r="I17" s="442"/>
      <c r="J17" s="424">
        <v>0</v>
      </c>
      <c r="K17" s="428">
        <v>5</v>
      </c>
      <c r="L17" s="442"/>
      <c r="M17" s="419"/>
      <c r="N17" s="423">
        <v>2.8869075390400001</v>
      </c>
      <c r="O17" s="431">
        <v>1.44345376952</v>
      </c>
      <c r="P17" s="431"/>
      <c r="Q17" s="401"/>
      <c r="R17" s="401"/>
      <c r="S17" s="401"/>
      <c r="T17" s="401"/>
      <c r="U17" s="435">
        <v>1.75</v>
      </c>
      <c r="V17" s="424">
        <v>4.5346058887060003E-2</v>
      </c>
      <c r="W17" s="419"/>
      <c r="X17" s="436">
        <v>7</v>
      </c>
      <c r="Y17" s="436">
        <v>3</v>
      </c>
      <c r="Z17" s="419"/>
      <c r="AA17" s="424">
        <v>9.6810605786376591</v>
      </c>
      <c r="AB17" s="401"/>
      <c r="AC17" s="424">
        <v>5.2232093258441612</v>
      </c>
      <c r="AD17" s="4"/>
    </row>
    <row r="18" spans="1:30" ht="15.45">
      <c r="A18" s="381" t="s">
        <v>130</v>
      </c>
      <c r="B18" s="382"/>
      <c r="C18" s="383" t="s">
        <v>131</v>
      </c>
      <c r="D18" s="197">
        <v>0</v>
      </c>
      <c r="E18" s="209" t="s">
        <v>181</v>
      </c>
      <c r="F18" s="423">
        <v>7.1391958421684151E-2</v>
      </c>
      <c r="G18" s="401">
        <v>0.64301620619874644</v>
      </c>
      <c r="H18" s="401"/>
      <c r="I18" s="442"/>
      <c r="J18" s="424">
        <v>6.9529512971664653</v>
      </c>
      <c r="K18" s="428">
        <v>5</v>
      </c>
      <c r="L18" s="442"/>
      <c r="M18" s="428">
        <v>0.11</v>
      </c>
      <c r="N18" s="423">
        <v>20.632789690485932</v>
      </c>
      <c r="O18" s="431">
        <v>16.093575958579027</v>
      </c>
      <c r="P18" s="431"/>
      <c r="Q18" s="419"/>
      <c r="R18" s="419"/>
      <c r="S18" s="419"/>
      <c r="T18" s="419"/>
      <c r="U18" s="419"/>
      <c r="V18" s="424">
        <v>0.10598667060000572</v>
      </c>
      <c r="W18" s="419"/>
      <c r="X18" s="419"/>
      <c r="Y18" s="436">
        <v>6.1199700000000004</v>
      </c>
      <c r="Z18" s="419"/>
      <c r="AA18" s="424">
        <v>0.81910212730632104</v>
      </c>
      <c r="AB18" s="401"/>
      <c r="AC18" s="424">
        <v>3.7142742534870798</v>
      </c>
      <c r="AD18" s="4"/>
    </row>
    <row r="19" spans="1:30" ht="15.45">
      <c r="A19" s="381" t="s">
        <v>132</v>
      </c>
      <c r="B19" s="382"/>
      <c r="C19" s="383" t="s">
        <v>133</v>
      </c>
      <c r="D19" s="199">
        <v>0</v>
      </c>
      <c r="E19" s="208"/>
      <c r="F19" s="224"/>
      <c r="G19" s="11"/>
      <c r="H19" s="11"/>
      <c r="I19" s="419"/>
      <c r="J19" s="11"/>
      <c r="K19" s="11"/>
      <c r="L19" s="419"/>
      <c r="M19" s="11"/>
      <c r="N19" s="450"/>
      <c r="O19" s="413"/>
      <c r="P19" s="413"/>
      <c r="Q19" s="419"/>
      <c r="R19" s="407"/>
      <c r="S19" s="407"/>
      <c r="T19" s="407"/>
      <c r="U19" s="407"/>
      <c r="V19" s="413"/>
      <c r="W19" s="407"/>
      <c r="X19" s="407"/>
      <c r="Y19" s="407"/>
      <c r="Z19" s="407"/>
      <c r="AA19" s="407"/>
      <c r="AB19" s="407"/>
      <c r="AC19" s="407"/>
      <c r="AD19" s="4"/>
    </row>
    <row r="20" spans="1:30" ht="15.45">
      <c r="A20" s="381" t="s">
        <v>134</v>
      </c>
      <c r="B20" s="382"/>
      <c r="C20" s="383" t="s">
        <v>135</v>
      </c>
      <c r="D20" s="197">
        <v>60000</v>
      </c>
      <c r="E20" s="209" t="s">
        <v>181</v>
      </c>
      <c r="F20" s="423">
        <v>0.72206573796428453</v>
      </c>
      <c r="G20" s="424">
        <v>6.5908022903120006E-2</v>
      </c>
      <c r="H20" s="424">
        <v>0</v>
      </c>
      <c r="I20" s="442"/>
      <c r="J20" s="424">
        <v>0</v>
      </c>
      <c r="K20" s="428">
        <v>490</v>
      </c>
      <c r="L20" s="442"/>
      <c r="M20" s="419"/>
      <c r="N20" s="423">
        <v>5.8849574205706663</v>
      </c>
      <c r="O20" s="431">
        <v>2.9424787102853331</v>
      </c>
      <c r="P20" s="431"/>
      <c r="Q20" s="428">
        <v>5.4999999999999997E-3</v>
      </c>
      <c r="R20" s="428">
        <v>5.0000000000000001E-3</v>
      </c>
      <c r="S20" s="419"/>
      <c r="T20" s="419"/>
      <c r="U20" s="436">
        <v>8</v>
      </c>
      <c r="V20" s="424">
        <v>0</v>
      </c>
      <c r="W20" s="419"/>
      <c r="X20" s="419"/>
      <c r="Y20" s="419"/>
      <c r="Z20" s="419"/>
      <c r="AA20" s="424">
        <v>31.172800814972341</v>
      </c>
      <c r="AB20" s="419"/>
      <c r="AC20" s="428">
        <v>0</v>
      </c>
      <c r="AD20" s="4"/>
    </row>
    <row r="21" spans="1:30" ht="15.45">
      <c r="A21" s="381" t="s">
        <v>136</v>
      </c>
      <c r="B21" s="382"/>
      <c r="C21" s="383" t="s">
        <v>137</v>
      </c>
      <c r="D21" s="197">
        <v>58583.569405099144</v>
      </c>
      <c r="E21" s="209" t="s">
        <v>181</v>
      </c>
      <c r="F21" s="423">
        <v>0.11179441163911912</v>
      </c>
      <c r="G21" s="424">
        <v>0.7938525647068414</v>
      </c>
      <c r="H21" s="436">
        <v>0</v>
      </c>
      <c r="I21" s="442"/>
      <c r="J21" s="424">
        <v>9.1041749762504764</v>
      </c>
      <c r="K21" s="428">
        <v>5</v>
      </c>
      <c r="L21" s="442"/>
      <c r="M21" s="419"/>
      <c r="N21" s="423">
        <v>14.712844731942027</v>
      </c>
      <c r="O21" s="431">
        <v>11.034633548956521</v>
      </c>
      <c r="P21" s="451"/>
      <c r="Q21" s="419"/>
      <c r="R21" s="436">
        <v>6.5000000000000002E-2</v>
      </c>
      <c r="S21" s="419"/>
      <c r="T21" s="419"/>
      <c r="U21" s="436">
        <v>10</v>
      </c>
      <c r="V21" s="424">
        <v>9.5098115733649416E-2</v>
      </c>
      <c r="W21" s="401"/>
      <c r="X21" s="401"/>
      <c r="Y21" s="435">
        <v>0.02</v>
      </c>
      <c r="Z21" s="401"/>
      <c r="AA21" s="424">
        <v>1.6432492025521308</v>
      </c>
      <c r="AB21" s="401"/>
      <c r="AC21" s="424">
        <v>9.7480218939665608</v>
      </c>
      <c r="AD21" s="4"/>
    </row>
    <row r="22" spans="1:30" ht="15.45">
      <c r="A22" s="381" t="s">
        <v>138</v>
      </c>
      <c r="B22" s="382"/>
      <c r="C22" s="383" t="s">
        <v>139</v>
      </c>
      <c r="D22" s="197">
        <v>10400</v>
      </c>
      <c r="E22" s="209" t="s">
        <v>181</v>
      </c>
      <c r="F22" s="420"/>
      <c r="G22" s="436">
        <v>0.2</v>
      </c>
      <c r="H22" s="436">
        <v>2</v>
      </c>
      <c r="I22" s="442"/>
      <c r="J22" s="419"/>
      <c r="K22" s="428">
        <v>5</v>
      </c>
      <c r="L22" s="442"/>
      <c r="M22" s="419"/>
      <c r="N22" s="452">
        <v>1290.6513500000001</v>
      </c>
      <c r="O22" s="433">
        <v>967.98851250000007</v>
      </c>
      <c r="P22" s="433">
        <v>0.96798851250000006</v>
      </c>
      <c r="Q22" s="419"/>
      <c r="R22" s="436">
        <v>0.02</v>
      </c>
      <c r="S22" s="419"/>
      <c r="T22" s="419"/>
      <c r="U22" s="436">
        <v>2</v>
      </c>
      <c r="V22" s="435">
        <v>5</v>
      </c>
      <c r="W22" s="419"/>
      <c r="X22" s="428">
        <v>20</v>
      </c>
      <c r="Y22" s="419"/>
      <c r="Z22" s="436">
        <v>1</v>
      </c>
      <c r="AA22" s="428">
        <v>50</v>
      </c>
      <c r="AB22" s="419"/>
      <c r="AC22" s="428">
        <v>250</v>
      </c>
      <c r="AD22" s="4"/>
    </row>
    <row r="23" spans="1:30" ht="15.45">
      <c r="A23" s="381" t="s">
        <v>140</v>
      </c>
      <c r="B23" s="382"/>
      <c r="C23" s="383" t="s">
        <v>141</v>
      </c>
      <c r="D23" s="197">
        <v>714800</v>
      </c>
      <c r="E23" s="209" t="s">
        <v>181</v>
      </c>
      <c r="F23" s="449">
        <v>1.3</v>
      </c>
      <c r="G23" s="436">
        <v>0.4</v>
      </c>
      <c r="H23" s="436">
        <v>1.25</v>
      </c>
      <c r="I23" s="442"/>
      <c r="J23" s="419"/>
      <c r="K23" s="428">
        <v>5</v>
      </c>
      <c r="L23" s="442"/>
      <c r="M23" s="419"/>
      <c r="N23" s="452">
        <v>335.07499999999999</v>
      </c>
      <c r="O23" s="433">
        <v>258.00774999999999</v>
      </c>
      <c r="P23" s="433">
        <v>5.9341782499999995</v>
      </c>
      <c r="Q23" s="428">
        <v>0.189</v>
      </c>
      <c r="R23" s="428">
        <v>6.8000000000000005E-2</v>
      </c>
      <c r="S23" s="428">
        <v>7.4999999999999997E-3</v>
      </c>
      <c r="T23" s="428">
        <v>8.5000000000000006E-3</v>
      </c>
      <c r="U23" s="419"/>
      <c r="V23" s="419"/>
      <c r="W23" s="419"/>
      <c r="X23" s="419"/>
      <c r="Y23" s="419"/>
      <c r="Z23" s="419"/>
      <c r="AA23" s="419"/>
      <c r="AB23" s="419"/>
      <c r="AC23" s="419"/>
      <c r="AD23" s="4"/>
    </row>
    <row r="24" spans="1:30" ht="15.45">
      <c r="A24" s="392" t="s">
        <v>142</v>
      </c>
      <c r="B24" s="393"/>
      <c r="C24" s="394" t="s">
        <v>143</v>
      </c>
      <c r="D24" s="217"/>
      <c r="E24" s="218"/>
      <c r="M24" s="1"/>
      <c r="N24" s="420"/>
      <c r="O24" s="434"/>
      <c r="P24" s="434"/>
      <c r="Q24" s="419"/>
      <c r="R24" s="419"/>
      <c r="S24" s="419"/>
      <c r="T24" s="419"/>
      <c r="U24" s="419"/>
      <c r="V24" s="419"/>
      <c r="W24" s="419"/>
      <c r="X24" s="419"/>
      <c r="Y24" s="419"/>
      <c r="Z24" s="419"/>
      <c r="AA24" s="419"/>
      <c r="AB24" s="419"/>
      <c r="AC24" s="419"/>
      <c r="AD24" s="4"/>
    </row>
    <row r="25" spans="1:30" ht="15.45">
      <c r="A25" s="392"/>
      <c r="B25" s="393"/>
      <c r="C25" s="395" t="s">
        <v>144</v>
      </c>
      <c r="D25" s="197">
        <v>15009000</v>
      </c>
      <c r="E25" s="209" t="s">
        <v>181</v>
      </c>
      <c r="K25" s="424">
        <v>255.67430698474726</v>
      </c>
      <c r="M25" s="1"/>
      <c r="N25" s="420"/>
      <c r="O25" s="434"/>
      <c r="P25" s="434"/>
      <c r="Q25" s="419"/>
      <c r="R25" s="419"/>
      <c r="S25" s="419"/>
      <c r="T25" s="419"/>
      <c r="U25" s="419"/>
      <c r="V25" s="419"/>
      <c r="W25" s="419"/>
      <c r="X25" s="419"/>
      <c r="Y25" s="419"/>
      <c r="Z25" s="419"/>
      <c r="AA25" s="419"/>
      <c r="AB25" s="419"/>
      <c r="AC25" s="419"/>
      <c r="AD25" s="4"/>
    </row>
    <row r="26" spans="1:30" ht="15.45">
      <c r="A26" s="392"/>
      <c r="B26" s="393"/>
      <c r="C26" s="395" t="s">
        <v>145</v>
      </c>
      <c r="D26" s="197">
        <v>18814824</v>
      </c>
      <c r="E26" s="209" t="s">
        <v>181</v>
      </c>
      <c r="F26" s="423">
        <v>0.38661839025026135</v>
      </c>
      <c r="G26" s="424">
        <v>0.79780149056715544</v>
      </c>
      <c r="H26" s="442">
        <v>2.3E-2</v>
      </c>
      <c r="I26" s="442">
        <v>2.3E-2</v>
      </c>
      <c r="J26" s="424">
        <v>1.0723952221778217</v>
      </c>
      <c r="K26" s="424"/>
      <c r="L26" s="442">
        <v>5.2999999999999999E-2</v>
      </c>
      <c r="M26" s="425">
        <v>4.7538266551015992E-2</v>
      </c>
      <c r="N26" s="423">
        <v>3.8290658472276968</v>
      </c>
      <c r="O26" s="433">
        <v>2.1272588040153888</v>
      </c>
      <c r="P26" s="433">
        <v>6.3817764120461667E-2</v>
      </c>
      <c r="Q26" s="401"/>
      <c r="R26" s="544">
        <v>5.0000000000000002E-5</v>
      </c>
      <c r="S26" s="419"/>
      <c r="T26" s="435">
        <v>1.1E-5</v>
      </c>
      <c r="U26" s="435">
        <v>1.2E-2</v>
      </c>
      <c r="V26" s="435">
        <v>8.0000000000000002E-3</v>
      </c>
      <c r="W26" s="435">
        <v>0.02</v>
      </c>
      <c r="X26" s="401"/>
      <c r="Y26" s="424">
        <v>0.03</v>
      </c>
      <c r="Z26" s="435">
        <v>0.111</v>
      </c>
      <c r="AA26" s="435">
        <v>6.0000000000000001E-3</v>
      </c>
      <c r="AB26" s="435">
        <v>2E-3</v>
      </c>
      <c r="AC26" s="435">
        <v>0.29299999999999998</v>
      </c>
      <c r="AD26" s="4"/>
    </row>
    <row r="27" spans="1:30" ht="15.45">
      <c r="A27" s="392" t="s">
        <v>146</v>
      </c>
      <c r="B27" s="393"/>
      <c r="C27" s="396" t="s">
        <v>147</v>
      </c>
      <c r="D27" s="197">
        <v>2412303.8285753489</v>
      </c>
      <c r="E27" s="209" t="s">
        <v>181</v>
      </c>
      <c r="F27" s="406"/>
      <c r="G27" s="213"/>
      <c r="H27" s="213"/>
      <c r="I27" s="213"/>
      <c r="J27" s="213"/>
      <c r="K27" s="213"/>
      <c r="L27" s="213"/>
      <c r="M27" s="213"/>
      <c r="N27" s="411"/>
      <c r="O27" s="432"/>
      <c r="P27" s="432"/>
      <c r="Q27" s="412"/>
      <c r="R27" s="412"/>
      <c r="S27" s="419"/>
      <c r="T27" s="412"/>
      <c r="U27" s="412"/>
      <c r="V27" s="412"/>
      <c r="W27" s="412"/>
      <c r="X27" s="412"/>
      <c r="Y27" s="412"/>
      <c r="Z27" s="412"/>
      <c r="AA27" s="412"/>
      <c r="AB27" s="412"/>
      <c r="AC27" s="412"/>
      <c r="AD27" s="4"/>
    </row>
    <row r="28" spans="1:30" ht="15.45">
      <c r="A28" s="392"/>
      <c r="B28" s="393"/>
      <c r="C28" s="395" t="s">
        <v>114</v>
      </c>
      <c r="D28" s="198">
        <v>2062213.857695349</v>
      </c>
      <c r="E28" s="208"/>
      <c r="F28" s="423">
        <v>6.4439811965566612E-2</v>
      </c>
      <c r="G28" s="424">
        <v>0.97175692643223754</v>
      </c>
      <c r="H28" s="443">
        <v>4.0000000000000001E-3</v>
      </c>
      <c r="I28" s="443">
        <v>4.0000000000000001E-3</v>
      </c>
      <c r="J28" s="443">
        <v>1.2999999999999999E-2</v>
      </c>
      <c r="K28" s="424">
        <v>85.855274077105818</v>
      </c>
      <c r="L28" s="443">
        <v>5.0000000000000001E-3</v>
      </c>
      <c r="M28" s="419"/>
      <c r="N28" s="423">
        <v>4</v>
      </c>
      <c r="O28" s="431">
        <v>0.8</v>
      </c>
      <c r="P28" s="431">
        <v>3.6800000000000001E-3</v>
      </c>
      <c r="Q28" s="401"/>
      <c r="R28" s="401"/>
      <c r="S28" s="401"/>
      <c r="T28" s="401"/>
      <c r="U28" s="401"/>
      <c r="V28" s="401"/>
      <c r="W28" s="401"/>
      <c r="X28" s="401"/>
      <c r="Y28" s="443">
        <v>1.0053080263792826E-3</v>
      </c>
      <c r="Z28" s="401"/>
      <c r="AA28" s="401"/>
      <c r="AB28" s="401"/>
      <c r="AC28" s="419"/>
      <c r="AD28" s="4"/>
    </row>
    <row r="29" spans="1:30" ht="15.45">
      <c r="A29" s="392"/>
      <c r="B29" s="393"/>
      <c r="C29" s="395" t="s">
        <v>115</v>
      </c>
      <c r="D29" s="198">
        <v>350089.97088000004</v>
      </c>
      <c r="E29" s="208"/>
      <c r="F29" s="423">
        <v>1.7658298741516767E-2</v>
      </c>
      <c r="G29" s="424">
        <v>7.65632206628451E-2</v>
      </c>
      <c r="H29" s="443">
        <v>4.0000000000000001E-3</v>
      </c>
      <c r="I29" s="443">
        <v>4.0000000000000001E-3</v>
      </c>
      <c r="J29" s="443">
        <v>1.2999999999999999E-2</v>
      </c>
      <c r="K29" s="424">
        <v>243.19278581444956</v>
      </c>
      <c r="L29" s="401"/>
      <c r="M29" s="11"/>
      <c r="N29" s="423">
        <v>4</v>
      </c>
      <c r="O29" s="431">
        <v>0.8</v>
      </c>
      <c r="P29" s="431">
        <v>3.6800000000000001E-3</v>
      </c>
      <c r="Q29" s="401"/>
      <c r="R29" s="401"/>
      <c r="S29" s="401"/>
      <c r="T29" s="401"/>
      <c r="U29" s="401"/>
      <c r="V29" s="401"/>
      <c r="W29" s="401"/>
      <c r="X29" s="401"/>
      <c r="Y29" s="443">
        <v>1.0053080263792826E-3</v>
      </c>
      <c r="Z29" s="401"/>
      <c r="AA29" s="401"/>
      <c r="AB29" s="401"/>
      <c r="AC29" s="407"/>
      <c r="AD29" s="4"/>
    </row>
    <row r="30" spans="1:30" ht="15.45">
      <c r="A30" s="392" t="s">
        <v>148</v>
      </c>
      <c r="B30" s="393"/>
      <c r="C30" s="396" t="s">
        <v>149</v>
      </c>
      <c r="D30" s="197">
        <v>34200000</v>
      </c>
      <c r="E30" s="209" t="s">
        <v>181</v>
      </c>
      <c r="F30" s="454">
        <v>2.3700000000000001E-3</v>
      </c>
      <c r="G30" s="428">
        <v>1.069E-2</v>
      </c>
      <c r="H30" s="455">
        <v>4.1000000000000003E-3</v>
      </c>
      <c r="I30" s="419"/>
      <c r="J30" s="428">
        <v>1.67E-3</v>
      </c>
      <c r="K30" s="428">
        <v>10</v>
      </c>
      <c r="L30" s="419"/>
      <c r="M30" s="419"/>
      <c r="N30" s="454">
        <v>6.5</v>
      </c>
      <c r="O30" s="434">
        <v>6.5</v>
      </c>
      <c r="P30" s="419"/>
      <c r="Q30" s="545">
        <v>4.2000000000000002E-4</v>
      </c>
      <c r="R30" s="419"/>
      <c r="S30" s="419"/>
      <c r="T30" s="419"/>
      <c r="U30" s="419"/>
      <c r="V30" s="419"/>
      <c r="W30" s="419"/>
      <c r="X30" s="419"/>
      <c r="Y30" s="419"/>
      <c r="Z30" s="419"/>
      <c r="AA30" s="419"/>
      <c r="AB30" s="419"/>
      <c r="AC30" s="419"/>
      <c r="AD30" s="4"/>
    </row>
    <row r="31" spans="1:30" ht="15.45">
      <c r="A31" s="392" t="s">
        <v>150</v>
      </c>
      <c r="B31" s="393"/>
      <c r="C31" s="396" t="s">
        <v>151</v>
      </c>
      <c r="D31" s="197">
        <v>1066862</v>
      </c>
      <c r="E31" s="209" t="s">
        <v>181</v>
      </c>
      <c r="F31" s="454">
        <v>0.93820000000000003</v>
      </c>
      <c r="G31" s="428">
        <v>1.8460000000000001</v>
      </c>
      <c r="H31" s="440">
        <v>4.3950000000000003E-2</v>
      </c>
      <c r="I31" s="440">
        <v>3.628E-2</v>
      </c>
      <c r="J31" s="440">
        <v>0.1</v>
      </c>
      <c r="K31" s="428">
        <v>611.50501559185648</v>
      </c>
      <c r="L31" s="440">
        <v>3.2960000000000003E-2</v>
      </c>
      <c r="M31" s="419"/>
      <c r="N31" s="439">
        <v>420</v>
      </c>
      <c r="O31" s="433">
        <v>349.99999999999989</v>
      </c>
      <c r="P31" s="433">
        <v>21.699999999999992</v>
      </c>
      <c r="Q31" s="419"/>
      <c r="R31" s="419"/>
      <c r="S31" s="419"/>
      <c r="T31" s="419"/>
      <c r="U31" s="440">
        <v>0.12</v>
      </c>
      <c r="V31" s="419"/>
      <c r="W31" s="440">
        <v>1</v>
      </c>
      <c r="X31" s="440">
        <v>0.6</v>
      </c>
      <c r="Y31" s="419"/>
      <c r="Z31" s="440">
        <v>0.24</v>
      </c>
      <c r="AA31" s="440">
        <v>0.33</v>
      </c>
      <c r="AB31" s="428">
        <v>0.3</v>
      </c>
      <c r="AC31" s="428">
        <v>2</v>
      </c>
      <c r="AD31" s="4"/>
    </row>
    <row r="32" spans="1:30" ht="15.45">
      <c r="A32" s="392" t="s">
        <v>152</v>
      </c>
      <c r="B32" s="393"/>
      <c r="C32" s="396" t="s">
        <v>153</v>
      </c>
      <c r="D32" s="197">
        <v>4521808</v>
      </c>
      <c r="E32" s="209" t="s">
        <v>181</v>
      </c>
      <c r="F32" s="454">
        <v>0.92259999999999998</v>
      </c>
      <c r="G32" s="428">
        <v>1.218</v>
      </c>
      <c r="H32" s="440">
        <v>4.6679999999999999E-2</v>
      </c>
      <c r="I32" s="440">
        <v>3.5610000000000003E-2</v>
      </c>
      <c r="J32" s="440">
        <v>0.1</v>
      </c>
      <c r="K32" s="428">
        <v>685.56271490261463</v>
      </c>
      <c r="L32" s="440">
        <v>3.9210000000000002E-2</v>
      </c>
      <c r="M32" s="419"/>
      <c r="N32" s="439">
        <v>510</v>
      </c>
      <c r="O32" s="433">
        <v>448.8</v>
      </c>
      <c r="P32" s="433">
        <v>27.825600000000001</v>
      </c>
      <c r="Q32" s="419"/>
      <c r="R32" s="419"/>
      <c r="S32" s="419"/>
      <c r="T32" s="419"/>
      <c r="U32" s="440">
        <v>0.12</v>
      </c>
      <c r="V32" s="440">
        <v>0.09</v>
      </c>
      <c r="W32" s="440">
        <v>0.38</v>
      </c>
      <c r="X32" s="440">
        <v>0.6</v>
      </c>
      <c r="Y32" s="419"/>
      <c r="Z32" s="440">
        <v>0.46</v>
      </c>
      <c r="AA32" s="440">
        <v>4.55</v>
      </c>
      <c r="AB32" s="428">
        <v>0.3</v>
      </c>
      <c r="AC32" s="428">
        <v>2</v>
      </c>
      <c r="AD32" s="4"/>
    </row>
    <row r="33" spans="1:30" ht="15.45">
      <c r="A33" s="392" t="s">
        <v>154</v>
      </c>
      <c r="B33" s="393"/>
      <c r="C33" s="396" t="s">
        <v>155</v>
      </c>
      <c r="D33" s="197">
        <v>82915</v>
      </c>
      <c r="E33" s="209" t="s">
        <v>181</v>
      </c>
      <c r="F33" s="454">
        <v>2.5</v>
      </c>
      <c r="G33" s="428">
        <v>1.014</v>
      </c>
      <c r="H33" s="440">
        <v>4.8490000000000005E-2</v>
      </c>
      <c r="I33" s="440">
        <v>4.8490000000000005E-2</v>
      </c>
      <c r="J33" s="440">
        <v>8.0500000000000002E-2</v>
      </c>
      <c r="K33" s="428">
        <v>803.33646254943926</v>
      </c>
      <c r="L33" s="440">
        <v>2.8799999999999999E-2</v>
      </c>
      <c r="M33" s="428">
        <v>0.37729000000000001</v>
      </c>
      <c r="N33" s="439">
        <v>140</v>
      </c>
      <c r="O33" s="433">
        <v>123.3898305084746</v>
      </c>
      <c r="P33" s="433">
        <v>2.4677966101694921</v>
      </c>
      <c r="Q33" s="419"/>
      <c r="R33" s="419"/>
      <c r="S33" s="419"/>
      <c r="T33" s="419"/>
      <c r="U33" s="419"/>
      <c r="V33" s="419"/>
      <c r="W33" s="419"/>
      <c r="X33" s="419"/>
      <c r="Y33" s="419"/>
      <c r="Z33" s="419"/>
      <c r="AA33" s="419"/>
      <c r="AB33" s="428"/>
      <c r="AC33" s="428"/>
      <c r="AD33" s="4"/>
    </row>
    <row r="34" spans="1:30" ht="15.45">
      <c r="A34" s="392" t="s">
        <v>156</v>
      </c>
      <c r="B34" s="393"/>
      <c r="C34" s="396" t="s">
        <v>157</v>
      </c>
      <c r="D34" s="197">
        <v>405980.3764800721</v>
      </c>
      <c r="E34" s="209" t="s">
        <v>181</v>
      </c>
      <c r="F34" s="454"/>
      <c r="G34" s="428">
        <v>2.6896885076753057</v>
      </c>
      <c r="H34" s="440">
        <v>0.1</v>
      </c>
      <c r="I34" s="440">
        <v>0.1</v>
      </c>
      <c r="J34" s="440">
        <v>0.26</v>
      </c>
      <c r="K34" s="428">
        <v>908.33333333333405</v>
      </c>
      <c r="L34" s="440">
        <v>0.06</v>
      </c>
      <c r="M34" s="419"/>
      <c r="N34" s="439">
        <v>20</v>
      </c>
      <c r="O34" s="433">
        <v>17.777777777777779</v>
      </c>
      <c r="P34" s="433">
        <v>1.1022222222222222</v>
      </c>
      <c r="Q34" s="419"/>
      <c r="R34" s="419"/>
      <c r="S34" s="419"/>
      <c r="T34" s="419"/>
      <c r="U34" s="440">
        <v>0.12</v>
      </c>
      <c r="V34" s="419"/>
      <c r="W34" s="440">
        <v>2.4</v>
      </c>
      <c r="X34" s="440">
        <v>0.6</v>
      </c>
      <c r="Y34" s="419"/>
      <c r="Z34" s="440">
        <v>1.9</v>
      </c>
      <c r="AA34" s="440">
        <v>10</v>
      </c>
      <c r="AB34" s="428">
        <v>0.3</v>
      </c>
      <c r="AC34" s="428">
        <v>2</v>
      </c>
      <c r="AD34" s="4"/>
    </row>
    <row r="35" spans="1:30" ht="15.45">
      <c r="A35" s="392" t="s">
        <v>158</v>
      </c>
      <c r="B35" s="393"/>
      <c r="C35" s="396" t="s">
        <v>159</v>
      </c>
      <c r="D35" s="199">
        <v>0</v>
      </c>
      <c r="E35" s="208"/>
      <c r="F35" s="439">
        <v>1.5</v>
      </c>
      <c r="G35" s="419"/>
      <c r="H35" s="419"/>
      <c r="I35" s="419"/>
      <c r="J35" s="440">
        <v>3.2</v>
      </c>
      <c r="K35" s="428">
        <v>115</v>
      </c>
      <c r="L35" s="419"/>
      <c r="M35" s="440">
        <v>1.8</v>
      </c>
      <c r="N35" s="439">
        <v>560</v>
      </c>
      <c r="O35" s="433">
        <v>493.55932203389841</v>
      </c>
      <c r="P35" s="433">
        <v>9.8711864406779686</v>
      </c>
      <c r="Q35" s="407"/>
      <c r="R35" s="407"/>
      <c r="S35" s="407"/>
      <c r="T35" s="407"/>
      <c r="U35" s="407"/>
      <c r="V35" s="407"/>
      <c r="W35" s="407"/>
      <c r="X35" s="407"/>
      <c r="Y35" s="407"/>
      <c r="Z35" s="407"/>
      <c r="AA35" s="407"/>
      <c r="AB35" s="407"/>
      <c r="AC35" s="407"/>
      <c r="AD35" s="4"/>
    </row>
    <row r="36" spans="1:30" ht="15.45">
      <c r="A36" s="392" t="s">
        <v>160</v>
      </c>
      <c r="B36" s="393"/>
      <c r="C36" s="396" t="s">
        <v>161</v>
      </c>
      <c r="D36" s="197">
        <v>3962000</v>
      </c>
      <c r="E36" s="209" t="s">
        <v>181</v>
      </c>
      <c r="F36" s="441">
        <v>0.78500000000000003</v>
      </c>
      <c r="G36" s="428">
        <v>0.25</v>
      </c>
      <c r="H36" s="442">
        <v>7.0000000000000001E-3</v>
      </c>
      <c r="I36" s="455">
        <v>8.0000000000000002E-3</v>
      </c>
      <c r="J36" s="442">
        <v>3.9600000000000003E-2</v>
      </c>
      <c r="K36" s="428">
        <v>130</v>
      </c>
      <c r="L36" s="442">
        <v>8.0000000000000002E-3</v>
      </c>
      <c r="M36" s="419"/>
      <c r="N36" s="452">
        <v>56.55</v>
      </c>
      <c r="O36" s="433">
        <v>49.840677966101701</v>
      </c>
      <c r="P36" s="433">
        <v>0.99681355932203408</v>
      </c>
      <c r="Q36" s="419"/>
      <c r="R36" s="419"/>
      <c r="S36" s="419"/>
      <c r="T36" s="419"/>
      <c r="U36" s="419">
        <v>88.995555555555555</v>
      </c>
      <c r="V36" s="419"/>
      <c r="W36" s="419"/>
      <c r="X36" s="419"/>
      <c r="Y36" s="419"/>
      <c r="Z36" s="419"/>
      <c r="AA36" s="419"/>
      <c r="AB36" s="419"/>
      <c r="AC36" s="419"/>
      <c r="AD36" s="4"/>
    </row>
    <row r="37" spans="1:30" ht="15.45">
      <c r="A37" s="392" t="s">
        <v>162</v>
      </c>
      <c r="B37" s="393"/>
      <c r="C37" s="396" t="s">
        <v>163</v>
      </c>
      <c r="D37" s="197">
        <v>6540117.5000000009</v>
      </c>
      <c r="E37" s="209" t="s">
        <v>181</v>
      </c>
      <c r="F37" s="454">
        <v>0.56877112860892398</v>
      </c>
      <c r="G37" s="428">
        <v>0.17360367454068246</v>
      </c>
      <c r="H37" s="442">
        <v>1.4E-2</v>
      </c>
      <c r="I37" s="442">
        <v>1.4E-2</v>
      </c>
      <c r="J37" s="442">
        <v>0.13</v>
      </c>
      <c r="K37" s="424">
        <v>175.39637710416272</v>
      </c>
      <c r="L37" s="442">
        <v>8.9999999999999993E-3</v>
      </c>
      <c r="M37" s="419"/>
      <c r="N37" s="454">
        <v>220</v>
      </c>
      <c r="O37" s="433">
        <v>193.8983050847458</v>
      </c>
      <c r="P37" s="433">
        <v>3.8779661016949163</v>
      </c>
      <c r="Q37" s="419"/>
      <c r="R37" s="419"/>
      <c r="S37" s="419"/>
      <c r="T37" s="419"/>
      <c r="U37" s="419">
        <v>3.87</v>
      </c>
      <c r="V37" s="419"/>
      <c r="W37" s="419"/>
      <c r="X37" s="419"/>
      <c r="Y37" s="419"/>
      <c r="Z37" s="419"/>
      <c r="AA37" s="428">
        <v>6</v>
      </c>
      <c r="AB37" s="419"/>
      <c r="AC37" s="419"/>
      <c r="AD37" s="4"/>
    </row>
    <row r="38" spans="1:30" ht="15.45">
      <c r="A38" s="398" t="s">
        <v>164</v>
      </c>
      <c r="B38" s="399"/>
      <c r="C38" s="400" t="s">
        <v>165</v>
      </c>
      <c r="D38" s="197">
        <v>7495000</v>
      </c>
      <c r="E38" s="209" t="s">
        <v>181</v>
      </c>
      <c r="F38" s="423">
        <v>4.2423107108825074E-3</v>
      </c>
      <c r="G38" s="437">
        <v>0.46</v>
      </c>
      <c r="H38" s="484">
        <v>5.0000000000000004E-6</v>
      </c>
      <c r="I38" s="442">
        <v>1.5514449458926067E-2</v>
      </c>
      <c r="J38" s="483">
        <v>5.0000000000000002E-5</v>
      </c>
      <c r="K38" s="428">
        <v>526.81917856167036</v>
      </c>
      <c r="L38" s="442">
        <v>9.2338332704811066E-3</v>
      </c>
      <c r="M38" s="428">
        <v>3.2500000000000001E-2</v>
      </c>
      <c r="N38" s="438">
        <v>49</v>
      </c>
      <c r="O38" s="433">
        <v>36.75</v>
      </c>
      <c r="P38" s="433">
        <v>0.9554999999999999</v>
      </c>
      <c r="Q38" s="419"/>
      <c r="R38" s="419"/>
      <c r="S38" s="419"/>
      <c r="T38" s="419"/>
      <c r="U38" s="419">
        <v>0.16585365853658537</v>
      </c>
      <c r="V38" s="419"/>
      <c r="W38" s="419"/>
      <c r="X38" s="419"/>
      <c r="Y38" s="419"/>
      <c r="Z38" s="419"/>
      <c r="AA38" s="419"/>
      <c r="AB38" s="419"/>
      <c r="AC38" s="419"/>
      <c r="AD38" s="4"/>
    </row>
    <row r="39" spans="1:30" ht="15.45">
      <c r="A39" s="381" t="s">
        <v>166</v>
      </c>
      <c r="B39" s="382"/>
      <c r="C39" s="383" t="s">
        <v>167</v>
      </c>
      <c r="D39" s="197">
        <v>0</v>
      </c>
      <c r="E39" s="209" t="s">
        <v>181</v>
      </c>
      <c r="F39" s="454">
        <v>3.6125985919650057</v>
      </c>
      <c r="G39" s="428">
        <v>2.7721127895758788</v>
      </c>
      <c r="H39" s="436">
        <v>0.01</v>
      </c>
      <c r="I39" s="428">
        <v>0.24639072813755536</v>
      </c>
      <c r="J39" s="428">
        <v>0.79149506605795117</v>
      </c>
      <c r="K39" s="428">
        <v>1167.3939265965369</v>
      </c>
      <c r="L39" s="428">
        <v>0.23617181671083318</v>
      </c>
      <c r="M39" s="419"/>
      <c r="N39" s="454">
        <v>50.775750186200355</v>
      </c>
      <c r="O39" s="434">
        <v>22.849087583790158</v>
      </c>
      <c r="P39" s="434"/>
      <c r="Q39" s="419"/>
      <c r="R39" s="419"/>
      <c r="S39" s="419"/>
      <c r="T39" s="419"/>
      <c r="U39" s="419"/>
      <c r="V39" s="419"/>
      <c r="W39" s="419"/>
      <c r="X39" s="419"/>
      <c r="Y39" s="419"/>
      <c r="Z39" s="419"/>
      <c r="AA39" s="419"/>
      <c r="AB39" s="419"/>
      <c r="AC39" s="419"/>
      <c r="AD39" s="4"/>
    </row>
    <row r="40" spans="1:30" ht="15.45">
      <c r="A40" s="381" t="s">
        <v>168</v>
      </c>
      <c r="B40" s="382"/>
      <c r="C40" s="383" t="s">
        <v>169</v>
      </c>
      <c r="D40" s="216">
        <v>0</v>
      </c>
      <c r="E40" s="209" t="s">
        <v>181</v>
      </c>
      <c r="F40" s="224"/>
      <c r="G40" s="11"/>
      <c r="H40" s="11"/>
      <c r="I40" s="11"/>
      <c r="J40" s="11"/>
      <c r="K40" s="11"/>
      <c r="L40" s="11"/>
      <c r="M40" s="11"/>
      <c r="N40" s="414"/>
      <c r="O40" s="407"/>
      <c r="P40" s="407"/>
      <c r="Q40" s="407"/>
      <c r="R40" s="407"/>
      <c r="S40" s="407"/>
      <c r="T40" s="407"/>
      <c r="U40" s="407"/>
      <c r="V40" s="407"/>
      <c r="W40" s="407"/>
      <c r="X40" s="407"/>
      <c r="Y40" s="407"/>
      <c r="Z40" s="407"/>
      <c r="AA40" s="407"/>
      <c r="AB40" s="407"/>
      <c r="AC40" s="407"/>
      <c r="AD40" s="4"/>
    </row>
    <row r="41" spans="1:30" ht="15.45">
      <c r="A41" s="381" t="s">
        <v>170</v>
      </c>
      <c r="B41" s="382"/>
      <c r="C41" s="383" t="s">
        <v>171</v>
      </c>
      <c r="D41" s="216">
        <v>0</v>
      </c>
      <c r="E41" s="208"/>
      <c r="F41" s="224"/>
      <c r="G41" s="11"/>
      <c r="H41" s="11"/>
      <c r="I41" s="11"/>
      <c r="J41" s="11"/>
      <c r="K41" s="11"/>
      <c r="L41" s="11"/>
      <c r="M41" s="11"/>
      <c r="N41" s="414"/>
      <c r="O41" s="407"/>
      <c r="P41" s="407"/>
      <c r="Q41" s="407"/>
      <c r="R41" s="407"/>
      <c r="S41" s="407"/>
      <c r="T41" s="407"/>
      <c r="U41" s="407"/>
      <c r="V41" s="407"/>
      <c r="W41" s="407"/>
      <c r="X41" s="407"/>
      <c r="Y41" s="407"/>
      <c r="Z41" s="407"/>
      <c r="AA41" s="407"/>
      <c r="AB41" s="407"/>
      <c r="AC41" s="407"/>
      <c r="AD41" s="4"/>
    </row>
    <row r="42" spans="1:30" ht="15.45">
      <c r="A42" s="381" t="s">
        <v>172</v>
      </c>
      <c r="B42" s="382"/>
      <c r="C42" s="383" t="s">
        <v>173</v>
      </c>
      <c r="D42" s="195"/>
      <c r="E42" s="208"/>
      <c r="F42" s="224"/>
      <c r="G42" s="11"/>
      <c r="H42" s="11"/>
      <c r="I42" s="11"/>
      <c r="J42" s="11"/>
      <c r="K42" s="11"/>
      <c r="L42" s="11"/>
      <c r="M42" s="11"/>
      <c r="N42" s="414"/>
      <c r="O42" s="407"/>
      <c r="P42" s="407"/>
      <c r="Q42" s="407"/>
      <c r="R42" s="407"/>
      <c r="S42" s="407"/>
      <c r="T42" s="407"/>
      <c r="U42" s="407"/>
      <c r="V42" s="407"/>
      <c r="W42" s="407"/>
      <c r="X42" s="407"/>
      <c r="Y42" s="407"/>
      <c r="Z42" s="407"/>
      <c r="AA42" s="407"/>
      <c r="AB42" s="407"/>
      <c r="AC42" s="407"/>
      <c r="AD42" s="4"/>
    </row>
    <row r="43" spans="1:30" ht="15.45">
      <c r="A43" s="384" t="s">
        <v>174</v>
      </c>
      <c r="B43" s="382"/>
      <c r="C43" s="385" t="s">
        <v>175</v>
      </c>
      <c r="D43" s="197">
        <v>1132450</v>
      </c>
      <c r="E43" s="211"/>
      <c r="F43" s="402"/>
      <c r="G43" s="403"/>
      <c r="H43" s="403"/>
      <c r="I43" s="442">
        <v>1.609371762550223E-2</v>
      </c>
      <c r="J43" s="403"/>
      <c r="K43" s="403"/>
      <c r="L43" s="442">
        <v>1.63873426473575E-2</v>
      </c>
      <c r="M43" s="403"/>
      <c r="N43" s="408"/>
      <c r="O43" s="409"/>
      <c r="P43" s="409"/>
      <c r="Q43" s="409"/>
      <c r="R43" s="409"/>
      <c r="S43" s="409"/>
      <c r="T43" s="409"/>
      <c r="U43" s="409"/>
      <c r="V43" s="409"/>
      <c r="W43" s="409"/>
      <c r="X43" s="409"/>
      <c r="Y43" s="409"/>
      <c r="Z43" s="409"/>
      <c r="AA43" s="409"/>
      <c r="AB43" s="409"/>
      <c r="AC43" s="409"/>
      <c r="AD43" s="4"/>
    </row>
    <row r="44" spans="1:30" ht="15.45">
      <c r="A44" s="386"/>
      <c r="B44" s="387"/>
      <c r="C44" s="388" t="s">
        <v>176</v>
      </c>
      <c r="D44" s="221">
        <v>610700</v>
      </c>
      <c r="E44" s="219" t="s">
        <v>181</v>
      </c>
      <c r="F44" s="404"/>
      <c r="G44" s="456">
        <v>0.2</v>
      </c>
      <c r="H44" s="456">
        <v>2</v>
      </c>
      <c r="I44" s="405"/>
      <c r="J44" s="405"/>
      <c r="K44" s="429">
        <v>5</v>
      </c>
      <c r="L44" s="405"/>
      <c r="M44" s="421"/>
      <c r="N44" s="415"/>
      <c r="O44" s="416"/>
      <c r="P44" s="416"/>
      <c r="Q44" s="416"/>
      <c r="R44" s="416"/>
      <c r="S44" s="416"/>
      <c r="T44" s="416"/>
      <c r="U44" s="416"/>
      <c r="V44" s="416"/>
      <c r="W44" s="416"/>
      <c r="X44" s="426">
        <v>0.5555555555555558</v>
      </c>
      <c r="Y44" s="416"/>
      <c r="Z44" s="416"/>
      <c r="AA44" s="416"/>
      <c r="AB44" s="416"/>
      <c r="AC44" s="426">
        <v>5.7358196199445911E-2</v>
      </c>
      <c r="AD44" s="4"/>
    </row>
    <row r="45" spans="1:30" ht="15.45">
      <c r="A45" s="386"/>
      <c r="B45" s="389"/>
      <c r="C45" s="390" t="s">
        <v>177</v>
      </c>
      <c r="D45" s="222">
        <v>521750</v>
      </c>
      <c r="E45" s="54" t="s">
        <v>181</v>
      </c>
      <c r="F45" s="402"/>
      <c r="G45" s="457">
        <v>0.2</v>
      </c>
      <c r="H45" s="457">
        <v>2</v>
      </c>
      <c r="I45" s="403"/>
      <c r="J45" s="403"/>
      <c r="K45" s="430">
        <v>5</v>
      </c>
      <c r="L45" s="403"/>
      <c r="M45" s="422"/>
      <c r="N45" s="417"/>
      <c r="O45" s="418"/>
      <c r="P45" s="418"/>
      <c r="Q45" s="418"/>
      <c r="R45" s="418"/>
      <c r="S45" s="418"/>
      <c r="T45" s="418"/>
      <c r="U45" s="418"/>
      <c r="V45" s="418"/>
      <c r="W45" s="418"/>
      <c r="X45" s="427">
        <v>0.55000196429272985</v>
      </c>
      <c r="Y45" s="418"/>
      <c r="Z45" s="418"/>
      <c r="AA45" s="418"/>
      <c r="AB45" s="418"/>
      <c r="AC45" s="427">
        <v>5.3078437943270549</v>
      </c>
      <c r="AD45" s="4"/>
    </row>
    <row r="48" spans="1:30">
      <c r="C48" s="380" t="s">
        <v>196</v>
      </c>
      <c r="F48" s="302" t="s">
        <v>203</v>
      </c>
      <c r="G48" s="302"/>
      <c r="H48" s="302"/>
      <c r="I48" s="302"/>
      <c r="J48" s="302"/>
      <c r="K48" s="302"/>
      <c r="L48" s="302"/>
      <c r="M48" s="302"/>
      <c r="N48" s="302"/>
      <c r="O48" s="302"/>
      <c r="P48" s="302"/>
    </row>
    <row r="49" spans="3:8">
      <c r="C49" s="391" t="s">
        <v>197</v>
      </c>
      <c r="F49" s="529" t="s">
        <v>202</v>
      </c>
      <c r="G49" s="529"/>
      <c r="H49" s="529"/>
    </row>
    <row r="50" spans="3:8">
      <c r="C50" s="249" t="s">
        <v>199</v>
      </c>
      <c r="F50" s="249" t="s">
        <v>193</v>
      </c>
      <c r="G50" s="249"/>
    </row>
    <row r="51" spans="3:8">
      <c r="C51" s="397" t="s">
        <v>198</v>
      </c>
      <c r="F51" s="252" t="s">
        <v>200</v>
      </c>
      <c r="G51" s="252"/>
    </row>
    <row r="52" spans="3:8">
      <c r="F52" s="397" t="s">
        <v>201</v>
      </c>
      <c r="G52" s="397"/>
    </row>
    <row r="53" spans="3:8">
      <c r="F53" s="453" t="s">
        <v>204</v>
      </c>
      <c r="G53" s="453"/>
    </row>
  </sheetData>
  <mergeCells count="2">
    <mergeCell ref="F1:M1"/>
    <mergeCell ref="N1:AC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FE combustione</vt:lpstr>
      <vt:lpstr>public power</vt:lpstr>
      <vt:lpstr>refineries</vt:lpstr>
      <vt:lpstr>iron and steel</vt:lpstr>
      <vt:lpstr>non industrial</vt:lpstr>
      <vt:lpstr>combustion in industry</vt:lpstr>
      <vt:lpstr>comb industry (2)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De Lauretis</dc:creator>
  <cp:lastModifiedBy>Cordella Marco</cp:lastModifiedBy>
  <dcterms:created xsi:type="dcterms:W3CDTF">2012-04-29T16:06:56Z</dcterms:created>
  <dcterms:modified xsi:type="dcterms:W3CDTF">2025-06-11T12:16:22Z</dcterms:modified>
</cp:coreProperties>
</file>